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fileSharing readOnlyRecommended="1"/>
  <workbookPr codeName="ThisWorkbook"/>
  <bookViews>
    <workbookView xWindow="-28920" yWindow="-120" windowWidth="29040" windowHeight="15720" tabRatio="748" firstSheet="1" activeTab="3"/>
  </bookViews>
  <sheets>
    <sheet name="Table of Contents" sheetId="204" r:id="rId1"/>
    <sheet name="Allocation" sheetId="212" r:id="rId2"/>
    <sheet name="Cover A" sheetId="205" r:id="rId3"/>
    <sheet name="A.1" sheetId="1" r:id="rId4"/>
    <sheet name="Cover B" sheetId="206" r:id="rId5"/>
    <sheet name="B.1 B" sheetId="3" r:id="rId6"/>
    <sheet name="B.1 F " sheetId="137" r:id="rId7"/>
    <sheet name="B.2 B" sheetId="207" r:id="rId8"/>
    <sheet name="B.2 F" sheetId="213" r:id="rId9"/>
    <sheet name="B.3 B" sheetId="236" r:id="rId10"/>
    <sheet name="B.3 F" sheetId="209" r:id="rId11"/>
    <sheet name="B.3.1 F" sheetId="237" r:id="rId12"/>
    <sheet name="B.4 B" sheetId="31" r:id="rId13"/>
    <sheet name="B.4 F" sheetId="67" r:id="rId14"/>
    <sheet name="B.4.1 B" sheetId="30" r:id="rId15"/>
    <sheet name="B.4.1 F" sheetId="215" r:id="rId16"/>
    <sheet name="B.4.2 B" sheetId="24" r:id="rId17"/>
    <sheet name="B.4.2 F" sheetId="69" r:id="rId18"/>
    <sheet name="B.5 B" sheetId="231" r:id="rId19"/>
    <sheet name="B.5 F" sheetId="232" r:id="rId20"/>
    <sheet name="B.6 B" sheetId="243" r:id="rId21"/>
    <sheet name="B.6 F" sheetId="244" r:id="rId22"/>
    <sheet name="WP B.4.1B" sheetId="214" r:id="rId23"/>
    <sheet name="WP B.4.1F" sheetId="216" r:id="rId24"/>
    <sheet name="WP B.5 B" sheetId="230" r:id="rId25"/>
    <sheet name="WP B.5 B1" sheetId="255" r:id="rId26"/>
    <sheet name="WP B.5 F" sheetId="233" r:id="rId27"/>
    <sheet name="WP B.5 F1" sheetId="251" r:id="rId28"/>
    <sheet name="WP B.6 B" sheetId="241" r:id="rId29"/>
    <sheet name="WP B.6 F" sheetId="242" r:id="rId30"/>
    <sheet name="Cover C" sheetId="211" r:id="rId31"/>
    <sheet name="C.1" sheetId="47" r:id="rId32"/>
    <sheet name="C.2" sheetId="46" r:id="rId33"/>
    <sheet name="C.2.1 B" sheetId="45" r:id="rId34"/>
    <sheet name="C.2.1 F" sheetId="79" r:id="rId35"/>
    <sheet name="C.2.2 B 09" sheetId="44" r:id="rId36"/>
    <sheet name="C.2.2 B 02" sheetId="190" r:id="rId37"/>
    <sheet name="C.2.2 B 12" sheetId="193" r:id="rId38"/>
    <sheet name="C.2.2 B 91" sheetId="192" r:id="rId39"/>
    <sheet name="C.2.2-F 09" sheetId="222" r:id="rId40"/>
    <sheet name="C.2.2-F 02" sheetId="226" r:id="rId41"/>
    <sheet name="C.2.2-F 12" sheetId="227" r:id="rId42"/>
    <sheet name="C.2.2-F 91" sheetId="228" r:id="rId43"/>
    <sheet name="C.2.3 B" sheetId="171" r:id="rId44"/>
    <sheet name="C.2.3 F" sheetId="238" r:id="rId45"/>
    <sheet name="WP C.2.3 F" sheetId="256" r:id="rId46"/>
    <sheet name="Cover D" sheetId="221" r:id="rId47"/>
    <sheet name="D.1" sheetId="51" r:id="rId48"/>
    <sheet name="D.2.1" sheetId="50" r:id="rId49"/>
    <sheet name="D.2.2" sheetId="49" r:id="rId50"/>
    <sheet name="D.2.3" sheetId="48" r:id="rId51"/>
    <sheet name="Cover E" sheetId="235" r:id="rId52"/>
    <sheet name="E" sheetId="84" r:id="rId53"/>
    <sheet name="Cover F" sheetId="245" r:id="rId54"/>
    <sheet name="F.1" sheetId="248" r:id="rId55"/>
    <sheet name="F.2.1" sheetId="107" r:id="rId56"/>
    <sheet name="F.2.2" sheetId="105" r:id="rId57"/>
    <sheet name="F.3" sheetId="100" r:id="rId58"/>
    <sheet name="F.4" sheetId="247" r:id="rId59"/>
    <sheet name="F.5" sheetId="102" r:id="rId60"/>
    <sheet name="F.6" sheetId="106" r:id="rId61"/>
    <sheet name="F.7" sheetId="103" r:id="rId62"/>
    <sheet name="F.8" sheetId="239" r:id="rId63"/>
    <sheet name="F.9" sheetId="249" r:id="rId64"/>
    <sheet name="F.10" sheetId="250" r:id="rId65"/>
    <sheet name="F.11" sheetId="252" r:id="rId66"/>
    <sheet name="F.12" sheetId="253" r:id="rId67"/>
    <sheet name="G.1" sheetId="36" r:id="rId68"/>
    <sheet name="G.2" sheetId="35" r:id="rId69"/>
    <sheet name="G.3" sheetId="34" r:id="rId70"/>
    <sheet name="H.1" sheetId="37" r:id="rId71"/>
    <sheet name="I.1" sheetId="42" r:id="rId72"/>
    <sheet name="I.2" sheetId="41" r:id="rId73"/>
    <sheet name="I.3" sheetId="39" r:id="rId74"/>
    <sheet name="J-1 Base" sheetId="4" r:id="rId75"/>
    <sheet name="J.1" sheetId="202" r:id="rId76"/>
    <sheet name="J-2 B" sheetId="5" r:id="rId77"/>
    <sheet name="J-3 B" sheetId="8" r:id="rId78"/>
    <sheet name="J-4" sheetId="9" r:id="rId79"/>
    <sheet name="J-1 F" sheetId="95" r:id="rId80"/>
    <sheet name="J-3 F" sheetId="99" r:id="rId81"/>
    <sheet name="J-2 F" sheetId="98" r:id="rId82"/>
    <sheet name="K" sheetId="10" r:id="rId83"/>
  </sheets>
  <definedNames>
    <definedName name="\p">A.1!$B$48:$B$49</definedName>
    <definedName name="_Div012" localSheetId="64">#REF!</definedName>
    <definedName name="_Div012" localSheetId="63">#REF!</definedName>
    <definedName name="_Div012">#REF!</definedName>
    <definedName name="_Div02" localSheetId="64">#REF!</definedName>
    <definedName name="_Div02" localSheetId="63">#REF!</definedName>
    <definedName name="_Div02">#REF!</definedName>
    <definedName name="_Div091" localSheetId="64">#REF!</definedName>
    <definedName name="_Div091" localSheetId="63">#REF!</definedName>
    <definedName name="_Div091">#REF!</definedName>
    <definedName name="_xlnm._FilterDatabase" localSheetId="9" hidden="1">'B.3 B'!$B$184:$N$263</definedName>
    <definedName name="_Regression_Int" localSheetId="3" hidden="1">1</definedName>
    <definedName name="Case_No._2006_00464" localSheetId="64">#REF!</definedName>
    <definedName name="Case_No._2006_00464" localSheetId="63">#REF!</definedName>
    <definedName name="Case_No._2006_00464">#REF!</definedName>
    <definedName name="csDesignMode">1</definedName>
    <definedName name="Div012Cap" localSheetId="64">#REF!</definedName>
    <definedName name="Div012Cap" localSheetId="63">#REF!</definedName>
    <definedName name="Div012Cap">#REF!</definedName>
    <definedName name="Div02Cap" localSheetId="64">#REF!</definedName>
    <definedName name="Div02Cap" localSheetId="63">#REF!</definedName>
    <definedName name="Div02Cap">#REF!</definedName>
    <definedName name="Div091Cap" localSheetId="64">#REF!</definedName>
    <definedName name="Div091Cap" localSheetId="63">#REF!</definedName>
    <definedName name="Div091Cap">#REF!</definedName>
    <definedName name="Div09cap" localSheetId="64">#REF!</definedName>
    <definedName name="Div09cap" localSheetId="63">#REF!</definedName>
    <definedName name="Div09cap">#REF!</definedName>
    <definedName name="EssOptions" localSheetId="55">"A1100000000030000000001100020_0000"</definedName>
    <definedName name="EssOptions" localSheetId="57">"A1100000000030000000001100020_0000"</definedName>
    <definedName name="kytax" localSheetId="64">#REF!</definedName>
    <definedName name="kytax" localSheetId="63">#REF!</definedName>
    <definedName name="kytax">#REF!</definedName>
    <definedName name="ltdrate" localSheetId="64">#REF!</definedName>
    <definedName name="ltdrate" localSheetId="63">#REF!</definedName>
    <definedName name="ltdrate">#REF!</definedName>
    <definedName name="_xlnm.Print_Area" localSheetId="3">A.1!$A$1:$G$45</definedName>
    <definedName name="_xlnm.Print_Area" localSheetId="1">Allocation!$A$1:$I$31</definedName>
    <definedName name="_xlnm.Print_Area" localSheetId="5">'B.1 B'!$A$1:$F$31</definedName>
    <definedName name="_xlnm.Print_Area" localSheetId="6">'B.1 F '!$A$1:$F$31</definedName>
    <definedName name="_xlnm.Print_Area" localSheetId="7">'B.2 B'!$A$1:$N$269</definedName>
    <definedName name="_xlnm.Print_Area" localSheetId="8">'B.2 F'!$A$1:$N$269</definedName>
    <definedName name="_xlnm.Print_Area" localSheetId="9">'B.3 B'!$A$1:$N$263</definedName>
    <definedName name="_xlnm.Print_Area" localSheetId="10">'B.3 F'!$A$1:$N$265</definedName>
    <definedName name="_xlnm.Print_Area" localSheetId="11">'B.3.1 F'!$A$1:$H$267</definedName>
    <definedName name="_xlnm.Print_Area" localSheetId="12">'B.4 B'!$A$1:$E$24</definedName>
    <definedName name="_xlnm.Print_Area" localSheetId="13">'B.4 F'!$A$1:$E$24</definedName>
    <definedName name="_xlnm.Print_Area" localSheetId="14">'B.4.1 B'!$A$1:$K$37</definedName>
    <definedName name="_xlnm.Print_Area" localSheetId="15">'B.4.1 F'!$A$1:$K$37</definedName>
    <definedName name="_xlnm.Print_Area" localSheetId="16">'B.4.2 B'!$A$1:$H$34</definedName>
    <definedName name="_xlnm.Print_Area" localSheetId="17">'B.4.2 F'!$A$1:$H$33</definedName>
    <definedName name="_xlnm.Print_Area" localSheetId="18">'B.5 B'!$A$1:$L$51</definedName>
    <definedName name="_xlnm.Print_Area" localSheetId="19">'B.5 F'!$A$1:$L$88</definedName>
    <definedName name="_xlnm.Print_Area" localSheetId="20">'B.6 B'!$A$1:$L$25</definedName>
    <definedName name="_xlnm.Print_Area" localSheetId="21">'B.6 F'!$A$1:$L$25</definedName>
    <definedName name="_xlnm.Print_Area" localSheetId="31">C.1!$A$1:$J$31</definedName>
    <definedName name="_xlnm.Print_Area" localSheetId="32">C.2!$A$1:$O$34</definedName>
    <definedName name="_xlnm.Print_Area" localSheetId="33">'C.2.1 B'!$A$1:$D$183</definedName>
    <definedName name="_xlnm.Print_Area" localSheetId="34">'C.2.1 F'!$A$1:$D$178</definedName>
    <definedName name="_xlnm.Print_Area" localSheetId="36">'C.2.2 B 02'!$A$12:$P$50</definedName>
    <definedName name="_xlnm.Print_Area" localSheetId="35">'C.2.2 B 09'!$A$12:$P$118</definedName>
    <definedName name="_xlnm.Print_Area" localSheetId="37">'C.2.2 B 12'!$A$12:$P$41</definedName>
    <definedName name="_xlnm.Print_Area" localSheetId="38">'C.2.2 B 91'!$A$12:$P$66</definedName>
    <definedName name="_xlnm.Print_Area" localSheetId="40">'C.2.2-F 02'!$A$12:$P$50</definedName>
    <definedName name="_xlnm.Print_Area" localSheetId="39">'C.2.2-F 09'!$A$12:$P$117</definedName>
    <definedName name="_xlnm.Print_Area" localSheetId="41">'C.2.2-F 12'!$A$12:$P$41</definedName>
    <definedName name="_xlnm.Print_Area" localSheetId="42">'C.2.2-F 91'!$A$12:$P$66</definedName>
    <definedName name="_xlnm.Print_Area" localSheetId="43">'C.2.3 B'!$A$1:$O$58</definedName>
    <definedName name="_xlnm.Print_Area" localSheetId="44">'C.2.3 F'!$A$1:$O$60</definedName>
    <definedName name="_xlnm.Print_Area" localSheetId="4">'Cover B'!$A$1:$C$24</definedName>
    <definedName name="_xlnm.Print_Area" localSheetId="30">'Cover C'!$A$1:$C$20</definedName>
    <definedName name="_xlnm.Print_Area" localSheetId="46">'Cover D'!$A$1:$C$25</definedName>
    <definedName name="_xlnm.Print_Area" localSheetId="51">'Cover E'!$A$1:$C$22</definedName>
    <definedName name="_xlnm.Print_Area" localSheetId="53">'Cover F'!$A$1:$C$31</definedName>
    <definedName name="_xlnm.Print_Area" localSheetId="47">D.1!$A$1:$P$172</definedName>
    <definedName name="_xlnm.Print_Area" localSheetId="48">D.2.1!$A$1:$D$72</definedName>
    <definedName name="_xlnm.Print_Area" localSheetId="49">D.2.2!$A$1:$D$45</definedName>
    <definedName name="_xlnm.Print_Area" localSheetId="50">D.2.3!$A$1:$D$23</definedName>
    <definedName name="_xlnm.Print_Area" localSheetId="52">E!$A$1:$H$37</definedName>
    <definedName name="_xlnm.Print_Area" localSheetId="54">F.1!$A$1:$I$113</definedName>
    <definedName name="_xlnm.Print_Area" localSheetId="64">F.10!$A$1:$F$39</definedName>
    <definedName name="_xlnm.Print_Area" localSheetId="65">F.11!$A$1:$F$20</definedName>
    <definedName name="_xlnm.Print_Area" localSheetId="66">F.12!$A$1:$I$39</definedName>
    <definedName name="_xlnm.Print_Area" localSheetId="55">F.2.1!$A$1:$F$38</definedName>
    <definedName name="_xlnm.Print_Area" localSheetId="56">F.2.2!$A$1:$J$37</definedName>
    <definedName name="_xlnm.Print_Area" localSheetId="57">F.3!$A$1:$J$78</definedName>
    <definedName name="_xlnm.Print_Area" localSheetId="58">F.4!$A$1:$K$32</definedName>
    <definedName name="_xlnm.Print_Area" localSheetId="59">F.5!$A$1:$I$39</definedName>
    <definedName name="_xlnm.Print_Area" localSheetId="60">F.6!$A$1:$E$32</definedName>
    <definedName name="_xlnm.Print_Area" localSheetId="61">F.7!$A$1:$I$51</definedName>
    <definedName name="_xlnm.Print_Area" localSheetId="62">F.8!$A$1:$I$28</definedName>
    <definedName name="_xlnm.Print_Area" localSheetId="63">F.9!$A$1:$F$23</definedName>
    <definedName name="_xlnm.Print_Area" localSheetId="67">G.1!$A$1:$L$32</definedName>
    <definedName name="_xlnm.Print_Area" localSheetId="68">G.2!$A$1:$P$53</definedName>
    <definedName name="_xlnm.Print_Area" localSheetId="69">G.3!$A$1:$L$46</definedName>
    <definedName name="_xlnm.Print_Area" localSheetId="70">H.1!$A$1:$E$36</definedName>
    <definedName name="_xlnm.Print_Area" localSheetId="71">I.1!$A$1:$P$48</definedName>
    <definedName name="_xlnm.Print_Area" localSheetId="72">I.2!$A$1:$S$39</definedName>
    <definedName name="_xlnm.Print_Area" localSheetId="73">I.3!$A$1:$S$44</definedName>
    <definedName name="_xlnm.Print_Area" localSheetId="75">J.1!$A$1:$V$54</definedName>
    <definedName name="_xlnm.Print_Area" localSheetId="74">'J-1 Base'!$A$1:$M$27</definedName>
    <definedName name="_xlnm.Print_Area" localSheetId="79">'J-1 F'!$A$1:$M$28</definedName>
    <definedName name="_xlnm.Print_Area" localSheetId="76">'J-2 B'!$A$1:$L$29</definedName>
    <definedName name="_xlnm.Print_Area" localSheetId="81">'J-2 F'!$A$1:$L$28</definedName>
    <definedName name="_xlnm.Print_Area" localSheetId="77">'J-3 B'!$A$1:$K$41</definedName>
    <definedName name="_xlnm.Print_Area" localSheetId="80">'J-3 F'!$A$1:$K$41</definedName>
    <definedName name="_xlnm.Print_Area" localSheetId="78">'J-4'!$A$1:$S$16</definedName>
    <definedName name="_xlnm.Print_Area" localSheetId="82">K!$A$1:$R$137</definedName>
    <definedName name="_xlnm.Print_Area" localSheetId="0">'Table of Contents'!$A$1:$C$21</definedName>
    <definedName name="_xlnm.Print_Area" localSheetId="22">'WP B.4.1B'!$A$1:$P$59</definedName>
    <definedName name="_xlnm.Print_Area" localSheetId="23">'WP B.4.1F'!$A$1:$P$60</definedName>
    <definedName name="_xlnm.Print_Area" localSheetId="24">'WP B.5 B'!$A$1:$Q$49</definedName>
    <definedName name="_xlnm.Print_Area" localSheetId="25">'WP B.5 B1'!$A$1:$E$33</definedName>
    <definedName name="_xlnm.Print_Area" localSheetId="26">'WP B.5 F'!$A$1:$Q$49</definedName>
    <definedName name="_xlnm.Print_Area" localSheetId="27">'WP B.5 F1'!$A$1:$J$344</definedName>
    <definedName name="_xlnm.Print_Area" localSheetId="28">'WP B.6 B'!$A$1:$Q$23</definedName>
    <definedName name="_xlnm.Print_Area" localSheetId="29">'WP B.6 F'!$A$1:$Q$23</definedName>
    <definedName name="_xlnm.Print_Area" localSheetId="45">'WP C.2.3 F'!$A$1:$E$29</definedName>
    <definedName name="Print_Area_MI">A.1!$A$1:$K$44</definedName>
    <definedName name="_xlnm.Print_Titles" localSheetId="5">'B.1 B'!$1:$8</definedName>
    <definedName name="_xlnm.Print_Titles" localSheetId="7">'B.2 B'!$1:$13</definedName>
    <definedName name="_xlnm.Print_Titles" localSheetId="8">'B.2 F'!$1:$13</definedName>
    <definedName name="_xlnm.Print_Titles" localSheetId="9">'B.3 B'!$1:$12</definedName>
    <definedName name="_xlnm.Print_Titles" localSheetId="10">'B.3 F'!$1:$12</definedName>
    <definedName name="_xlnm.Print_Titles" localSheetId="11">'B.3.1 F'!$1:$12</definedName>
    <definedName name="_xlnm.Print_Titles" localSheetId="18">'B.5 B'!$1:$11</definedName>
    <definedName name="_xlnm.Print_Titles" localSheetId="19">'B.5 F'!$1:$11</definedName>
    <definedName name="_xlnm.Print_Titles" localSheetId="20">'B.6 B'!$1:$11</definedName>
    <definedName name="_xlnm.Print_Titles" localSheetId="21">'B.6 F'!$1:$11</definedName>
    <definedName name="_xlnm.Print_Titles" localSheetId="33">'C.2.1 B'!$1:$12</definedName>
    <definedName name="_xlnm.Print_Titles" localSheetId="34">'C.2.1 F'!$1:$12</definedName>
    <definedName name="_xlnm.Print_Titles" localSheetId="36">'C.2.2 B 02'!$1:$11</definedName>
    <definedName name="_xlnm.Print_Titles" localSheetId="35">'C.2.2 B 09'!$1:$11</definedName>
    <definedName name="_xlnm.Print_Titles" localSheetId="37">'C.2.2 B 12'!$1:$11</definedName>
    <definedName name="_xlnm.Print_Titles" localSheetId="38">'C.2.2 B 91'!$1:$11</definedName>
    <definedName name="_xlnm.Print_Titles" localSheetId="40">'C.2.2-F 02'!$1:$11</definedName>
    <definedName name="_xlnm.Print_Titles" localSheetId="39">'C.2.2-F 09'!$1:$11</definedName>
    <definedName name="_xlnm.Print_Titles" localSheetId="41">'C.2.2-F 12'!$1:$11</definedName>
    <definedName name="_xlnm.Print_Titles" localSheetId="42">'C.2.2-F 91'!$1:$11</definedName>
    <definedName name="_xlnm.Print_Titles" localSheetId="43">'C.2.3 B'!$1:$10</definedName>
    <definedName name="_xlnm.Print_Titles" localSheetId="44">'C.2.3 F'!$1:$10</definedName>
    <definedName name="_xlnm.Print_Titles" localSheetId="47">D.1!$1:$9</definedName>
    <definedName name="_xlnm.Print_Titles" localSheetId="54">F.1!$1:$11</definedName>
    <definedName name="_xlnm.Print_Titles" localSheetId="60">F.6!$1:$9</definedName>
    <definedName name="_xlnm.Print_Titles" localSheetId="82">K!$1:$13</definedName>
    <definedName name="_xlnm.Print_Titles" localSheetId="24">'WP B.5 B'!$1:$11</definedName>
    <definedName name="_xlnm.Print_Titles" localSheetId="26">'WP B.5 F'!$1:$11</definedName>
    <definedName name="_xlnm.Print_Titles" localSheetId="27">'WP B.5 F1'!$1:$18</definedName>
    <definedName name="_xlnm.Print_Titles" localSheetId="28">'WP B.6 B'!$1:$11</definedName>
    <definedName name="_xlnm.Print_Titles" localSheetId="29">'WP B.6 F'!$1:$11</definedName>
    <definedName name="ROR" localSheetId="64">#REF!</definedName>
    <definedName name="ROR" localSheetId="63">#REF!</definedName>
    <definedName name="ROR">#REF!</definedName>
    <definedName name="SCHEDA">A.1!$A$1:$K$44</definedName>
    <definedName name="solver_adj" localSheetId="19" hidden="1">'B.5 F'!$I$73</definedName>
    <definedName name="solver_cvg" localSheetId="19" hidden="1">0.0001</definedName>
    <definedName name="solver_drv" localSheetId="19" hidden="1">1</definedName>
    <definedName name="solver_eng" localSheetId="19" hidden="1">1</definedName>
    <definedName name="solver_est" localSheetId="19" hidden="1">1</definedName>
    <definedName name="solver_itr" localSheetId="19" hidden="1">2147483647</definedName>
    <definedName name="solver_mip" localSheetId="19" hidden="1">2147483647</definedName>
    <definedName name="solver_mni" localSheetId="19" hidden="1">30</definedName>
    <definedName name="solver_mrt" localSheetId="19" hidden="1">0.075</definedName>
    <definedName name="solver_msl" localSheetId="19" hidden="1">2</definedName>
    <definedName name="solver_neg" localSheetId="19" hidden="1">2</definedName>
    <definedName name="solver_nod" localSheetId="19" hidden="1">2147483647</definedName>
    <definedName name="solver_num" localSheetId="19" hidden="1">0</definedName>
    <definedName name="solver_nwt" localSheetId="19" hidden="1">1</definedName>
    <definedName name="solver_opt" localSheetId="19" hidden="1">'B.5 F'!$M$73</definedName>
    <definedName name="solver_pre" localSheetId="19" hidden="1">0.000001</definedName>
    <definedName name="solver_rbv" localSheetId="19" hidden="1">1</definedName>
    <definedName name="solver_rlx" localSheetId="19" hidden="1">2</definedName>
    <definedName name="solver_rsd" localSheetId="19" hidden="1">0</definedName>
    <definedName name="solver_scl" localSheetId="19" hidden="1">1</definedName>
    <definedName name="solver_sho" localSheetId="19" hidden="1">2</definedName>
    <definedName name="solver_ssz" localSheetId="19" hidden="1">100</definedName>
    <definedName name="solver_tim" localSheetId="19" hidden="1">2147483647</definedName>
    <definedName name="solver_tol" localSheetId="19" hidden="1">0.01</definedName>
    <definedName name="solver_typ" localSheetId="19" hidden="1">3</definedName>
    <definedName name="solver_val" localSheetId="19" hidden="1">0</definedName>
    <definedName name="solver_ver" localSheetId="19" hidden="1">3</definedName>
    <definedName name="stdrate" localSheetId="64">#REF!</definedName>
    <definedName name="stdrate" localSheetId="63">#REF!</definedName>
    <definedName name="stdrat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42" l="1"/>
  <c r="N18" i="42" l="1"/>
  <c r="N22" i="42"/>
  <c r="N31" i="42" l="1"/>
  <c r="A119" i="213" l="1"/>
  <c r="A120" i="213" s="1"/>
  <c r="A121" i="213" s="1"/>
  <c r="A122" i="213" s="1"/>
  <c r="A123" i="213" s="1"/>
  <c r="A124" i="213" s="1"/>
  <c r="A125" i="213" s="1"/>
  <c r="A126" i="213" s="1"/>
  <c r="A127" i="213" s="1"/>
  <c r="A128" i="213" s="1"/>
  <c r="A129" i="213" s="1"/>
  <c r="A130" i="213" s="1"/>
  <c r="A131" i="213" s="1"/>
  <c r="A132" i="213" s="1"/>
  <c r="A133" i="213" s="1"/>
  <c r="A134" i="213" s="1"/>
  <c r="A135" i="213" s="1"/>
  <c r="A136" i="213" s="1"/>
  <c r="A137" i="213" s="1"/>
  <c r="A138" i="213" s="1"/>
  <c r="A139" i="213" s="1"/>
  <c r="A140" i="213" s="1"/>
  <c r="A141" i="213" s="1"/>
  <c r="A142" i="213" s="1"/>
  <c r="A143" i="213" s="1"/>
  <c r="A144" i="213" s="1"/>
  <c r="A145" i="213" s="1"/>
  <c r="A146" i="213" s="1"/>
  <c r="A147" i="213" s="1"/>
  <c r="A148" i="213" s="1"/>
  <c r="A149" i="213" s="1"/>
  <c r="A150" i="213" s="1"/>
  <c r="A151" i="213" s="1"/>
  <c r="A152" i="213" s="1"/>
  <c r="A153" i="213" s="1"/>
  <c r="A154" i="213" s="1"/>
  <c r="A155" i="213" s="1"/>
  <c r="A156" i="213" s="1"/>
  <c r="A157" i="213" s="1"/>
  <c r="A158" i="213" s="1"/>
  <c r="A159" i="213" s="1"/>
  <c r="A160" i="213" s="1"/>
  <c r="A161" i="213" s="1"/>
  <c r="A162" i="213" s="1"/>
  <c r="A163" i="213" s="1"/>
  <c r="A164" i="213" s="1"/>
  <c r="A165" i="213" s="1"/>
  <c r="A166" i="213" s="1"/>
  <c r="A167" i="213" s="1"/>
  <c r="A168" i="213" s="1"/>
  <c r="A169" i="213" s="1"/>
  <c r="A170" i="213" s="1"/>
  <c r="A171" i="213" s="1"/>
  <c r="A172" i="213" s="1"/>
  <c r="A173" i="213" s="1"/>
  <c r="A174" i="213" s="1"/>
  <c r="A175" i="213" s="1"/>
  <c r="A176" i="213" s="1"/>
  <c r="A177" i="213" s="1"/>
  <c r="A178" i="213" s="1"/>
  <c r="A179" i="213" s="1"/>
  <c r="A180" i="213" s="1"/>
  <c r="A181" i="213" s="1"/>
  <c r="A182" i="213" s="1"/>
  <c r="A183" i="213" s="1"/>
  <c r="A184" i="213" s="1"/>
  <c r="A185" i="213" s="1"/>
  <c r="A186" i="213" s="1"/>
  <c r="A187" i="213" s="1"/>
  <c r="A188" i="213" s="1"/>
  <c r="A189" i="213" s="1"/>
  <c r="A190" i="213" s="1"/>
  <c r="A191" i="213" s="1"/>
  <c r="A192" i="213" s="1"/>
  <c r="A193" i="213" s="1"/>
  <c r="A194" i="213" s="1"/>
  <c r="A195" i="213" s="1"/>
  <c r="A196" i="213" s="1"/>
  <c r="A197" i="213" s="1"/>
  <c r="A198" i="213" s="1"/>
  <c r="A199" i="213" s="1"/>
  <c r="A200" i="213" s="1"/>
  <c r="A201" i="213" s="1"/>
  <c r="A202" i="213" s="1"/>
  <c r="A203" i="213" s="1"/>
  <c r="A204" i="213" s="1"/>
  <c r="A205" i="213" s="1"/>
  <c r="A206" i="213" s="1"/>
  <c r="A207" i="213" s="1"/>
  <c r="A208" i="213" s="1"/>
  <c r="A209" i="213" s="1"/>
  <c r="A210" i="213" s="1"/>
  <c r="A211" i="213" s="1"/>
  <c r="A212" i="213" s="1"/>
  <c r="A213" i="213" s="1"/>
  <c r="A214" i="213" s="1"/>
  <c r="A215" i="213" s="1"/>
  <c r="A216" i="213" s="1"/>
  <c r="A217" i="213" s="1"/>
  <c r="A218" i="213" s="1"/>
  <c r="A219" i="213" s="1"/>
  <c r="A220" i="213" s="1"/>
  <c r="A221" i="213" s="1"/>
  <c r="A222" i="213" s="1"/>
  <c r="A223" i="213" s="1"/>
  <c r="A224" i="213" s="1"/>
  <c r="A225" i="213" s="1"/>
  <c r="A226" i="213" s="1"/>
  <c r="A227" i="213" s="1"/>
  <c r="A228" i="213" s="1"/>
  <c r="A229" i="213" s="1"/>
  <c r="A230" i="213" s="1"/>
  <c r="A231" i="213" s="1"/>
  <c r="A232" i="213" s="1"/>
  <c r="A233" i="213" s="1"/>
  <c r="A234" i="213" s="1"/>
  <c r="A235" i="213" s="1"/>
  <c r="A236" i="213" s="1"/>
  <c r="A237" i="213" s="1"/>
  <c r="A238" i="213" s="1"/>
  <c r="A239" i="213" s="1"/>
  <c r="A240" i="213" s="1"/>
  <c r="A241" i="213" s="1"/>
  <c r="A242" i="213" s="1"/>
  <c r="A243" i="213" s="1"/>
  <c r="A244" i="213" s="1"/>
  <c r="A245" i="213" s="1"/>
  <c r="A246" i="213" s="1"/>
  <c r="A247" i="213" s="1"/>
  <c r="A248" i="213" s="1"/>
  <c r="A249" i="213" s="1"/>
  <c r="A250" i="213" s="1"/>
  <c r="A251" i="213" s="1"/>
  <c r="A252" i="213" s="1"/>
  <c r="A253" i="213" s="1"/>
  <c r="A254" i="213" s="1"/>
  <c r="A255" i="213" s="1"/>
  <c r="A256" i="213" s="1"/>
  <c r="A257" i="213" s="1"/>
  <c r="A258" i="213" s="1"/>
  <c r="A259" i="213" s="1"/>
  <c r="A260" i="213" s="1"/>
  <c r="A261" i="213" s="1"/>
  <c r="A262" i="213" s="1"/>
  <c r="A263" i="213" s="1"/>
  <c r="A264" i="213" s="1"/>
  <c r="A265" i="213" s="1"/>
  <c r="A266" i="213" s="1"/>
  <c r="A267" i="213" s="1"/>
  <c r="A268" i="213" s="1"/>
  <c r="A119" i="207"/>
  <c r="A120" i="207"/>
  <c r="A121" i="207"/>
  <c r="A122" i="207"/>
  <c r="A123" i="207" s="1"/>
  <c r="A124" i="207" s="1"/>
  <c r="A125" i="207" s="1"/>
  <c r="A126" i="207" s="1"/>
  <c r="A127" i="207" s="1"/>
  <c r="A128" i="207" s="1"/>
  <c r="A129" i="207" s="1"/>
  <c r="A130" i="207" s="1"/>
  <c r="A131" i="207" s="1"/>
  <c r="A132" i="207" s="1"/>
  <c r="A133" i="207" s="1"/>
  <c r="A134" i="207" s="1"/>
  <c r="A135" i="207" s="1"/>
  <c r="A136" i="207" s="1"/>
  <c r="A137" i="207" s="1"/>
  <c r="A138" i="207" s="1"/>
  <c r="A139" i="207" s="1"/>
  <c r="A140" i="207" s="1"/>
  <c r="A141" i="207" s="1"/>
  <c r="A142" i="207" s="1"/>
  <c r="A143" i="207" s="1"/>
  <c r="A144" i="207" s="1"/>
  <c r="A145" i="207" s="1"/>
  <c r="A146" i="207" s="1"/>
  <c r="A147" i="207" s="1"/>
  <c r="A148" i="207" s="1"/>
  <c r="A149" i="207" s="1"/>
  <c r="A150" i="207" s="1"/>
  <c r="A151" i="207" s="1"/>
  <c r="A152" i="207" s="1"/>
  <c r="A153" i="207" s="1"/>
  <c r="A154" i="207" s="1"/>
  <c r="A155" i="207" s="1"/>
  <c r="A156" i="207" s="1"/>
  <c r="A157" i="207" s="1"/>
  <c r="A158" i="207" s="1"/>
  <c r="A159" i="207" s="1"/>
  <c r="A160" i="207" s="1"/>
  <c r="A161" i="207" s="1"/>
  <c r="A162" i="207" s="1"/>
  <c r="A163" i="207" s="1"/>
  <c r="A164" i="207" s="1"/>
  <c r="A165" i="207" s="1"/>
  <c r="A166" i="207" s="1"/>
  <c r="A167" i="207" s="1"/>
  <c r="A168" i="207" s="1"/>
  <c r="A169" i="207" s="1"/>
  <c r="A170" i="207" s="1"/>
  <c r="A171" i="207" s="1"/>
  <c r="A172" i="207" s="1"/>
  <c r="A173" i="207" s="1"/>
  <c r="A174" i="207" s="1"/>
  <c r="A175" i="207" s="1"/>
  <c r="A176" i="207" s="1"/>
  <c r="A177" i="207" s="1"/>
  <c r="A178" i="207" s="1"/>
  <c r="A179" i="207" s="1"/>
  <c r="A180" i="207" s="1"/>
  <c r="A181" i="207" s="1"/>
  <c r="A182" i="207" s="1"/>
  <c r="A183" i="207" s="1"/>
  <c r="A184" i="207" s="1"/>
  <c r="A185" i="207" s="1"/>
  <c r="A186" i="207" s="1"/>
  <c r="A187" i="207" s="1"/>
  <c r="A188" i="207" s="1"/>
  <c r="A189" i="207" s="1"/>
  <c r="A190" i="207" s="1"/>
  <c r="A191" i="207" s="1"/>
  <c r="A192" i="207" s="1"/>
  <c r="A193" i="207" s="1"/>
  <c r="A194" i="207" s="1"/>
  <c r="A195" i="207" s="1"/>
  <c r="A196" i="207" s="1"/>
  <c r="A197" i="207" s="1"/>
  <c r="A198" i="207" s="1"/>
  <c r="A199" i="207" s="1"/>
  <c r="A200" i="207" s="1"/>
  <c r="A201" i="207" s="1"/>
  <c r="A202" i="207" s="1"/>
  <c r="A203" i="207" s="1"/>
  <c r="A204" i="207" s="1"/>
  <c r="A205" i="207" s="1"/>
  <c r="A206" i="207" s="1"/>
  <c r="A207" i="207" s="1"/>
  <c r="A208" i="207" s="1"/>
  <c r="A209" i="207" s="1"/>
  <c r="A210" i="207" s="1"/>
  <c r="A211" i="207" s="1"/>
  <c r="A212" i="207" s="1"/>
  <c r="A213" i="207" s="1"/>
  <c r="A214" i="207" s="1"/>
  <c r="A215" i="207" s="1"/>
  <c r="A216" i="207" s="1"/>
  <c r="A217" i="207" s="1"/>
  <c r="A218" i="207" s="1"/>
  <c r="A219" i="207" s="1"/>
  <c r="A220" i="207" s="1"/>
  <c r="A221" i="207" s="1"/>
  <c r="A222" i="207" s="1"/>
  <c r="A223" i="207" s="1"/>
  <c r="A224" i="207" s="1"/>
  <c r="A225" i="207" s="1"/>
  <c r="A226" i="207" s="1"/>
  <c r="A227" i="207" s="1"/>
  <c r="A228" i="207" s="1"/>
  <c r="A229" i="207" s="1"/>
  <c r="A230" i="207" s="1"/>
  <c r="A231" i="207" s="1"/>
  <c r="A232" i="207" s="1"/>
  <c r="A233" i="207" s="1"/>
  <c r="A234" i="207" s="1"/>
  <c r="A235" i="207" s="1"/>
  <c r="A236" i="207" s="1"/>
  <c r="A237" i="207" s="1"/>
  <c r="A238" i="207" s="1"/>
  <c r="A239" i="207" s="1"/>
  <c r="A240" i="207" s="1"/>
  <c r="A241" i="207" s="1"/>
  <c r="A242" i="207" s="1"/>
  <c r="A243" i="207" s="1"/>
  <c r="A244" i="207" s="1"/>
  <c r="A245" i="207" s="1"/>
  <c r="A246" i="207" s="1"/>
  <c r="A247" i="207" s="1"/>
  <c r="A248" i="207" s="1"/>
  <c r="A249" i="207" s="1"/>
  <c r="A250" i="207" s="1"/>
  <c r="A251" i="207" s="1"/>
  <c r="A252" i="207" s="1"/>
  <c r="A253" i="207" s="1"/>
  <c r="A254" i="207" s="1"/>
  <c r="A255" i="207" s="1"/>
  <c r="A256" i="207" s="1"/>
  <c r="A257" i="207" s="1"/>
  <c r="A258" i="207" s="1"/>
  <c r="A259" i="207" s="1"/>
  <c r="A260" i="207" s="1"/>
  <c r="A261" i="207" s="1"/>
  <c r="A262" i="207" s="1"/>
  <c r="A263" i="207" s="1"/>
  <c r="A264" i="207" s="1"/>
  <c r="A265" i="207" s="1"/>
  <c r="A266" i="207" s="1"/>
  <c r="A267" i="207" s="1"/>
  <c r="A268" i="207" s="1"/>
  <c r="A265" i="237" l="1"/>
  <c r="A266" i="237"/>
  <c r="A267" i="237" s="1"/>
  <c r="P8" i="214" l="1"/>
  <c r="A8" i="214"/>
  <c r="A7" i="214"/>
  <c r="A6" i="214"/>
  <c r="P8" i="216"/>
  <c r="A8" i="216"/>
  <c r="A7" i="216"/>
  <c r="A6" i="216"/>
  <c r="Q8" i="233"/>
  <c r="Q8" i="230"/>
  <c r="F8" i="137" l="1"/>
  <c r="A18" i="98" l="1"/>
  <c r="A19" i="98"/>
  <c r="A20" i="98"/>
  <c r="A17" i="98"/>
  <c r="A22" i="95"/>
  <c r="A23" i="95"/>
  <c r="A24" i="95"/>
  <c r="A25" i="95"/>
  <c r="A26" i="95"/>
  <c r="A27" i="95"/>
  <c r="A28" i="95"/>
  <c r="A21" i="95"/>
  <c r="A18" i="5"/>
  <c r="A19" i="5" s="1"/>
  <c r="A20" i="5" s="1"/>
  <c r="A17" i="5"/>
  <c r="A45" i="202"/>
  <c r="A46" i="202"/>
  <c r="A47" i="202"/>
  <c r="A48" i="202"/>
  <c r="A49" i="202"/>
  <c r="A50" i="202"/>
  <c r="A51" i="202"/>
  <c r="A52" i="202"/>
  <c r="A53" i="202"/>
  <c r="A54" i="202"/>
  <c r="A44" i="202"/>
  <c r="A43" i="202"/>
  <c r="A42" i="202"/>
  <c r="A19" i="202"/>
  <c r="A20" i="202"/>
  <c r="A21" i="202"/>
  <c r="A22" i="202"/>
  <c r="A23" i="202"/>
  <c r="A24" i="202"/>
  <c r="A25" i="202"/>
  <c r="A26" i="202" s="1"/>
  <c r="A27" i="202" s="1"/>
  <c r="A28" i="202" s="1"/>
  <c r="A29" i="202" s="1"/>
  <c r="A18" i="202"/>
  <c r="A19" i="4"/>
  <c r="A20" i="4" s="1"/>
  <c r="A21" i="4" s="1"/>
  <c r="A22" i="4" s="1"/>
  <c r="A23" i="4" s="1"/>
  <c r="A24" i="4" s="1"/>
  <c r="A25" i="4" s="1"/>
  <c r="A26" i="4" s="1"/>
  <c r="A27" i="4" s="1"/>
  <c r="A18" i="4"/>
  <c r="A17" i="41"/>
  <c r="A18" i="41"/>
  <c r="A19" i="41"/>
  <c r="A20" i="41"/>
  <c r="A21" i="41"/>
  <c r="A22" i="41"/>
  <c r="A23" i="4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16" i="41"/>
  <c r="A19" i="37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18" i="37"/>
  <c r="A15" i="252"/>
  <c r="A16" i="252"/>
  <c r="A17" i="252" s="1"/>
  <c r="A18" i="252" s="1"/>
  <c r="A19" i="252" s="1"/>
  <c r="A14" i="252"/>
  <c r="A16" i="250"/>
  <c r="A17" i="250"/>
  <c r="A18" i="250" s="1"/>
  <c r="A19" i="250" s="1"/>
  <c r="A20" i="250" s="1"/>
  <c r="A21" i="250" s="1"/>
  <c r="A22" i="250" s="1"/>
  <c r="A23" i="250" s="1"/>
  <c r="A24" i="250" s="1"/>
  <c r="A25" i="250" s="1"/>
  <c r="A26" i="250" s="1"/>
  <c r="A27" i="250" s="1"/>
  <c r="A28" i="250" s="1"/>
  <c r="A29" i="250" s="1"/>
  <c r="A30" i="250" s="1"/>
  <c r="A31" i="250" s="1"/>
  <c r="A32" i="250" s="1"/>
  <c r="A33" i="250" s="1"/>
  <c r="A34" i="250" s="1"/>
  <c r="A35" i="250" s="1"/>
  <c r="A36" i="250" s="1"/>
  <c r="A37" i="250" s="1"/>
  <c r="A38" i="250" s="1"/>
  <c r="A39" i="250" s="1"/>
  <c r="A15" i="250"/>
  <c r="A17" i="84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33" i="84" s="1"/>
  <c r="A34" i="84" s="1"/>
  <c r="A35" i="84" s="1"/>
  <c r="A36" i="84" s="1"/>
  <c r="A37" i="84" s="1"/>
  <c r="A16" i="84"/>
  <c r="J343" i="251" l="1"/>
  <c r="J342" i="251"/>
  <c r="J341" i="251"/>
  <c r="J340" i="251"/>
  <c r="J339" i="251"/>
  <c r="J338" i="251"/>
  <c r="J337" i="251"/>
  <c r="J336" i="251"/>
  <c r="J335" i="251"/>
  <c r="J334" i="251"/>
  <c r="J333" i="251"/>
  <c r="J332" i="251"/>
  <c r="J331" i="251"/>
  <c r="J330" i="251"/>
  <c r="J329" i="251"/>
  <c r="J328" i="251"/>
  <c r="J327" i="251"/>
  <c r="J326" i="251"/>
  <c r="J325" i="251"/>
  <c r="J324" i="251"/>
  <c r="J323" i="251"/>
  <c r="J322" i="251"/>
  <c r="J321" i="251"/>
  <c r="J320" i="251"/>
  <c r="J319" i="251"/>
  <c r="J318" i="251"/>
  <c r="J317" i="251"/>
  <c r="J316" i="251"/>
  <c r="J315" i="251"/>
  <c r="J314" i="251"/>
  <c r="J313" i="251"/>
  <c r="J312" i="251"/>
  <c r="J311" i="251"/>
  <c r="J310" i="251"/>
  <c r="J309" i="251"/>
  <c r="J308" i="251"/>
  <c r="J307" i="251"/>
  <c r="J306" i="251"/>
  <c r="J305" i="251"/>
  <c r="J304" i="251"/>
  <c r="J303" i="251"/>
  <c r="J302" i="251"/>
  <c r="J301" i="251"/>
  <c r="J300" i="251"/>
  <c r="J299" i="251"/>
  <c r="J298" i="251"/>
  <c r="J297" i="251"/>
  <c r="J296" i="251"/>
  <c r="J295" i="251"/>
  <c r="J294" i="251"/>
  <c r="J293" i="251"/>
  <c r="J292" i="251"/>
  <c r="J291" i="251"/>
  <c r="J290" i="251"/>
  <c r="J289" i="251"/>
  <c r="J288" i="251"/>
  <c r="J287" i="251"/>
  <c r="J286" i="251"/>
  <c r="J285" i="251"/>
  <c r="J284" i="251"/>
  <c r="J283" i="251"/>
  <c r="Q22" i="230" l="1"/>
  <c r="Q24" i="230"/>
  <c r="Q26" i="230"/>
  <c r="A13" i="256"/>
  <c r="A14" i="256" s="1"/>
  <c r="A15" i="256" s="1"/>
  <c r="A16" i="256" s="1"/>
  <c r="A17" i="256" s="1"/>
  <c r="A18" i="256" s="1"/>
  <c r="A19" i="256" s="1"/>
  <c r="A20" i="256" s="1"/>
  <c r="A21" i="256" s="1"/>
  <c r="A22" i="256" s="1"/>
  <c r="A23" i="256" s="1"/>
  <c r="A24" i="256" s="1"/>
  <c r="A25" i="256" s="1"/>
  <c r="A26" i="256" s="1"/>
  <c r="A27" i="256" s="1"/>
  <c r="E8" i="256"/>
  <c r="A8" i="256"/>
  <c r="A7" i="256"/>
  <c r="A6" i="256"/>
  <c r="A4" i="256"/>
  <c r="A2" i="256"/>
  <c r="A1" i="256"/>
  <c r="E14" i="67" l="1"/>
  <c r="E14" i="31"/>
  <c r="O29" i="42" l="1"/>
  <c r="F225" i="209" l="1"/>
  <c r="E225" i="236"/>
  <c r="F223" i="236"/>
  <c r="A1" i="45" l="1"/>
  <c r="C39" i="35" l="1"/>
  <c r="I46" i="171" l="1"/>
  <c r="J46" i="171"/>
  <c r="K46" i="171"/>
  <c r="L46" i="171"/>
  <c r="M46" i="171"/>
  <c r="N46" i="171"/>
  <c r="I36" i="171"/>
  <c r="J36" i="171"/>
  <c r="K36" i="171"/>
  <c r="L36" i="171"/>
  <c r="M36" i="171"/>
  <c r="N36" i="171"/>
  <c r="I58" i="171"/>
  <c r="J58" i="171"/>
  <c r="K58" i="171"/>
  <c r="L58" i="171"/>
  <c r="M58" i="171"/>
  <c r="N58" i="171"/>
  <c r="C46" i="171"/>
  <c r="D46" i="171"/>
  <c r="E46" i="171"/>
  <c r="F46" i="171"/>
  <c r="G46" i="171"/>
  <c r="H46" i="171"/>
  <c r="C36" i="171"/>
  <c r="D36" i="171"/>
  <c r="E36" i="171"/>
  <c r="F36" i="171"/>
  <c r="G36" i="171"/>
  <c r="H36" i="171"/>
  <c r="C58" i="171"/>
  <c r="D58" i="171"/>
  <c r="E58" i="171"/>
  <c r="F58" i="171"/>
  <c r="G58" i="171"/>
  <c r="H58" i="171"/>
  <c r="O16" i="171" l="1"/>
  <c r="O51" i="171"/>
  <c r="O14" i="171"/>
  <c r="E14" i="256" l="1"/>
  <c r="E19" i="256" s="1"/>
  <c r="I58" i="238"/>
  <c r="H58" i="238"/>
  <c r="G58" i="238"/>
  <c r="F58" i="238"/>
  <c r="E58" i="238"/>
  <c r="D58" i="238"/>
  <c r="C58" i="238"/>
  <c r="K36" i="238"/>
  <c r="J36" i="238"/>
  <c r="I36" i="238"/>
  <c r="H36" i="238"/>
  <c r="G36" i="238"/>
  <c r="F36" i="238"/>
  <c r="E36" i="238"/>
  <c r="D36" i="238"/>
  <c r="C36" i="238"/>
  <c r="N46" i="238"/>
  <c r="L46" i="238"/>
  <c r="K46" i="238"/>
  <c r="G46" i="238"/>
  <c r="F46" i="238"/>
  <c r="E46" i="238"/>
  <c r="D46" i="238"/>
  <c r="C46" i="238"/>
  <c r="C44" i="238" l="1"/>
  <c r="O29" i="238"/>
  <c r="O14" i="238"/>
  <c r="L58" i="238"/>
  <c r="M58" i="238"/>
  <c r="J46" i="238"/>
  <c r="K58" i="238"/>
  <c r="J58" i="238"/>
  <c r="N36" i="238"/>
  <c r="H46" i="238"/>
  <c r="M46" i="238"/>
  <c r="N58" i="238"/>
  <c r="L36" i="238"/>
  <c r="M36" i="238"/>
  <c r="I46" i="238"/>
  <c r="F114" i="237" l="1"/>
  <c r="G114" i="237"/>
  <c r="O53" i="171" l="1"/>
  <c r="G24" i="171"/>
  <c r="H24" i="171"/>
  <c r="F24" i="171" l="1"/>
  <c r="E24" i="171"/>
  <c r="D24" i="171"/>
  <c r="C19" i="35" l="1"/>
  <c r="C46" i="35"/>
  <c r="C21" i="35"/>
  <c r="C28" i="35"/>
  <c r="C26" i="35"/>
  <c r="C32" i="35" l="1"/>
  <c r="E23" i="253" l="1"/>
  <c r="E24" i="253" s="1"/>
  <c r="D23" i="253" l="1"/>
  <c r="D24" i="253" s="1"/>
  <c r="G190" i="207" l="1"/>
  <c r="G189" i="207"/>
  <c r="M50" i="35" l="1"/>
  <c r="L50" i="35" s="1"/>
  <c r="D50" i="35"/>
  <c r="D49" i="35"/>
  <c r="D43" i="35"/>
  <c r="D42" i="35"/>
  <c r="D36" i="35"/>
  <c r="D35" i="35"/>
  <c r="D30" i="35"/>
  <c r="D25" i="35"/>
  <c r="D24" i="35"/>
  <c r="D18" i="35"/>
  <c r="D17" i="35"/>
  <c r="O18" i="238" l="1"/>
  <c r="O17" i="238"/>
  <c r="I30" i="193" l="1"/>
  <c r="H30" i="193"/>
  <c r="G30" i="193"/>
  <c r="F30" i="193"/>
  <c r="E30" i="193"/>
  <c r="D30" i="193"/>
  <c r="D153" i="237" l="1"/>
  <c r="H25" i="34" l="1"/>
  <c r="J29" i="34"/>
  <c r="H23" i="34"/>
  <c r="G17" i="207" l="1"/>
  <c r="E13" i="42" l="1"/>
  <c r="C27" i="99" l="1"/>
  <c r="C28" i="99"/>
  <c r="C29" i="99"/>
  <c r="C30" i="99"/>
  <c r="C31" i="99"/>
  <c r="C32" i="99"/>
  <c r="G32" i="99"/>
  <c r="I32" i="99" s="1"/>
  <c r="G31" i="99"/>
  <c r="I31" i="99" s="1"/>
  <c r="G30" i="99"/>
  <c r="G29" i="99"/>
  <c r="E29" i="99"/>
  <c r="G28" i="99"/>
  <c r="G27" i="99"/>
  <c r="E19" i="99"/>
  <c r="E18" i="99"/>
  <c r="E17" i="99"/>
  <c r="I32" i="8" l="1"/>
  <c r="I31" i="8"/>
  <c r="I29" i="8"/>
  <c r="I29" i="99"/>
  <c r="I20" i="8"/>
  <c r="E20" i="99"/>
  <c r="I30" i="8"/>
  <c r="E30" i="99"/>
  <c r="I30" i="99" s="1"/>
  <c r="I25" i="8"/>
  <c r="E25" i="99"/>
  <c r="I26" i="8"/>
  <c r="E26" i="99"/>
  <c r="I27" i="8"/>
  <c r="E27" i="99"/>
  <c r="I28" i="8"/>
  <c r="E28" i="99"/>
  <c r="I28" i="99" s="1"/>
  <c r="I21" i="8"/>
  <c r="E21" i="99"/>
  <c r="I22" i="8"/>
  <c r="E22" i="99"/>
  <c r="I23" i="8"/>
  <c r="E23" i="99"/>
  <c r="I19" i="8"/>
  <c r="I24" i="8"/>
  <c r="E24" i="99"/>
  <c r="I18" i="8"/>
  <c r="I17" i="8"/>
  <c r="E33" i="8"/>
  <c r="I16" i="8"/>
  <c r="I33" i="8" l="1"/>
  <c r="E21" i="192" l="1"/>
  <c r="F21" i="192"/>
  <c r="G21" i="192"/>
  <c r="H21" i="192"/>
  <c r="I21" i="192"/>
  <c r="E25" i="192"/>
  <c r="F25" i="192"/>
  <c r="G25" i="192"/>
  <c r="H25" i="192"/>
  <c r="I25" i="192"/>
  <c r="E27" i="192"/>
  <c r="F27" i="192"/>
  <c r="G27" i="192"/>
  <c r="H27" i="192"/>
  <c r="I27" i="192"/>
  <c r="E30" i="192"/>
  <c r="F30" i="192"/>
  <c r="G30" i="192"/>
  <c r="H30" i="192"/>
  <c r="I30" i="192"/>
  <c r="E31" i="192"/>
  <c r="F31" i="192"/>
  <c r="G31" i="192"/>
  <c r="H31" i="192"/>
  <c r="I31" i="192"/>
  <c r="E36" i="192"/>
  <c r="F36" i="192"/>
  <c r="G36" i="192"/>
  <c r="H36" i="192"/>
  <c r="I36" i="192"/>
  <c r="E37" i="192"/>
  <c r="F37" i="192"/>
  <c r="G37" i="192"/>
  <c r="H37" i="192"/>
  <c r="I37" i="192"/>
  <c r="E55" i="192"/>
  <c r="F55" i="192"/>
  <c r="G55" i="192"/>
  <c r="H55" i="192"/>
  <c r="I55" i="192"/>
  <c r="D27" i="192"/>
  <c r="D37" i="192"/>
  <c r="D36" i="192"/>
  <c r="D31" i="192"/>
  <c r="D30" i="192"/>
  <c r="D21" i="192"/>
  <c r="G59" i="192" l="1"/>
  <c r="F59" i="192"/>
  <c r="E59" i="192"/>
  <c r="H59" i="192"/>
  <c r="I59" i="192"/>
  <c r="E17" i="193" l="1"/>
  <c r="F17" i="193"/>
  <c r="G17" i="193"/>
  <c r="H17" i="193"/>
  <c r="I17" i="193"/>
  <c r="D36" i="193"/>
  <c r="H34" i="193" l="1"/>
  <c r="G34" i="193"/>
  <c r="I34" i="193"/>
  <c r="F34" i="193"/>
  <c r="E34" i="193"/>
  <c r="E14" i="190" l="1"/>
  <c r="F14" i="190"/>
  <c r="G14" i="190"/>
  <c r="H14" i="190"/>
  <c r="I14" i="190"/>
  <c r="E19" i="190"/>
  <c r="F19" i="190"/>
  <c r="G19" i="190"/>
  <c r="H19" i="190"/>
  <c r="I19" i="190"/>
  <c r="E22" i="190"/>
  <c r="F22" i="190"/>
  <c r="G22" i="190"/>
  <c r="H22" i="190"/>
  <c r="I22" i="190"/>
  <c r="E23" i="190"/>
  <c r="F23" i="190"/>
  <c r="G23" i="190"/>
  <c r="H23" i="190"/>
  <c r="I23" i="190"/>
  <c r="E27" i="190"/>
  <c r="F27" i="190"/>
  <c r="G27" i="190"/>
  <c r="H27" i="190"/>
  <c r="I27" i="190"/>
  <c r="E31" i="190"/>
  <c r="F31" i="190"/>
  <c r="G31" i="190"/>
  <c r="H31" i="190"/>
  <c r="I31" i="190"/>
  <c r="E45" i="190"/>
  <c r="E39" i="190"/>
  <c r="F39" i="190"/>
  <c r="G39" i="190"/>
  <c r="H39" i="190"/>
  <c r="I39" i="190"/>
  <c r="D45" i="190"/>
  <c r="D19" i="190"/>
  <c r="G61" i="190" l="1"/>
  <c r="H61" i="190"/>
  <c r="F61" i="190"/>
  <c r="I61" i="190"/>
  <c r="E61" i="190"/>
  <c r="E43" i="190"/>
  <c r="F43" i="190"/>
  <c r="H43" i="190"/>
  <c r="G43" i="190"/>
  <c r="I43" i="190"/>
  <c r="D46" i="190"/>
  <c r="J15" i="44" l="1"/>
  <c r="E28" i="44"/>
  <c r="F28" i="44"/>
  <c r="G28" i="44"/>
  <c r="H28" i="44"/>
  <c r="I28" i="44"/>
  <c r="E29" i="44"/>
  <c r="F29" i="44"/>
  <c r="G29" i="44"/>
  <c r="H29" i="44"/>
  <c r="I29" i="44"/>
  <c r="E30" i="44"/>
  <c r="F30" i="44"/>
  <c r="G30" i="44"/>
  <c r="H30" i="44"/>
  <c r="I30" i="44"/>
  <c r="E31" i="44"/>
  <c r="F31" i="44"/>
  <c r="G31" i="44"/>
  <c r="H31" i="44"/>
  <c r="I31" i="44"/>
  <c r="E32" i="44"/>
  <c r="F32" i="44"/>
  <c r="G32" i="44"/>
  <c r="H32" i="44"/>
  <c r="I32" i="44"/>
  <c r="E47" i="44"/>
  <c r="F47" i="44"/>
  <c r="G47" i="44"/>
  <c r="H47" i="44"/>
  <c r="I47" i="44"/>
  <c r="E58" i="44"/>
  <c r="F58" i="44"/>
  <c r="G58" i="44"/>
  <c r="H58" i="44"/>
  <c r="I58" i="44"/>
  <c r="E59" i="44"/>
  <c r="F59" i="44"/>
  <c r="G59" i="44"/>
  <c r="H59" i="44"/>
  <c r="I59" i="44"/>
  <c r="E60" i="44"/>
  <c r="F60" i="44"/>
  <c r="G60" i="44"/>
  <c r="H60" i="44"/>
  <c r="I60" i="44"/>
  <c r="E62" i="44"/>
  <c r="F62" i="44"/>
  <c r="G62" i="44"/>
  <c r="H62" i="44"/>
  <c r="I62" i="44"/>
  <c r="E63" i="44"/>
  <c r="F63" i="44"/>
  <c r="G63" i="44"/>
  <c r="H63" i="44"/>
  <c r="I63" i="44"/>
  <c r="E68" i="44"/>
  <c r="F68" i="44"/>
  <c r="G68" i="44"/>
  <c r="H68" i="44"/>
  <c r="I68" i="44"/>
  <c r="E69" i="44"/>
  <c r="F69" i="44"/>
  <c r="G69" i="44"/>
  <c r="H69" i="44"/>
  <c r="I69" i="44"/>
  <c r="E73" i="44"/>
  <c r="F73" i="44"/>
  <c r="G73" i="44"/>
  <c r="H73" i="44"/>
  <c r="I73" i="44"/>
  <c r="E86" i="44"/>
  <c r="F86" i="44"/>
  <c r="G86" i="44"/>
  <c r="H86" i="44"/>
  <c r="I86" i="44"/>
  <c r="E90" i="44"/>
  <c r="F90" i="44"/>
  <c r="G90" i="44"/>
  <c r="H90" i="44"/>
  <c r="I90" i="44"/>
  <c r="E91" i="44"/>
  <c r="F91" i="44"/>
  <c r="G91" i="44"/>
  <c r="H91" i="44"/>
  <c r="I91" i="44"/>
  <c r="E96" i="44"/>
  <c r="F96" i="44"/>
  <c r="G96" i="44"/>
  <c r="H96" i="44"/>
  <c r="I96" i="44"/>
  <c r="E111" i="44"/>
  <c r="F111" i="44"/>
  <c r="G111" i="44"/>
  <c r="H111" i="44"/>
  <c r="I111" i="44"/>
  <c r="E112" i="44"/>
  <c r="F112" i="44"/>
  <c r="G112" i="44"/>
  <c r="H112" i="44"/>
  <c r="I112" i="44"/>
  <c r="D47" i="44"/>
  <c r="D29" i="44"/>
  <c r="D111" i="44"/>
  <c r="D96" i="44"/>
  <c r="D90" i="44"/>
  <c r="D62" i="44"/>
  <c r="D63" i="44"/>
  <c r="G16" i="239" l="1"/>
  <c r="E16" i="239"/>
  <c r="A14" i="216"/>
  <c r="A15" i="216" s="1"/>
  <c r="A16" i="216" s="1"/>
  <c r="A17" i="216" s="1"/>
  <c r="A18" i="216" s="1"/>
  <c r="A19" i="216" s="1"/>
  <c r="A20" i="216" s="1"/>
  <c r="A21" i="216" s="1"/>
  <c r="A22" i="216" s="1"/>
  <c r="A23" i="216" s="1"/>
  <c r="C37" i="216" l="1"/>
  <c r="L25" i="216"/>
  <c r="C19" i="216"/>
  <c r="C25" i="216"/>
  <c r="A24" i="216"/>
  <c r="A25" i="216" s="1"/>
  <c r="A26" i="216" s="1"/>
  <c r="A27" i="216" s="1"/>
  <c r="A28" i="216" s="1"/>
  <c r="A13" i="214"/>
  <c r="A14" i="214" s="1"/>
  <c r="A15" i="214" s="1"/>
  <c r="A16" i="214" s="1"/>
  <c r="A17" i="214" s="1"/>
  <c r="A18" i="214" s="1"/>
  <c r="A19" i="214" s="1"/>
  <c r="A20" i="214" s="1"/>
  <c r="A21" i="214" s="1"/>
  <c r="A22" i="214" s="1"/>
  <c r="A29" i="216" l="1"/>
  <c r="A30" i="216" s="1"/>
  <c r="A31" i="216" s="1"/>
  <c r="A32" i="216" s="1"/>
  <c r="A33" i="216" s="1"/>
  <c r="A34" i="216" s="1"/>
  <c r="A23" i="214"/>
  <c r="A24" i="214" s="1"/>
  <c r="A25" i="214" s="1"/>
  <c r="A26" i="214" s="1"/>
  <c r="A27" i="214" s="1"/>
  <c r="A35" i="216" l="1"/>
  <c r="A36" i="216" s="1"/>
  <c r="A37" i="216" s="1"/>
  <c r="A38" i="216" s="1"/>
  <c r="A39" i="216" s="1"/>
  <c r="A40" i="216" s="1"/>
  <c r="A41" i="216" s="1"/>
  <c r="A42" i="216" s="1"/>
  <c r="A43" i="216" s="1"/>
  <c r="A44" i="216" s="1"/>
  <c r="A45" i="216" s="1"/>
  <c r="A46" i="216" s="1"/>
  <c r="A47" i="216" s="1"/>
  <c r="A48" i="216" s="1"/>
  <c r="A49" i="216" s="1"/>
  <c r="A50" i="216" s="1"/>
  <c r="A51" i="216" s="1"/>
  <c r="A52" i="216" s="1"/>
  <c r="A53" i="216" s="1"/>
  <c r="A54" i="216" s="1"/>
  <c r="A55" i="216" s="1"/>
  <c r="A56" i="216" s="1"/>
  <c r="A57" i="216" s="1"/>
  <c r="A28" i="214"/>
  <c r="A29" i="214" s="1"/>
  <c r="A30" i="214" s="1"/>
  <c r="A31" i="214" s="1"/>
  <c r="A32" i="214" s="1"/>
  <c r="A33" i="214" s="1"/>
  <c r="A34" i="214" s="1"/>
  <c r="A35" i="214" s="1"/>
  <c r="A36" i="214" s="1"/>
  <c r="A37" i="214" s="1"/>
  <c r="A38" i="214" s="1"/>
  <c r="A39" i="214" s="1"/>
  <c r="A40" i="214" s="1"/>
  <c r="A41" i="214" s="1"/>
  <c r="A42" i="214" s="1"/>
  <c r="A43" i="214" s="1"/>
  <c r="A44" i="214" s="1"/>
  <c r="A45" i="214" s="1"/>
  <c r="A46" i="214" s="1"/>
  <c r="A47" i="214" s="1"/>
  <c r="A48" i="214" s="1"/>
  <c r="A49" i="214" s="1"/>
  <c r="A50" i="214" s="1"/>
  <c r="A51" i="214" s="1"/>
  <c r="A52" i="214" s="1"/>
  <c r="A53" i="214" s="1"/>
  <c r="A54" i="214" s="1"/>
  <c r="A55" i="214" s="1"/>
  <c r="A56" i="214" s="1"/>
  <c r="I14" i="212" l="1"/>
  <c r="E14" i="212"/>
  <c r="E15" i="212" l="1"/>
  <c r="I22" i="212"/>
  <c r="I20" i="212" l="1"/>
  <c r="I21" i="212" l="1"/>
  <c r="F68" i="248" l="1"/>
  <c r="F69" i="248"/>
  <c r="F70" i="248"/>
  <c r="F71" i="248"/>
  <c r="F72" i="248"/>
  <c r="F73" i="248"/>
  <c r="F74" i="248"/>
  <c r="F75" i="248"/>
  <c r="F76" i="248"/>
  <c r="F77" i="248"/>
  <c r="F78" i="248"/>
  <c r="F79" i="248"/>
  <c r="F80" i="248"/>
  <c r="F81" i="248"/>
  <c r="F82" i="248"/>
  <c r="F83" i="248"/>
  <c r="F84" i="248"/>
  <c r="F85" i="248"/>
  <c r="F86" i="248"/>
  <c r="F87" i="248"/>
  <c r="F88" i="248"/>
  <c r="F89" i="248"/>
  <c r="F90" i="248"/>
  <c r="F91" i="248"/>
  <c r="F92" i="248"/>
  <c r="F93" i="248"/>
  <c r="F94" i="248"/>
  <c r="F95" i="248"/>
  <c r="F96" i="248"/>
  <c r="F97" i="248"/>
  <c r="F98" i="248"/>
  <c r="F99" i="248"/>
  <c r="F100" i="248"/>
  <c r="F101" i="248"/>
  <c r="F102" i="248"/>
  <c r="F103" i="248"/>
  <c r="F104" i="248"/>
  <c r="F105" i="248"/>
  <c r="F106" i="248"/>
  <c r="F107" i="248"/>
  <c r="F108" i="248"/>
  <c r="F109" i="248"/>
  <c r="F110" i="248"/>
  <c r="F111" i="248"/>
  <c r="F59" i="248"/>
  <c r="F60" i="248"/>
  <c r="F51" i="248"/>
  <c r="F52" i="248"/>
  <c r="F53" i="248"/>
  <c r="F54" i="248"/>
  <c r="F55" i="248"/>
  <c r="F56" i="248"/>
  <c r="F57" i="248"/>
  <c r="F58" i="248"/>
  <c r="F16" i="248"/>
  <c r="F17" i="248"/>
  <c r="F18" i="248"/>
  <c r="F19" i="248"/>
  <c r="F20" i="248"/>
  <c r="F21" i="248"/>
  <c r="F22" i="248"/>
  <c r="F23" i="248"/>
  <c r="F24" i="248"/>
  <c r="F25" i="248"/>
  <c r="F26" i="248"/>
  <c r="F27" i="248"/>
  <c r="F28" i="248"/>
  <c r="F29" i="248"/>
  <c r="F30" i="248"/>
  <c r="F31" i="248"/>
  <c r="F32" i="248"/>
  <c r="F33" i="248"/>
  <c r="F34" i="248"/>
  <c r="F35" i="248"/>
  <c r="F36" i="248"/>
  <c r="F37" i="248"/>
  <c r="F38" i="248"/>
  <c r="F39" i="248"/>
  <c r="F40" i="248"/>
  <c r="F41" i="248"/>
  <c r="F42" i="248"/>
  <c r="F43" i="248"/>
  <c r="F44" i="248"/>
  <c r="F45" i="248"/>
  <c r="F46" i="248"/>
  <c r="F47" i="248"/>
  <c r="F48" i="248"/>
  <c r="F49" i="248"/>
  <c r="F50" i="248"/>
  <c r="H74" i="248" l="1"/>
  <c r="I74" i="248" s="1"/>
  <c r="D62" i="248"/>
  <c r="F15" i="248"/>
  <c r="B21" i="251" l="1"/>
  <c r="B22" i="251" s="1"/>
  <c r="B23" i="251" s="1"/>
  <c r="B24" i="251" s="1"/>
  <c r="B25" i="251" s="1"/>
  <c r="B26" i="251" s="1"/>
  <c r="B27" i="251" s="1"/>
  <c r="B28" i="251" s="1"/>
  <c r="B29" i="251" s="1"/>
  <c r="B30" i="251" s="1"/>
  <c r="B31" i="251" s="1"/>
  <c r="B32" i="251" s="1"/>
  <c r="B33" i="251" s="1"/>
  <c r="B34" i="251" s="1"/>
  <c r="B35" i="251" s="1"/>
  <c r="B36" i="251" s="1"/>
  <c r="B37" i="251" s="1"/>
  <c r="B38" i="251" s="1"/>
  <c r="B39" i="251" s="1"/>
  <c r="B40" i="251" s="1"/>
  <c r="B41" i="251" s="1"/>
  <c r="B42" i="251" s="1"/>
  <c r="B43" i="251" s="1"/>
  <c r="B44" i="251" s="1"/>
  <c r="B45" i="251" s="1"/>
  <c r="B46" i="251" s="1"/>
  <c r="B47" i="251" s="1"/>
  <c r="B48" i="251" s="1"/>
  <c r="B49" i="251" s="1"/>
  <c r="B50" i="251" s="1"/>
  <c r="B51" i="251" s="1"/>
  <c r="B52" i="251" s="1"/>
  <c r="B53" i="251" s="1"/>
  <c r="B54" i="251" s="1"/>
  <c r="B55" i="251" s="1"/>
  <c r="B56" i="251" s="1"/>
  <c r="B57" i="251" s="1"/>
  <c r="B58" i="251" s="1"/>
  <c r="B59" i="251" s="1"/>
  <c r="B60" i="251" s="1"/>
  <c r="B61" i="251" s="1"/>
  <c r="B62" i="251" s="1"/>
  <c r="B63" i="251" s="1"/>
  <c r="B64" i="251" s="1"/>
  <c r="B65" i="251" s="1"/>
  <c r="B66" i="251" s="1"/>
  <c r="B67" i="251" s="1"/>
  <c r="B68" i="251" s="1"/>
  <c r="B69" i="251" s="1"/>
  <c r="B70" i="251" s="1"/>
  <c r="B71" i="251" s="1"/>
  <c r="B72" i="251" s="1"/>
  <c r="B73" i="251" s="1"/>
  <c r="B74" i="251" s="1"/>
  <c r="B75" i="251" s="1"/>
  <c r="B76" i="251" s="1"/>
  <c r="B77" i="251" s="1"/>
  <c r="B78" i="251" s="1"/>
  <c r="B79" i="251" s="1"/>
  <c r="B80" i="251" s="1"/>
  <c r="B81" i="251" s="1"/>
  <c r="B82" i="251" s="1"/>
  <c r="B83" i="251" s="1"/>
  <c r="B84" i="251" s="1"/>
  <c r="B85" i="251" s="1"/>
  <c r="B86" i="251" s="1"/>
  <c r="B87" i="251" s="1"/>
  <c r="B88" i="251" s="1"/>
  <c r="B89" i="251" s="1"/>
  <c r="B90" i="251" s="1"/>
  <c r="B91" i="251" s="1"/>
  <c r="B92" i="251" s="1"/>
  <c r="B93" i="251" s="1"/>
  <c r="B94" i="251" s="1"/>
  <c r="B95" i="251" s="1"/>
  <c r="B96" i="251" s="1"/>
  <c r="B97" i="251" s="1"/>
  <c r="B98" i="251" s="1"/>
  <c r="B99" i="251" s="1"/>
  <c r="B100" i="251" s="1"/>
  <c r="B101" i="251" s="1"/>
  <c r="B102" i="251" s="1"/>
  <c r="B103" i="251" s="1"/>
  <c r="B104" i="251" s="1"/>
  <c r="B105" i="251" s="1"/>
  <c r="B106" i="251" s="1"/>
  <c r="B107" i="251" s="1"/>
  <c r="B108" i="251" s="1"/>
  <c r="B109" i="251" s="1"/>
  <c r="B110" i="251" s="1"/>
  <c r="B111" i="251" s="1"/>
  <c r="B112" i="251" s="1"/>
  <c r="B113" i="251" s="1"/>
  <c r="B114" i="251" s="1"/>
  <c r="B115" i="251" s="1"/>
  <c r="B116" i="251" s="1"/>
  <c r="B117" i="251" s="1"/>
  <c r="B118" i="251" s="1"/>
  <c r="B119" i="251" s="1"/>
  <c r="B120" i="251" s="1"/>
  <c r="B121" i="251" s="1"/>
  <c r="B122" i="251" s="1"/>
  <c r="B123" i="251" s="1"/>
  <c r="B124" i="251" s="1"/>
  <c r="B125" i="251" s="1"/>
  <c r="B126" i="251" s="1"/>
  <c r="B127" i="251" s="1"/>
  <c r="B128" i="251" s="1"/>
  <c r="B129" i="251" s="1"/>
  <c r="B130" i="251" s="1"/>
  <c r="B131" i="251" s="1"/>
  <c r="B132" i="251" s="1"/>
  <c r="B133" i="251" s="1"/>
  <c r="B134" i="251" s="1"/>
  <c r="B135" i="251" s="1"/>
  <c r="B136" i="251" s="1"/>
  <c r="B137" i="251" s="1"/>
  <c r="B138" i="251" s="1"/>
  <c r="B139" i="251" s="1"/>
  <c r="B140" i="251" s="1"/>
  <c r="B141" i="251" s="1"/>
  <c r="B142" i="251" s="1"/>
  <c r="B143" i="251" s="1"/>
  <c r="B144" i="251" s="1"/>
  <c r="B145" i="251" s="1"/>
  <c r="B146" i="251" s="1"/>
  <c r="B147" i="251" s="1"/>
  <c r="B148" i="251" s="1"/>
  <c r="B149" i="251" s="1"/>
  <c r="B150" i="251" s="1"/>
  <c r="B151" i="251" s="1"/>
  <c r="B152" i="251" s="1"/>
  <c r="B153" i="251" s="1"/>
  <c r="B154" i="251" s="1"/>
  <c r="B155" i="251" s="1"/>
  <c r="B156" i="251" s="1"/>
  <c r="B157" i="251" s="1"/>
  <c r="B158" i="251" s="1"/>
  <c r="B159" i="251" s="1"/>
  <c r="B160" i="251" s="1"/>
  <c r="B161" i="251" s="1"/>
  <c r="B162" i="251" s="1"/>
  <c r="B163" i="251" s="1"/>
  <c r="B164" i="251" s="1"/>
  <c r="B165" i="251" s="1"/>
  <c r="B166" i="251" s="1"/>
  <c r="B167" i="251" s="1"/>
  <c r="B168" i="251" s="1"/>
  <c r="B169" i="251" s="1"/>
  <c r="B170" i="251" s="1"/>
  <c r="B171" i="251" s="1"/>
  <c r="B172" i="251" s="1"/>
  <c r="B173" i="251" s="1"/>
  <c r="B174" i="251" s="1"/>
  <c r="B175" i="251" s="1"/>
  <c r="B176" i="251" s="1"/>
  <c r="B177" i="251" s="1"/>
  <c r="B178" i="251" s="1"/>
  <c r="B179" i="251" s="1"/>
  <c r="B180" i="251" s="1"/>
  <c r="B181" i="251" s="1"/>
  <c r="B182" i="251" s="1"/>
  <c r="B183" i="251" s="1"/>
  <c r="B184" i="251" s="1"/>
  <c r="B185" i="251" s="1"/>
  <c r="B186" i="251" s="1"/>
  <c r="B187" i="251" s="1"/>
  <c r="B188" i="251" s="1"/>
  <c r="B189" i="251" s="1"/>
  <c r="B190" i="251" s="1"/>
  <c r="B191" i="251" s="1"/>
  <c r="B192" i="251" s="1"/>
  <c r="B193" i="251" s="1"/>
  <c r="B194" i="251" s="1"/>
  <c r="B195" i="251" s="1"/>
  <c r="B196" i="251" s="1"/>
  <c r="B197" i="251" s="1"/>
  <c r="B198" i="251" s="1"/>
  <c r="B199" i="251" s="1"/>
  <c r="B200" i="251" s="1"/>
  <c r="B201" i="251" s="1"/>
  <c r="B202" i="251" s="1"/>
  <c r="B203" i="251" s="1"/>
  <c r="B204" i="251" s="1"/>
  <c r="B205" i="251" s="1"/>
  <c r="B206" i="251" s="1"/>
  <c r="B207" i="251" s="1"/>
  <c r="B208" i="251" s="1"/>
  <c r="B209" i="251" s="1"/>
  <c r="B210" i="251" s="1"/>
  <c r="B211" i="251" s="1"/>
  <c r="B212" i="251" s="1"/>
  <c r="B213" i="251" s="1"/>
  <c r="B214" i="251" s="1"/>
  <c r="B215" i="251" s="1"/>
  <c r="B216" i="251" s="1"/>
  <c r="B217" i="251" s="1"/>
  <c r="B218" i="251" s="1"/>
  <c r="B219" i="251" s="1"/>
  <c r="B220" i="251" s="1"/>
  <c r="B221" i="251" s="1"/>
  <c r="B222" i="251" s="1"/>
  <c r="B223" i="251" s="1"/>
  <c r="B224" i="251" s="1"/>
  <c r="B225" i="251" s="1"/>
  <c r="B226" i="251" s="1"/>
  <c r="B227" i="251" s="1"/>
  <c r="B228" i="251" s="1"/>
  <c r="B229" i="251" s="1"/>
  <c r="B230" i="251" s="1"/>
  <c r="B231" i="251" s="1"/>
  <c r="B232" i="251" s="1"/>
  <c r="B233" i="251" s="1"/>
  <c r="B234" i="251" s="1"/>
  <c r="B235" i="251" s="1"/>
  <c r="B236" i="251" s="1"/>
  <c r="B237" i="251" s="1"/>
  <c r="B238" i="251" s="1"/>
  <c r="B239" i="251" s="1"/>
  <c r="B240" i="251" s="1"/>
  <c r="B241" i="251" s="1"/>
  <c r="B242" i="251" s="1"/>
  <c r="B243" i="251" s="1"/>
  <c r="B244" i="251" s="1"/>
  <c r="B245" i="251" s="1"/>
  <c r="B246" i="251" s="1"/>
  <c r="B247" i="251" s="1"/>
  <c r="B248" i="251" s="1"/>
  <c r="B249" i="251" s="1"/>
  <c r="B250" i="251" s="1"/>
  <c r="B251" i="251" s="1"/>
  <c r="B252" i="251" s="1"/>
  <c r="B253" i="251" s="1"/>
  <c r="B254" i="251" s="1"/>
  <c r="B255" i="251" s="1"/>
  <c r="B256" i="251" s="1"/>
  <c r="B257" i="251" s="1"/>
  <c r="B258" i="251" s="1"/>
  <c r="B259" i="251" s="1"/>
  <c r="B260" i="251" s="1"/>
  <c r="B261" i="251" s="1"/>
  <c r="B262" i="251" s="1"/>
  <c r="B263" i="251" s="1"/>
  <c r="B264" i="251" s="1"/>
  <c r="B265" i="251" s="1"/>
  <c r="B266" i="251" s="1"/>
  <c r="B267" i="251" s="1"/>
  <c r="B268" i="251" s="1"/>
  <c r="B269" i="251" s="1"/>
  <c r="B270" i="251" s="1"/>
  <c r="B271" i="251" s="1"/>
  <c r="B272" i="251" s="1"/>
  <c r="B273" i="251" s="1"/>
  <c r="B274" i="251" s="1"/>
  <c r="B275" i="251" s="1"/>
  <c r="B276" i="251" s="1"/>
  <c r="B277" i="251" s="1"/>
  <c r="B278" i="251" s="1"/>
  <c r="B279" i="251" s="1"/>
  <c r="B280" i="251" s="1"/>
  <c r="B281" i="251" s="1"/>
  <c r="B282" i="251" s="1"/>
  <c r="B283" i="251" s="1"/>
  <c r="B284" i="251" s="1"/>
  <c r="B285" i="251" s="1"/>
  <c r="B286" i="251" s="1"/>
  <c r="B287" i="251" s="1"/>
  <c r="B288" i="251" s="1"/>
  <c r="B289" i="251" s="1"/>
  <c r="B290" i="251" s="1"/>
  <c r="B291" i="251" s="1"/>
  <c r="B292" i="251" s="1"/>
  <c r="B293" i="251" s="1"/>
  <c r="B294" i="251" s="1"/>
  <c r="B295" i="251" s="1"/>
  <c r="B296" i="251" s="1"/>
  <c r="B297" i="251" s="1"/>
  <c r="B298" i="251" s="1"/>
  <c r="B299" i="251" s="1"/>
  <c r="B300" i="251" s="1"/>
  <c r="B301" i="251" s="1"/>
  <c r="B302" i="251" s="1"/>
  <c r="B303" i="251" s="1"/>
  <c r="B304" i="251" s="1"/>
  <c r="B305" i="251" s="1"/>
  <c r="B306" i="251" s="1"/>
  <c r="B307" i="251" s="1"/>
  <c r="B308" i="251" s="1"/>
  <c r="B309" i="251" s="1"/>
  <c r="B310" i="251" s="1"/>
  <c r="B311" i="251" s="1"/>
  <c r="B312" i="251" s="1"/>
  <c r="B313" i="251" s="1"/>
  <c r="B314" i="251" s="1"/>
  <c r="B315" i="251" s="1"/>
  <c r="B316" i="251" s="1"/>
  <c r="B317" i="251" s="1"/>
  <c r="B318" i="251" s="1"/>
  <c r="B319" i="251" s="1"/>
  <c r="B320" i="251" s="1"/>
  <c r="B321" i="251" s="1"/>
  <c r="B322" i="251" s="1"/>
  <c r="B323" i="251" s="1"/>
  <c r="B324" i="251" s="1"/>
  <c r="B325" i="251" s="1"/>
  <c r="B326" i="251" s="1"/>
  <c r="B327" i="251" s="1"/>
  <c r="B328" i="251" s="1"/>
  <c r="B329" i="251" s="1"/>
  <c r="B330" i="251" s="1"/>
  <c r="B331" i="251" s="1"/>
  <c r="B332" i="251" s="1"/>
  <c r="B333" i="251" s="1"/>
  <c r="B334" i="251" s="1"/>
  <c r="B335" i="251" s="1"/>
  <c r="B336" i="251" s="1"/>
  <c r="B337" i="251" s="1"/>
  <c r="B338" i="251" s="1"/>
  <c r="B339" i="251" s="1"/>
  <c r="B340" i="251" s="1"/>
  <c r="B341" i="251" s="1"/>
  <c r="B342" i="251" s="1"/>
  <c r="B343" i="251" s="1"/>
  <c r="Q45" i="233" l="1"/>
  <c r="C11" i="255" l="1"/>
  <c r="C12" i="255" s="1"/>
  <c r="C13" i="255" s="1"/>
  <c r="C14" i="255" s="1"/>
  <c r="C15" i="255" s="1"/>
  <c r="C16" i="255" s="1"/>
  <c r="C17" i="255" s="1"/>
  <c r="C18" i="255" s="1"/>
  <c r="C19" i="255" s="1"/>
  <c r="C20" i="255" s="1"/>
  <c r="C21" i="255" s="1"/>
  <c r="C22" i="255" s="1"/>
  <c r="A4" i="255"/>
  <c r="A3" i="255"/>
  <c r="A2" i="255"/>
  <c r="A1" i="255"/>
  <c r="C17" i="253" l="1"/>
  <c r="A5" i="253" l="1"/>
  <c r="A4" i="253"/>
  <c r="E25" i="253"/>
  <c r="C18" i="253"/>
  <c r="C19" i="253" s="1"/>
  <c r="C20" i="253" s="1"/>
  <c r="C21" i="253" s="1"/>
  <c r="C22" i="253" s="1"/>
  <c r="C23" i="253" s="1"/>
  <c r="C24" i="253" s="1"/>
  <c r="C25" i="253" s="1"/>
  <c r="C26" i="253" s="1"/>
  <c r="C27" i="253" s="1"/>
  <c r="C28" i="253" s="1"/>
  <c r="C33" i="253" s="1"/>
  <c r="C34" i="253" s="1"/>
  <c r="G16" i="253" l="1"/>
  <c r="G17" i="253" s="1"/>
  <c r="G18" i="253" s="1"/>
  <c r="G19" i="253" s="1"/>
  <c r="G20" i="253" s="1"/>
  <c r="G21" i="253" s="1"/>
  <c r="G22" i="253" s="1"/>
  <c r="G23" i="253" s="1"/>
  <c r="G24" i="253" s="1"/>
  <c r="G25" i="253" s="1"/>
  <c r="G26" i="253" s="1"/>
  <c r="G27" i="253" s="1"/>
  <c r="G28" i="253" s="1"/>
  <c r="E26" i="253"/>
  <c r="E27" i="253" s="1"/>
  <c r="E28" i="253" s="1"/>
  <c r="E33" i="253" s="1"/>
  <c r="E34" i="253" s="1"/>
  <c r="I16" i="253" s="1"/>
  <c r="D25" i="253"/>
  <c r="E30" i="253" l="1"/>
  <c r="D26" i="253"/>
  <c r="D27" i="253" s="1"/>
  <c r="D28" i="253" s="1"/>
  <c r="D33" i="253" s="1"/>
  <c r="D34" i="253" s="1"/>
  <c r="H16" i="253" s="1"/>
  <c r="I17" i="253" s="1"/>
  <c r="H17" i="253" l="1"/>
  <c r="I19" i="253"/>
  <c r="I28" i="253"/>
  <c r="I25" i="253"/>
  <c r="I24" i="253"/>
  <c r="I20" i="253"/>
  <c r="I18" i="253"/>
  <c r="I26" i="253"/>
  <c r="I22" i="253"/>
  <c r="I27" i="253"/>
  <c r="I23" i="253"/>
  <c r="I21" i="253"/>
  <c r="D30" i="253"/>
  <c r="E25" i="212"/>
  <c r="E21" i="84"/>
  <c r="I30" i="253" l="1"/>
  <c r="I39" i="253" s="1"/>
  <c r="P29" i="42"/>
  <c r="A16" i="253" l="1"/>
  <c r="A17" i="253" s="1"/>
  <c r="A18" i="253" s="1"/>
  <c r="A19" i="253" s="1"/>
  <c r="A20" i="253" s="1"/>
  <c r="A21" i="253" s="1"/>
  <c r="A22" i="253" s="1"/>
  <c r="A23" i="253" s="1"/>
  <c r="A24" i="253" s="1"/>
  <c r="A25" i="253" s="1"/>
  <c r="A26" i="253" s="1"/>
  <c r="A27" i="253" s="1"/>
  <c r="A28" i="253" s="1"/>
  <c r="A29" i="253" s="1"/>
  <c r="A30" i="253" s="1"/>
  <c r="A31" i="253" s="1"/>
  <c r="A32" i="253" s="1"/>
  <c r="A33" i="253" s="1"/>
  <c r="A34" i="253" s="1"/>
  <c r="A35" i="253" s="1"/>
  <c r="A36" i="253" s="1"/>
  <c r="A37" i="253" s="1"/>
  <c r="A38" i="253" s="1"/>
  <c r="A39" i="253" s="1"/>
  <c r="I9" i="253"/>
  <c r="A2" i="253"/>
  <c r="A1" i="253"/>
  <c r="G38" i="1" l="1"/>
  <c r="H18" i="253"/>
  <c r="H19" i="253" l="1"/>
  <c r="H20" i="253" s="1"/>
  <c r="H21" i="253" s="1"/>
  <c r="H22" i="253" s="1"/>
  <c r="H23" i="253" s="1"/>
  <c r="H24" i="253" s="1"/>
  <c r="H25" i="253" s="1"/>
  <c r="H26" i="253" s="1"/>
  <c r="H27" i="253" s="1"/>
  <c r="H28" i="253" s="1"/>
  <c r="D27" i="190"/>
  <c r="H30" i="253" l="1"/>
  <c r="H39" i="253" s="1"/>
  <c r="O8" i="238" l="1"/>
  <c r="J13" i="192"/>
  <c r="K13" i="192"/>
  <c r="L13" i="192"/>
  <c r="M13" i="192"/>
  <c r="N13" i="192"/>
  <c r="O13" i="192"/>
  <c r="J14" i="192"/>
  <c r="K14" i="192"/>
  <c r="L14" i="192"/>
  <c r="M14" i="192"/>
  <c r="N14" i="192"/>
  <c r="O14" i="192"/>
  <c r="G12" i="35" l="1"/>
  <c r="I12" i="35" s="1"/>
  <c r="K12" i="35" s="1"/>
  <c r="O50" i="35" l="1"/>
  <c r="G22" i="39" l="1"/>
  <c r="F13" i="42" l="1"/>
  <c r="G13" i="42" s="1"/>
  <c r="H13" i="42" s="1"/>
  <c r="P13" i="42"/>
  <c r="I98" i="248" l="1"/>
  <c r="I99" i="248"/>
  <c r="F56" i="237" l="1"/>
  <c r="G56" i="237"/>
  <c r="O12" i="192" l="1"/>
  <c r="N12" i="192"/>
  <c r="M12" i="192"/>
  <c r="L12" i="192"/>
  <c r="K12" i="192"/>
  <c r="J12" i="192"/>
  <c r="D55" i="192" l="1"/>
  <c r="D25" i="192"/>
  <c r="D59" i="192" s="1"/>
  <c r="O13" i="190" l="1"/>
  <c r="N13" i="190"/>
  <c r="M13" i="190"/>
  <c r="L13" i="190"/>
  <c r="K13" i="190"/>
  <c r="J13" i="190"/>
  <c r="O12" i="190"/>
  <c r="N12" i="190"/>
  <c r="M12" i="190"/>
  <c r="L12" i="190"/>
  <c r="K12" i="190"/>
  <c r="J12" i="190"/>
  <c r="P12" i="190" l="1"/>
  <c r="D31" i="190"/>
  <c r="D22" i="190"/>
  <c r="D112" i="44" l="1"/>
  <c r="D86" i="44"/>
  <c r="I15" i="212" l="1"/>
  <c r="J19" i="216"/>
  <c r="K19" i="216"/>
  <c r="D19" i="216"/>
  <c r="F19" i="216"/>
  <c r="G19" i="216"/>
  <c r="L19" i="216"/>
  <c r="N19" i="216"/>
  <c r="O19" i="216"/>
  <c r="H25" i="216"/>
  <c r="I25" i="216"/>
  <c r="J25" i="216"/>
  <c r="D25" i="216"/>
  <c r="E25" i="216"/>
  <c r="M25" i="216"/>
  <c r="D31" i="216"/>
  <c r="O31" i="216"/>
  <c r="J31" i="216"/>
  <c r="E18" i="214"/>
  <c r="H18" i="214"/>
  <c r="D18" i="214"/>
  <c r="D24" i="214"/>
  <c r="J24" i="214"/>
  <c r="L24" i="214"/>
  <c r="H24" i="214"/>
  <c r="L30" i="214"/>
  <c r="M30" i="214"/>
  <c r="H30" i="214"/>
  <c r="D30" i="214"/>
  <c r="K30" i="214"/>
  <c r="I36" i="214"/>
  <c r="L36" i="214"/>
  <c r="E36" i="214"/>
  <c r="F36" i="214"/>
  <c r="M36" i="214"/>
  <c r="N36" i="214"/>
  <c r="K36" i="214"/>
  <c r="G18" i="214" l="1"/>
  <c r="I19" i="216"/>
  <c r="M19" i="216"/>
  <c r="N18" i="214"/>
  <c r="H31" i="216"/>
  <c r="G31" i="216"/>
  <c r="O18" i="214"/>
  <c r="K18" i="214"/>
  <c r="E19" i="216"/>
  <c r="F18" i="214"/>
  <c r="G25" i="216"/>
  <c r="N31" i="216"/>
  <c r="F31" i="216"/>
  <c r="L31" i="216"/>
  <c r="N25" i="216"/>
  <c r="F25" i="216"/>
  <c r="O36" i="214"/>
  <c r="K31" i="216"/>
  <c r="F30" i="214"/>
  <c r="O24" i="214"/>
  <c r="G24" i="214"/>
  <c r="J18" i="214"/>
  <c r="E30" i="214"/>
  <c r="M31" i="216"/>
  <c r="E31" i="216"/>
  <c r="O25" i="216"/>
  <c r="L18" i="214"/>
  <c r="G36" i="214"/>
  <c r="I30" i="214"/>
  <c r="E24" i="214"/>
  <c r="M24" i="214"/>
  <c r="I24" i="214"/>
  <c r="O30" i="214"/>
  <c r="G30" i="214"/>
  <c r="K24" i="214"/>
  <c r="I18" i="214"/>
  <c r="M18" i="214"/>
  <c r="I31" i="216"/>
  <c r="J36" i="214"/>
  <c r="D36" i="214"/>
  <c r="J30" i="214"/>
  <c r="N30" i="214"/>
  <c r="N24" i="214"/>
  <c r="F24" i="214"/>
  <c r="K25" i="216"/>
  <c r="H19" i="216"/>
  <c r="C36" i="214"/>
  <c r="C30" i="214"/>
  <c r="C24" i="214"/>
  <c r="C18" i="214"/>
  <c r="P19" i="216" l="1"/>
  <c r="P25" i="216"/>
  <c r="E10" i="222" l="1"/>
  <c r="F10" i="222" s="1"/>
  <c r="G10" i="222" s="1"/>
  <c r="H10" i="222" s="1"/>
  <c r="I10" i="222" s="1"/>
  <c r="J10" i="222" s="1"/>
  <c r="K10" i="222" s="1"/>
  <c r="L10" i="222" s="1"/>
  <c r="M10" i="222" s="1"/>
  <c r="N10" i="222" s="1"/>
  <c r="O10" i="222" s="1"/>
  <c r="E10" i="44"/>
  <c r="F10" i="44" s="1"/>
  <c r="G10" i="44" s="1"/>
  <c r="H10" i="44" s="1"/>
  <c r="I10" i="44" s="1"/>
  <c r="J10" i="44" s="1"/>
  <c r="K10" i="44" s="1"/>
  <c r="L10" i="44" s="1"/>
  <c r="M10" i="44" s="1"/>
  <c r="N10" i="44" s="1"/>
  <c r="O10" i="44" s="1"/>
  <c r="A4" i="3"/>
  <c r="A4" i="137"/>
  <c r="L25" i="202"/>
  <c r="C26" i="99"/>
  <c r="C25" i="99"/>
  <c r="C24" i="99"/>
  <c r="C23" i="99"/>
  <c r="C22" i="99"/>
  <c r="C21" i="99"/>
  <c r="C20" i="99"/>
  <c r="C19" i="99"/>
  <c r="C18" i="99"/>
  <c r="C17" i="99"/>
  <c r="G26" i="99"/>
  <c r="G25" i="99"/>
  <c r="G24" i="99"/>
  <c r="G23" i="99"/>
  <c r="G22" i="99"/>
  <c r="G19" i="99"/>
  <c r="G18" i="99"/>
  <c r="G17" i="99"/>
  <c r="I24" i="99" l="1"/>
  <c r="I22" i="99"/>
  <c r="I23" i="99"/>
  <c r="G21" i="99"/>
  <c r="I21" i="99" s="1"/>
  <c r="G20" i="99"/>
  <c r="I20" i="99" s="1"/>
  <c r="A4" i="98"/>
  <c r="A4" i="99"/>
  <c r="K38" i="42" l="1"/>
  <c r="H221" i="209" l="1"/>
  <c r="H222" i="209"/>
  <c r="H223" i="209"/>
  <c r="E191" i="209"/>
  <c r="E192" i="209"/>
  <c r="E193" i="209"/>
  <c r="E194" i="209"/>
  <c r="E195" i="209"/>
  <c r="E196" i="209"/>
  <c r="E197" i="209"/>
  <c r="E198" i="209"/>
  <c r="E199" i="209"/>
  <c r="E200" i="209"/>
  <c r="E201" i="209"/>
  <c r="E202" i="209"/>
  <c r="E203" i="209"/>
  <c r="E204" i="209"/>
  <c r="E190" i="209"/>
  <c r="E227" i="209" s="1"/>
  <c r="L8" i="232" l="1"/>
  <c r="H9" i="24"/>
  <c r="H9" i="69" s="1"/>
  <c r="K9" i="30"/>
  <c r="K9" i="215" s="1"/>
  <c r="E8" i="67"/>
  <c r="H8" i="237"/>
  <c r="N8" i="209"/>
  <c r="N8" i="236"/>
  <c r="N8" i="213"/>
  <c r="F8" i="252" l="1"/>
  <c r="A2" i="252"/>
  <c r="A1" i="252"/>
  <c r="D57" i="216" l="1"/>
  <c r="E57" i="216"/>
  <c r="F57" i="216"/>
  <c r="G57" i="216"/>
  <c r="H57" i="216"/>
  <c r="I57" i="216"/>
  <c r="J57" i="216"/>
  <c r="K57" i="216"/>
  <c r="L57" i="216"/>
  <c r="M57" i="216"/>
  <c r="N57" i="216"/>
  <c r="O57" i="216"/>
  <c r="C57" i="216"/>
  <c r="D55" i="216"/>
  <c r="E55" i="216"/>
  <c r="F55" i="216"/>
  <c r="G55" i="216"/>
  <c r="H55" i="216"/>
  <c r="I55" i="216"/>
  <c r="J55" i="216"/>
  <c r="K55" i="216"/>
  <c r="L55" i="216"/>
  <c r="M55" i="216"/>
  <c r="N55" i="216"/>
  <c r="O55" i="216"/>
  <c r="C55" i="216"/>
  <c r="D53" i="216"/>
  <c r="E53" i="216"/>
  <c r="F53" i="216"/>
  <c r="G53" i="216"/>
  <c r="H53" i="216"/>
  <c r="I53" i="216"/>
  <c r="J53" i="216"/>
  <c r="K53" i="216"/>
  <c r="L53" i="216"/>
  <c r="M53" i="216"/>
  <c r="N53" i="216"/>
  <c r="O53" i="216"/>
  <c r="C53" i="216"/>
  <c r="D51" i="216"/>
  <c r="E51" i="216"/>
  <c r="F51" i="216"/>
  <c r="G51" i="216"/>
  <c r="H51" i="216"/>
  <c r="I51" i="216"/>
  <c r="J51" i="216"/>
  <c r="K51" i="216"/>
  <c r="L51" i="216"/>
  <c r="M51" i="216"/>
  <c r="N51" i="216"/>
  <c r="O51" i="216"/>
  <c r="C51" i="216"/>
  <c r="D56" i="214"/>
  <c r="E56" i="214"/>
  <c r="F56" i="214"/>
  <c r="G56" i="214"/>
  <c r="H56" i="214"/>
  <c r="I56" i="214"/>
  <c r="J56" i="214"/>
  <c r="K56" i="214"/>
  <c r="L56" i="214"/>
  <c r="M56" i="214"/>
  <c r="N56" i="214"/>
  <c r="O56" i="214"/>
  <c r="C56" i="214"/>
  <c r="D54" i="214"/>
  <c r="E54" i="214"/>
  <c r="F54" i="214"/>
  <c r="G54" i="214"/>
  <c r="H54" i="214"/>
  <c r="I54" i="214"/>
  <c r="J54" i="214"/>
  <c r="K54" i="214"/>
  <c r="L54" i="214"/>
  <c r="M54" i="214"/>
  <c r="N54" i="214"/>
  <c r="O54" i="214"/>
  <c r="C54" i="214"/>
  <c r="D52" i="214"/>
  <c r="E52" i="214"/>
  <c r="F52" i="214"/>
  <c r="G52" i="214"/>
  <c r="H52" i="214"/>
  <c r="I52" i="214"/>
  <c r="J52" i="214"/>
  <c r="K52" i="214"/>
  <c r="L52" i="214"/>
  <c r="M52" i="214"/>
  <c r="N52" i="214"/>
  <c r="O52" i="214"/>
  <c r="C52" i="214"/>
  <c r="D50" i="214"/>
  <c r="E50" i="214"/>
  <c r="F50" i="214"/>
  <c r="G50" i="214"/>
  <c r="H50" i="214"/>
  <c r="I50" i="214"/>
  <c r="J50" i="214"/>
  <c r="K50" i="214"/>
  <c r="L50" i="214"/>
  <c r="M50" i="214"/>
  <c r="N50" i="214"/>
  <c r="O50" i="214"/>
  <c r="C50" i="214"/>
  <c r="P29" i="222" l="1"/>
  <c r="L56" i="209" l="1"/>
  <c r="M56" i="209"/>
  <c r="G56" i="209"/>
  <c r="H56" i="209"/>
  <c r="F74" i="237"/>
  <c r="G74" i="237"/>
  <c r="F75" i="237"/>
  <c r="G75" i="237"/>
  <c r="L74" i="209" l="1"/>
  <c r="M74" i="209"/>
  <c r="L75" i="209"/>
  <c r="M75" i="209"/>
  <c r="G74" i="209"/>
  <c r="H74" i="209"/>
  <c r="G75" i="209"/>
  <c r="H75" i="209"/>
  <c r="L74" i="213"/>
  <c r="M74" i="213"/>
  <c r="L75" i="213"/>
  <c r="M75" i="213"/>
  <c r="G74" i="213"/>
  <c r="H74" i="213"/>
  <c r="G75" i="213"/>
  <c r="H75" i="213"/>
  <c r="L56" i="213"/>
  <c r="M56" i="213"/>
  <c r="G56" i="213"/>
  <c r="H56" i="213"/>
  <c r="L74" i="236"/>
  <c r="M74" i="236"/>
  <c r="L75" i="236"/>
  <c r="M75" i="236"/>
  <c r="G74" i="236"/>
  <c r="H74" i="236"/>
  <c r="G75" i="236"/>
  <c r="H75" i="236"/>
  <c r="L56" i="236"/>
  <c r="M56" i="236"/>
  <c r="G56" i="236"/>
  <c r="H56" i="236"/>
  <c r="L74" i="207"/>
  <c r="M74" i="207"/>
  <c r="L75" i="207"/>
  <c r="M75" i="207"/>
  <c r="G74" i="207"/>
  <c r="H74" i="207"/>
  <c r="G75" i="207"/>
  <c r="H75" i="207"/>
  <c r="L56" i="207"/>
  <c r="M56" i="207"/>
  <c r="G56" i="207"/>
  <c r="H56" i="207"/>
  <c r="A16" i="107" l="1"/>
  <c r="F16" i="107"/>
  <c r="D91" i="44" l="1"/>
  <c r="D69" i="44"/>
  <c r="D39" i="190"/>
  <c r="D23" i="190"/>
  <c r="D14" i="190"/>
  <c r="D61" i="190" l="1"/>
  <c r="D43" i="190"/>
  <c r="I61" i="192"/>
  <c r="P29" i="44"/>
  <c r="D30" i="45" s="1"/>
  <c r="J43" i="35" l="1"/>
  <c r="J42" i="35"/>
  <c r="H43" i="35"/>
  <c r="H42" i="35"/>
  <c r="J36" i="35"/>
  <c r="J35" i="35"/>
  <c r="J25" i="35"/>
  <c r="J24" i="35"/>
  <c r="J17" i="35"/>
  <c r="H17" i="35"/>
  <c r="J18" i="35"/>
  <c r="H18" i="35"/>
  <c r="F50" i="35" l="1"/>
  <c r="J50" i="35"/>
  <c r="H50" i="35"/>
  <c r="J49" i="35"/>
  <c r="H49" i="35"/>
  <c r="F49" i="35"/>
  <c r="K46" i="35"/>
  <c r="I46" i="35"/>
  <c r="G46" i="35"/>
  <c r="E46" i="35"/>
  <c r="F43" i="35"/>
  <c r="F42" i="35"/>
  <c r="K39" i="35"/>
  <c r="I39" i="35"/>
  <c r="G39" i="35"/>
  <c r="E39" i="35"/>
  <c r="H36" i="35"/>
  <c r="F36" i="35"/>
  <c r="H35" i="35"/>
  <c r="F35" i="35"/>
  <c r="H30" i="35"/>
  <c r="F30" i="35"/>
  <c r="K28" i="35"/>
  <c r="I28" i="35"/>
  <c r="G28" i="35"/>
  <c r="E28" i="35"/>
  <c r="K26" i="35"/>
  <c r="I26" i="35"/>
  <c r="G26" i="35"/>
  <c r="G32" i="35" s="1"/>
  <c r="E26" i="35"/>
  <c r="H25" i="35"/>
  <c r="F25" i="35"/>
  <c r="H24" i="35"/>
  <c r="F24" i="35"/>
  <c r="K21" i="35"/>
  <c r="I21" i="35"/>
  <c r="G21" i="35"/>
  <c r="E21" i="35"/>
  <c r="K19" i="35"/>
  <c r="I19" i="35"/>
  <c r="G19" i="35"/>
  <c r="E19" i="35"/>
  <c r="D19" i="35" s="1"/>
  <c r="F18" i="35"/>
  <c r="F17" i="35"/>
  <c r="E32" i="35" l="1"/>
  <c r="D26" i="35"/>
  <c r="H19" i="35"/>
  <c r="H26" i="35"/>
  <c r="F19" i="35"/>
  <c r="K32" i="35"/>
  <c r="J26" i="35"/>
  <c r="F26" i="35"/>
  <c r="I32" i="35"/>
  <c r="E37" i="99" l="1"/>
  <c r="E36" i="99"/>
  <c r="H195" i="209" l="1"/>
  <c r="H202" i="209"/>
  <c r="H215" i="209"/>
  <c r="H217" i="209"/>
  <c r="H199" i="209"/>
  <c r="H204" i="209"/>
  <c r="H216" i="209"/>
  <c r="H219" i="209"/>
  <c r="H220" i="209"/>
  <c r="A4" i="251"/>
  <c r="A3" i="251"/>
  <c r="A2" i="251"/>
  <c r="A1" i="251"/>
  <c r="J16" i="5" l="1"/>
  <c r="L24" i="34" l="1"/>
  <c r="J24" i="34" s="1"/>
  <c r="A16" i="34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16" i="248" l="1"/>
  <c r="A17" i="248" s="1"/>
  <c r="A18" i="248" s="1"/>
  <c r="A19" i="248" s="1"/>
  <c r="A20" i="248" s="1"/>
  <c r="A21" i="248" s="1"/>
  <c r="A22" i="248" s="1"/>
  <c r="A23" i="248" s="1"/>
  <c r="A24" i="248" s="1"/>
  <c r="A25" i="248" s="1"/>
  <c r="A26" i="248" s="1"/>
  <c r="A27" i="248" s="1"/>
  <c r="A28" i="248" s="1"/>
  <c r="A29" i="248" s="1"/>
  <c r="A30" i="248" s="1"/>
  <c r="A31" i="248" s="1"/>
  <c r="A32" i="248" s="1"/>
  <c r="A33" i="248" s="1"/>
  <c r="A34" i="248" s="1"/>
  <c r="A35" i="248" s="1"/>
  <c r="A36" i="248" s="1"/>
  <c r="A37" i="248" s="1"/>
  <c r="A38" i="248" s="1"/>
  <c r="A39" i="248" s="1"/>
  <c r="A40" i="248" s="1"/>
  <c r="A41" i="248" s="1"/>
  <c r="A42" i="248" s="1"/>
  <c r="A43" i="248" s="1"/>
  <c r="A44" i="248" s="1"/>
  <c r="A45" i="248" s="1"/>
  <c r="A46" i="248" s="1"/>
  <c r="A47" i="248" s="1"/>
  <c r="A48" i="248" s="1"/>
  <c r="A49" i="248" s="1"/>
  <c r="A50" i="248" s="1"/>
  <c r="A51" i="248" s="1"/>
  <c r="A52" i="248" s="1"/>
  <c r="A53" i="248" s="1"/>
  <c r="A54" i="248" s="1"/>
  <c r="A55" i="248" s="1"/>
  <c r="A56" i="248" s="1"/>
  <c r="A57" i="248" s="1"/>
  <c r="A58" i="248" s="1"/>
  <c r="A59" i="248" s="1"/>
  <c r="A60" i="248" s="1"/>
  <c r="D73" i="44" l="1"/>
  <c r="D68" i="44"/>
  <c r="D60" i="44"/>
  <c r="D59" i="44"/>
  <c r="D58" i="44"/>
  <c r="D32" i="44"/>
  <c r="D31" i="44"/>
  <c r="D30" i="44"/>
  <c r="D28" i="44"/>
  <c r="D17" i="193"/>
  <c r="D114" i="44" l="1"/>
  <c r="D34" i="193"/>
  <c r="J36" i="42"/>
  <c r="L36" i="42" l="1"/>
  <c r="N36" i="42" l="1"/>
  <c r="J35" i="42"/>
  <c r="D38" i="42"/>
  <c r="O36" i="42" l="1"/>
  <c r="F38" i="42"/>
  <c r="E38" i="42"/>
  <c r="G38" i="42"/>
  <c r="H38" i="42"/>
  <c r="J34" i="42"/>
  <c r="P36" i="42" l="1"/>
  <c r="L34" i="42"/>
  <c r="N34" i="42" l="1"/>
  <c r="O34" i="42"/>
  <c r="I27" i="99"/>
  <c r="P34" i="42" l="1"/>
  <c r="E41" i="8"/>
  <c r="G21" i="4" s="1"/>
  <c r="H41" i="10" l="1"/>
  <c r="G222" i="237"/>
  <c r="G223" i="237"/>
  <c r="G221" i="237"/>
  <c r="H220" i="236"/>
  <c r="H221" i="236"/>
  <c r="H219" i="236"/>
  <c r="H222" i="207"/>
  <c r="H223" i="207"/>
  <c r="H221" i="207"/>
  <c r="H222" i="213"/>
  <c r="H223" i="213"/>
  <c r="H221" i="213"/>
  <c r="H189" i="207" l="1"/>
  <c r="H190" i="207" s="1"/>
  <c r="G202" i="237" l="1"/>
  <c r="H188" i="236"/>
  <c r="H190" i="209"/>
  <c r="M190" i="209" s="1"/>
  <c r="M219" i="209"/>
  <c r="G216" i="237"/>
  <c r="H195" i="207"/>
  <c r="M215" i="209"/>
  <c r="M195" i="209"/>
  <c r="M223" i="209"/>
  <c r="G220" i="237"/>
  <c r="G215" i="237"/>
  <c r="G195" i="237"/>
  <c r="M202" i="209"/>
  <c r="H189" i="209"/>
  <c r="M189" i="209" s="1"/>
  <c r="H187" i="236"/>
  <c r="H189" i="213"/>
  <c r="G219" i="237"/>
  <c r="G204" i="237"/>
  <c r="G190" i="237"/>
  <c r="M221" i="209"/>
  <c r="M216" i="209"/>
  <c r="M199" i="209"/>
  <c r="G217" i="237"/>
  <c r="G189" i="237"/>
  <c r="M220" i="209"/>
  <c r="M204" i="209"/>
  <c r="G199" i="237"/>
  <c r="F163" i="237"/>
  <c r="F164" i="237"/>
  <c r="F165" i="237"/>
  <c r="F166" i="237"/>
  <c r="F167" i="237"/>
  <c r="F168" i="237"/>
  <c r="L233" i="209"/>
  <c r="L236" i="209"/>
  <c r="L241" i="209"/>
  <c r="L242" i="209"/>
  <c r="L243" i="209"/>
  <c r="L244" i="209"/>
  <c r="L246" i="209"/>
  <c r="L248" i="209"/>
  <c r="L256" i="209"/>
  <c r="L257" i="209"/>
  <c r="L258" i="209"/>
  <c r="L259" i="209"/>
  <c r="L187" i="209"/>
  <c r="L189" i="209"/>
  <c r="L190" i="209"/>
  <c r="L194" i="209"/>
  <c r="L195" i="209"/>
  <c r="L199" i="209"/>
  <c r="L202" i="209"/>
  <c r="L204" i="209"/>
  <c r="L215" i="209"/>
  <c r="L216" i="209"/>
  <c r="L217" i="209"/>
  <c r="M217" i="209"/>
  <c r="L219" i="209"/>
  <c r="L220" i="209"/>
  <c r="L221" i="209"/>
  <c r="L222" i="209"/>
  <c r="M222" i="209"/>
  <c r="L223" i="209"/>
  <c r="G161" i="209"/>
  <c r="L161" i="209" s="1"/>
  <c r="G162" i="209"/>
  <c r="L162" i="209" s="1"/>
  <c r="G163" i="209"/>
  <c r="L163" i="209" s="1"/>
  <c r="G164" i="209"/>
  <c r="L164" i="209" s="1"/>
  <c r="G165" i="209"/>
  <c r="L165" i="209" s="1"/>
  <c r="G166" i="209"/>
  <c r="L166" i="209" s="1"/>
  <c r="L234" i="236"/>
  <c r="L239" i="236"/>
  <c r="L240" i="236"/>
  <c r="L241" i="236"/>
  <c r="L242" i="236"/>
  <c r="L244" i="236"/>
  <c r="L246" i="236"/>
  <c r="L254" i="236"/>
  <c r="L255" i="236"/>
  <c r="L256" i="236"/>
  <c r="L257" i="236"/>
  <c r="G192" i="236"/>
  <c r="M189" i="213" l="1"/>
  <c r="H190" i="213"/>
  <c r="H214" i="236"/>
  <c r="M214" i="236" s="1"/>
  <c r="H213" i="236"/>
  <c r="M213" i="236" s="1"/>
  <c r="H215" i="236"/>
  <c r="M215" i="236" s="1"/>
  <c r="H216" i="207"/>
  <c r="M216" i="207" s="1"/>
  <c r="H202" i="207"/>
  <c r="M202" i="207" s="1"/>
  <c r="H217" i="207"/>
  <c r="H199" i="207"/>
  <c r="M199" i="207" s="1"/>
  <c r="M195" i="207"/>
  <c r="H215" i="207"/>
  <c r="M215" i="207" s="1"/>
  <c r="H204" i="207"/>
  <c r="M204" i="207" s="1"/>
  <c r="H200" i="236"/>
  <c r="H202" i="236" s="1"/>
  <c r="M202" i="236" s="1"/>
  <c r="H197" i="236"/>
  <c r="M197" i="236" s="1"/>
  <c r="H193" i="236"/>
  <c r="M193" i="236" s="1"/>
  <c r="L185" i="236"/>
  <c r="L187" i="236"/>
  <c r="M187" i="236"/>
  <c r="L188" i="236"/>
  <c r="M188" i="236"/>
  <c r="L192" i="236"/>
  <c r="L193" i="236"/>
  <c r="L197" i="236"/>
  <c r="L200" i="236"/>
  <c r="L202" i="236"/>
  <c r="L213" i="236"/>
  <c r="L214" i="236"/>
  <c r="L215" i="236"/>
  <c r="L217" i="236"/>
  <c r="L218" i="236"/>
  <c r="L219" i="236"/>
  <c r="L220" i="236"/>
  <c r="L221" i="236"/>
  <c r="L248" i="213"/>
  <c r="L244" i="213"/>
  <c r="L243" i="213"/>
  <c r="L242" i="213"/>
  <c r="L241" i="213"/>
  <c r="L259" i="213"/>
  <c r="L244" i="207"/>
  <c r="L243" i="207"/>
  <c r="L242" i="207"/>
  <c r="L241" i="207"/>
  <c r="L248" i="207"/>
  <c r="L259" i="207"/>
  <c r="L189" i="207"/>
  <c r="M200" i="236" l="1"/>
  <c r="M219" i="236"/>
  <c r="H218" i="236"/>
  <c r="M218" i="236" s="1"/>
  <c r="M220" i="236"/>
  <c r="H217" i="236"/>
  <c r="M217" i="236" s="1"/>
  <c r="M221" i="236"/>
  <c r="M190" i="213"/>
  <c r="H195" i="213"/>
  <c r="M221" i="207"/>
  <c r="M217" i="207"/>
  <c r="M222" i="207"/>
  <c r="H219" i="207"/>
  <c r="M219" i="207" s="1"/>
  <c r="H220" i="207"/>
  <c r="M220" i="207" s="1"/>
  <c r="M223" i="207"/>
  <c r="M195" i="213" l="1"/>
  <c r="H199" i="213"/>
  <c r="H194" i="209"/>
  <c r="M194" i="209" s="1"/>
  <c r="H185" i="236"/>
  <c r="G258" i="237"/>
  <c r="G242" i="237"/>
  <c r="H257" i="209"/>
  <c r="M257" i="209" s="1"/>
  <c r="H244" i="209"/>
  <c r="M244" i="209" s="1"/>
  <c r="H236" i="209"/>
  <c r="M236" i="209" s="1"/>
  <c r="G235" i="237"/>
  <c r="H246" i="209"/>
  <c r="M246" i="209" s="1"/>
  <c r="G255" i="237"/>
  <c r="G247" i="237"/>
  <c r="G241" i="237"/>
  <c r="H256" i="209"/>
  <c r="M256" i="209" s="1"/>
  <c r="H243" i="209"/>
  <c r="M243" i="209" s="1"/>
  <c r="G243" i="237"/>
  <c r="H241" i="209"/>
  <c r="M241" i="209" s="1"/>
  <c r="G256" i="237"/>
  <c r="G245" i="237"/>
  <c r="G240" i="237"/>
  <c r="H259" i="209"/>
  <c r="M259" i="209" s="1"/>
  <c r="H248" i="209"/>
  <c r="M248" i="209" s="1"/>
  <c r="H242" i="209"/>
  <c r="M242" i="209" s="1"/>
  <c r="G257" i="237"/>
  <c r="H258" i="209"/>
  <c r="M258" i="209" s="1"/>
  <c r="H259" i="213"/>
  <c r="M259" i="213" s="1"/>
  <c r="H242" i="213"/>
  <c r="M242" i="213" s="1"/>
  <c r="H248" i="213"/>
  <c r="M248" i="213" s="1"/>
  <c r="H241" i="213"/>
  <c r="M241" i="213" s="1"/>
  <c r="H243" i="213"/>
  <c r="M243" i="213" s="1"/>
  <c r="H244" i="213"/>
  <c r="M244" i="213" s="1"/>
  <c r="H202" i="213" l="1"/>
  <c r="M199" i="213"/>
  <c r="H255" i="209"/>
  <c r="M255" i="209" s="1"/>
  <c r="H253" i="209"/>
  <c r="M253" i="209" s="1"/>
  <c r="H251" i="209"/>
  <c r="M251" i="209" s="1"/>
  <c r="H249" i="209"/>
  <c r="M249" i="209" s="1"/>
  <c r="H245" i="209"/>
  <c r="M245" i="209" s="1"/>
  <c r="H239" i="209"/>
  <c r="M239" i="209" s="1"/>
  <c r="H237" i="209"/>
  <c r="M237" i="209" s="1"/>
  <c r="H234" i="209"/>
  <c r="M234" i="209" s="1"/>
  <c r="H250" i="209"/>
  <c r="M250" i="209" s="1"/>
  <c r="H238" i="209"/>
  <c r="M238" i="209" s="1"/>
  <c r="G259" i="237"/>
  <c r="G253" i="237"/>
  <c r="G251" i="237"/>
  <c r="G249" i="237"/>
  <c r="G246" i="237"/>
  <c r="G239" i="237"/>
  <c r="G237" i="237"/>
  <c r="G234" i="237"/>
  <c r="H247" i="209"/>
  <c r="M247" i="209" s="1"/>
  <c r="H254" i="209"/>
  <c r="M254" i="209" s="1"/>
  <c r="G254" i="237"/>
  <c r="G252" i="237"/>
  <c r="G250" i="237"/>
  <c r="G248" i="237"/>
  <c r="G244" i="237"/>
  <c r="G238" i="237"/>
  <c r="G236" i="237"/>
  <c r="G233" i="237"/>
  <c r="H260" i="209"/>
  <c r="M260" i="209" s="1"/>
  <c r="H252" i="209"/>
  <c r="M252" i="209" s="1"/>
  <c r="H240" i="209"/>
  <c r="M240" i="209" s="1"/>
  <c r="H235" i="209"/>
  <c r="M235" i="209" s="1"/>
  <c r="M239" i="213"/>
  <c r="H260" i="213"/>
  <c r="H238" i="213"/>
  <c r="M260" i="213"/>
  <c r="M238" i="213"/>
  <c r="H239" i="213"/>
  <c r="F254" i="237"/>
  <c r="F252" i="237"/>
  <c r="F250" i="237"/>
  <c r="F248" i="237"/>
  <c r="F244" i="237"/>
  <c r="F238" i="237"/>
  <c r="F236" i="237"/>
  <c r="F233" i="237"/>
  <c r="G255" i="209"/>
  <c r="L255" i="209" s="1"/>
  <c r="G253" i="209"/>
  <c r="L253" i="209" s="1"/>
  <c r="G251" i="209"/>
  <c r="L251" i="209" s="1"/>
  <c r="G249" i="209"/>
  <c r="L249" i="209" s="1"/>
  <c r="G245" i="209"/>
  <c r="L245" i="209" s="1"/>
  <c r="G239" i="209"/>
  <c r="L239" i="209" s="1"/>
  <c r="G237" i="209"/>
  <c r="L237" i="209" s="1"/>
  <c r="G234" i="209"/>
  <c r="L234" i="209" s="1"/>
  <c r="F259" i="237"/>
  <c r="F253" i="237"/>
  <c r="F251" i="237"/>
  <c r="F249" i="237"/>
  <c r="F246" i="237"/>
  <c r="F239" i="237"/>
  <c r="F237" i="237"/>
  <c r="F234" i="237"/>
  <c r="G260" i="209"/>
  <c r="L260" i="209" s="1"/>
  <c r="G254" i="209"/>
  <c r="L254" i="209" s="1"/>
  <c r="G252" i="209"/>
  <c r="L252" i="209" s="1"/>
  <c r="G250" i="209"/>
  <c r="L250" i="209" s="1"/>
  <c r="G247" i="209"/>
  <c r="L247" i="209" s="1"/>
  <c r="G240" i="209"/>
  <c r="L240" i="209" s="1"/>
  <c r="G238" i="209"/>
  <c r="L238" i="209" s="1"/>
  <c r="G235" i="209"/>
  <c r="L235" i="209" s="1"/>
  <c r="L260" i="213"/>
  <c r="L239" i="213"/>
  <c r="G260" i="213"/>
  <c r="G238" i="213"/>
  <c r="L238" i="213"/>
  <c r="G239" i="213"/>
  <c r="M185" i="236"/>
  <c r="H192" i="236"/>
  <c r="M192" i="236" s="1"/>
  <c r="M202" i="213" l="1"/>
  <c r="H204" i="213"/>
  <c r="F94" i="237"/>
  <c r="G94" i="237"/>
  <c r="F95" i="237"/>
  <c r="G95" i="237"/>
  <c r="F96" i="237"/>
  <c r="G96" i="237"/>
  <c r="F97" i="237"/>
  <c r="G97" i="237"/>
  <c r="F98" i="237"/>
  <c r="G98" i="237"/>
  <c r="E263" i="209"/>
  <c r="L96" i="209"/>
  <c r="M96" i="209"/>
  <c r="L97" i="209"/>
  <c r="M97" i="209"/>
  <c r="L98" i="209"/>
  <c r="M98" i="209"/>
  <c r="L99" i="209"/>
  <c r="M99" i="209"/>
  <c r="L100" i="209"/>
  <c r="M100" i="209"/>
  <c r="L101" i="209"/>
  <c r="M101" i="209"/>
  <c r="L102" i="209"/>
  <c r="M102" i="209"/>
  <c r="G96" i="209"/>
  <c r="H96" i="209"/>
  <c r="G97" i="209"/>
  <c r="H97" i="209"/>
  <c r="G98" i="209"/>
  <c r="H98" i="209"/>
  <c r="G99" i="209"/>
  <c r="H99" i="209"/>
  <c r="G100" i="209"/>
  <c r="H100" i="209"/>
  <c r="G186" i="236"/>
  <c r="H186" i="236"/>
  <c r="M186" i="236" s="1"/>
  <c r="G189" i="236"/>
  <c r="L189" i="236" s="1"/>
  <c r="H189" i="236"/>
  <c r="M189" i="236" s="1"/>
  <c r="G190" i="236"/>
  <c r="L190" i="236" s="1"/>
  <c r="H190" i="236"/>
  <c r="G191" i="236"/>
  <c r="L191" i="236" s="1"/>
  <c r="H191" i="236"/>
  <c r="M191" i="236" s="1"/>
  <c r="G194" i="236"/>
  <c r="L194" i="236" s="1"/>
  <c r="H194" i="236"/>
  <c r="M194" i="236" s="1"/>
  <c r="G195" i="236"/>
  <c r="L195" i="236" s="1"/>
  <c r="H195" i="236"/>
  <c r="M195" i="236" s="1"/>
  <c r="G196" i="236"/>
  <c r="L196" i="236" s="1"/>
  <c r="H196" i="236"/>
  <c r="M196" i="236" s="1"/>
  <c r="G198" i="236"/>
  <c r="L198" i="236" s="1"/>
  <c r="H198" i="236"/>
  <c r="M198" i="236" s="1"/>
  <c r="G199" i="236"/>
  <c r="L199" i="236" s="1"/>
  <c r="H199" i="236"/>
  <c r="M199" i="236" s="1"/>
  <c r="G157" i="236"/>
  <c r="L157" i="236" s="1"/>
  <c r="G158" i="236"/>
  <c r="L158" i="236" s="1"/>
  <c r="G159" i="236"/>
  <c r="L159" i="236" s="1"/>
  <c r="G160" i="236"/>
  <c r="L160" i="236" s="1"/>
  <c r="G161" i="236"/>
  <c r="L161" i="236" s="1"/>
  <c r="L106" i="236"/>
  <c r="M106" i="236"/>
  <c r="L107" i="236"/>
  <c r="M107" i="236"/>
  <c r="L108" i="236"/>
  <c r="M108" i="236"/>
  <c r="L109" i="236"/>
  <c r="M109" i="236"/>
  <c r="L110" i="236"/>
  <c r="M110" i="236"/>
  <c r="L111" i="236"/>
  <c r="M111" i="236"/>
  <c r="G106" i="236"/>
  <c r="H106" i="236"/>
  <c r="G107" i="236"/>
  <c r="H107" i="236"/>
  <c r="G108" i="236"/>
  <c r="H108" i="236"/>
  <c r="G109" i="236"/>
  <c r="H109" i="236"/>
  <c r="G110" i="236"/>
  <c r="H110" i="236"/>
  <c r="M221" i="213" l="1"/>
  <c r="H217" i="213"/>
  <c r="M217" i="213" s="1"/>
  <c r="H220" i="213"/>
  <c r="M220" i="213" s="1"/>
  <c r="H215" i="213"/>
  <c r="M215" i="213" s="1"/>
  <c r="H216" i="213"/>
  <c r="M216" i="213" s="1"/>
  <c r="M223" i="213"/>
  <c r="H219" i="213"/>
  <c r="M219" i="213" s="1"/>
  <c r="M222" i="213"/>
  <c r="M204" i="213"/>
  <c r="M190" i="236"/>
  <c r="L186" i="236"/>
  <c r="E262" i="213"/>
  <c r="E225" i="213"/>
  <c r="E225" i="207" l="1"/>
  <c r="G159" i="213"/>
  <c r="L159" i="213" s="1"/>
  <c r="G160" i="213"/>
  <c r="L160" i="213" s="1"/>
  <c r="G161" i="213"/>
  <c r="L161" i="213" s="1"/>
  <c r="G162" i="213"/>
  <c r="L162" i="213" s="1"/>
  <c r="G163" i="213"/>
  <c r="L163" i="213" s="1"/>
  <c r="G164" i="213"/>
  <c r="L164" i="213" s="1"/>
  <c r="G165" i="213"/>
  <c r="L165" i="213" s="1"/>
  <c r="G166" i="213"/>
  <c r="L166" i="213" s="1"/>
  <c r="G167" i="213"/>
  <c r="L167" i="213" s="1"/>
  <c r="G168" i="213"/>
  <c r="L168" i="213" s="1"/>
  <c r="G169" i="213"/>
  <c r="L169" i="213" s="1"/>
  <c r="L96" i="213"/>
  <c r="M96" i="213"/>
  <c r="L97" i="213"/>
  <c r="M97" i="213"/>
  <c r="L98" i="213"/>
  <c r="M98" i="213"/>
  <c r="L99" i="213"/>
  <c r="M99" i="213"/>
  <c r="L100" i="213"/>
  <c r="M100" i="213"/>
  <c r="L101" i="213"/>
  <c r="M101" i="213"/>
  <c r="L102" i="213"/>
  <c r="M102" i="213"/>
  <c r="L103" i="213"/>
  <c r="M103" i="213"/>
  <c r="L104" i="213"/>
  <c r="M104" i="213"/>
  <c r="L105" i="213"/>
  <c r="M105" i="213"/>
  <c r="L106" i="213"/>
  <c r="M106" i="213"/>
  <c r="L107" i="213"/>
  <c r="M107" i="213"/>
  <c r="L108" i="213"/>
  <c r="M108" i="213"/>
  <c r="L109" i="213"/>
  <c r="M109" i="213"/>
  <c r="L110" i="213"/>
  <c r="M110" i="213"/>
  <c r="L111" i="213"/>
  <c r="M111" i="213"/>
  <c r="L112" i="213"/>
  <c r="M112" i="213"/>
  <c r="G96" i="213"/>
  <c r="H96" i="213"/>
  <c r="G97" i="213"/>
  <c r="H97" i="213"/>
  <c r="G98" i="213"/>
  <c r="H98" i="213"/>
  <c r="G99" i="213"/>
  <c r="H99" i="213"/>
  <c r="G100" i="213"/>
  <c r="H100" i="213"/>
  <c r="G101" i="213"/>
  <c r="H101" i="213"/>
  <c r="G102" i="213"/>
  <c r="H102" i="213"/>
  <c r="G103" i="213"/>
  <c r="H103" i="213"/>
  <c r="G104" i="213"/>
  <c r="H104" i="213"/>
  <c r="G105" i="213"/>
  <c r="H105" i="213"/>
  <c r="G106" i="213"/>
  <c r="H106" i="213"/>
  <c r="G107" i="213"/>
  <c r="H107" i="213"/>
  <c r="G108" i="213"/>
  <c r="H108" i="213"/>
  <c r="G109" i="213"/>
  <c r="H109" i="213"/>
  <c r="E262" i="207"/>
  <c r="G159" i="207"/>
  <c r="G160" i="207"/>
  <c r="L160" i="207" s="1"/>
  <c r="G161" i="207"/>
  <c r="L161" i="207" s="1"/>
  <c r="G162" i="207"/>
  <c r="L162" i="207" s="1"/>
  <c r="G163" i="207"/>
  <c r="L163" i="207" s="1"/>
  <c r="G164" i="207"/>
  <c r="L164" i="207" s="1"/>
  <c r="G165" i="207"/>
  <c r="L165" i="207" s="1"/>
  <c r="G166" i="207"/>
  <c r="L166" i="207" s="1"/>
  <c r="G167" i="207"/>
  <c r="L167" i="207" s="1"/>
  <c r="G168" i="207"/>
  <c r="G169" i="207"/>
  <c r="L169" i="207" s="1"/>
  <c r="G170" i="207"/>
  <c r="L170" i="207" s="1"/>
  <c r="G171" i="207"/>
  <c r="L171" i="207" s="1"/>
  <c r="G172" i="207"/>
  <c r="G173" i="207"/>
  <c r="G174" i="207"/>
  <c r="G175" i="207"/>
  <c r="L95" i="207"/>
  <c r="M95" i="207"/>
  <c r="L96" i="207"/>
  <c r="M96" i="207"/>
  <c r="L97" i="207"/>
  <c r="M97" i="207"/>
  <c r="L98" i="207"/>
  <c r="M98" i="207"/>
  <c r="L99" i="207"/>
  <c r="M99" i="207"/>
  <c r="L100" i="207"/>
  <c r="M100" i="207"/>
  <c r="L101" i="207"/>
  <c r="M101" i="207"/>
  <c r="L102" i="207"/>
  <c r="M102" i="207"/>
  <c r="L103" i="207"/>
  <c r="M103" i="207"/>
  <c r="L104" i="207"/>
  <c r="M104" i="207"/>
  <c r="L105" i="207"/>
  <c r="M105" i="207"/>
  <c r="L106" i="207"/>
  <c r="M106" i="207"/>
  <c r="L107" i="207"/>
  <c r="M107" i="207"/>
  <c r="L108" i="207"/>
  <c r="M108" i="207"/>
  <c r="L109" i="207"/>
  <c r="M109" i="207"/>
  <c r="L110" i="207"/>
  <c r="M110" i="207"/>
  <c r="L111" i="207"/>
  <c r="M111" i="207"/>
  <c r="L112" i="207"/>
  <c r="M112" i="207"/>
  <c r="L113" i="207"/>
  <c r="M113" i="207"/>
  <c r="H95" i="207"/>
  <c r="H96" i="207"/>
  <c r="H97" i="207"/>
  <c r="H98" i="207"/>
  <c r="H99" i="207"/>
  <c r="H100" i="207"/>
  <c r="H101" i="207"/>
  <c r="H102" i="207"/>
  <c r="H103" i="207"/>
  <c r="H104" i="207"/>
  <c r="H105" i="207"/>
  <c r="H106" i="207"/>
  <c r="H107" i="207"/>
  <c r="H108" i="207"/>
  <c r="H109" i="207"/>
  <c r="H110" i="207"/>
  <c r="H111" i="207"/>
  <c r="G96" i="207"/>
  <c r="G97" i="207"/>
  <c r="G98" i="207"/>
  <c r="G99" i="207"/>
  <c r="G100" i="207"/>
  <c r="G101" i="207"/>
  <c r="G102" i="207"/>
  <c r="G103" i="207"/>
  <c r="G104" i="207"/>
  <c r="G105" i="207"/>
  <c r="G106" i="207"/>
  <c r="G107" i="207"/>
  <c r="G108" i="207"/>
  <c r="G109" i="207"/>
  <c r="G110" i="207"/>
  <c r="G111" i="207"/>
  <c r="G112" i="207"/>
  <c r="L168" i="207" l="1"/>
  <c r="L159" i="207"/>
  <c r="K26" i="95" l="1"/>
  <c r="I82" i="232" l="1"/>
  <c r="L51" i="232"/>
  <c r="G23" i="4" l="1"/>
  <c r="K23" i="4" l="1"/>
  <c r="G25" i="4" l="1"/>
  <c r="H43" i="10" l="1"/>
  <c r="O30" i="238"/>
  <c r="L19" i="34" l="1"/>
  <c r="L18" i="34"/>
  <c r="L23" i="34" l="1"/>
  <c r="L25" i="34"/>
  <c r="P28" i="44" l="1"/>
  <c r="A13" i="228" l="1"/>
  <c r="A14" i="228" s="1"/>
  <c r="A15" i="228" s="1"/>
  <c r="A16" i="228" s="1"/>
  <c r="A17" i="228" s="1"/>
  <c r="A18" i="228" s="1"/>
  <c r="A19" i="228" s="1"/>
  <c r="A20" i="228" s="1"/>
  <c r="A21" i="228" s="1"/>
  <c r="A22" i="228" s="1"/>
  <c r="A23" i="228" s="1"/>
  <c r="A24" i="228" l="1"/>
  <c r="A25" i="228" s="1"/>
  <c r="A26" i="228" s="1"/>
  <c r="A27" i="228" s="1"/>
  <c r="A28" i="228" s="1"/>
  <c r="A29" i="228" s="1"/>
  <c r="A30" i="228" s="1"/>
  <c r="A31" i="228" s="1"/>
  <c r="A32" i="228" s="1"/>
  <c r="A33" i="228" s="1"/>
  <c r="A34" i="228" s="1"/>
  <c r="A35" i="228" s="1"/>
  <c r="A36" i="228" s="1"/>
  <c r="A37" i="228" s="1"/>
  <c r="A38" i="228" s="1"/>
  <c r="A39" i="228" s="1"/>
  <c r="A40" i="228" s="1"/>
  <c r="A41" i="228" s="1"/>
  <c r="A42" i="228" s="1"/>
  <c r="A43" i="228" s="1"/>
  <c r="A44" i="228" s="1"/>
  <c r="A45" i="228" s="1"/>
  <c r="A46" i="228" s="1"/>
  <c r="A47" i="228" s="1"/>
  <c r="A48" i="228" s="1"/>
  <c r="A49" i="228" s="1"/>
  <c r="A50" i="228" s="1"/>
  <c r="A51" i="228" s="1"/>
  <c r="A52" i="228" s="1"/>
  <c r="A53" i="228" s="1"/>
  <c r="A54" i="228" s="1"/>
  <c r="A55" i="228" s="1"/>
  <c r="A56" i="228" s="1"/>
  <c r="A57" i="228" s="1"/>
  <c r="A58" i="228" s="1"/>
  <c r="A59" i="228" s="1"/>
  <c r="A60" i="228" s="1"/>
  <c r="A61" i="228" s="1"/>
  <c r="A62" i="228" s="1"/>
  <c r="A63" i="228" s="1"/>
  <c r="D29" i="45"/>
  <c r="K25" i="39"/>
  <c r="K26" i="39"/>
  <c r="K27" i="39"/>
  <c r="K28" i="39"/>
  <c r="J37" i="42"/>
  <c r="O12" i="41"/>
  <c r="O12" i="39" s="1"/>
  <c r="M12" i="41"/>
  <c r="M12" i="39" s="1"/>
  <c r="L37" i="42" l="1"/>
  <c r="J38" i="42"/>
  <c r="K15" i="44"/>
  <c r="L15" i="44" s="1"/>
  <c r="M15" i="44" s="1"/>
  <c r="N15" i="44" s="1"/>
  <c r="O15" i="44" s="1"/>
  <c r="A13" i="192"/>
  <c r="A14" i="192" s="1"/>
  <c r="A15" i="192" s="1"/>
  <c r="A16" i="192" s="1"/>
  <c r="A17" i="192" s="1"/>
  <c r="A18" i="192" s="1"/>
  <c r="A19" i="192" s="1"/>
  <c r="A20" i="192" s="1"/>
  <c r="A21" i="192" s="1"/>
  <c r="A22" i="192" s="1"/>
  <c r="A23" i="192" s="1"/>
  <c r="A24" i="192" s="1"/>
  <c r="A25" i="192" s="1"/>
  <c r="A26" i="192" s="1"/>
  <c r="F45" i="190"/>
  <c r="G45" i="190"/>
  <c r="H45" i="190"/>
  <c r="I45" i="190"/>
  <c r="E36" i="193"/>
  <c r="F36" i="193"/>
  <c r="G36" i="193"/>
  <c r="H36" i="193"/>
  <c r="I36" i="193"/>
  <c r="N37" i="42" l="1"/>
  <c r="O37" i="42"/>
  <c r="N38" i="42"/>
  <c r="N42" i="42" s="1"/>
  <c r="N43" i="42" s="1"/>
  <c r="N45" i="42" s="1"/>
  <c r="A27" i="192"/>
  <c r="A28" i="192" s="1"/>
  <c r="A29" i="192" s="1"/>
  <c r="A30" i="192" s="1"/>
  <c r="A31" i="192" s="1"/>
  <c r="L38" i="42"/>
  <c r="P13" i="192"/>
  <c r="O38" i="42" l="1"/>
  <c r="A32" i="192"/>
  <c r="A33" i="192" s="1"/>
  <c r="A34" i="192" s="1"/>
  <c r="P37" i="42"/>
  <c r="P12" i="192"/>
  <c r="A35" i="192" l="1"/>
  <c r="A36" i="192" s="1"/>
  <c r="A37" i="192" s="1"/>
  <c r="P38" i="42"/>
  <c r="A38" i="192" l="1"/>
  <c r="A39" i="192" s="1"/>
  <c r="A40" i="192" s="1"/>
  <c r="A41" i="192" s="1"/>
  <c r="A42" i="192" s="1"/>
  <c r="A43" i="192" s="1"/>
  <c r="A44" i="192" s="1"/>
  <c r="P28" i="222"/>
  <c r="D25" i="79" s="1"/>
  <c r="A45" i="192" l="1"/>
  <c r="A46" i="192" s="1"/>
  <c r="A47" i="192" s="1"/>
  <c r="A48" i="192" s="1"/>
  <c r="A49" i="192" s="1"/>
  <c r="A50" i="192" s="1"/>
  <c r="A51" i="192" s="1"/>
  <c r="A52" i="192" s="1"/>
  <c r="A53" i="192" s="1"/>
  <c r="A54" i="192" s="1"/>
  <c r="A55" i="192" s="1"/>
  <c r="A56" i="192" s="1"/>
  <c r="A57" i="192" s="1"/>
  <c r="A58" i="192" s="1"/>
  <c r="A59" i="192" s="1"/>
  <c r="A60" i="192" s="1"/>
  <c r="A61" i="192" s="1"/>
  <c r="A62" i="192" s="1"/>
  <c r="A63" i="192" s="1"/>
  <c r="F21" i="250"/>
  <c r="F8" i="250"/>
  <c r="A2" i="250"/>
  <c r="A1" i="250"/>
  <c r="A17" i="99" l="1"/>
  <c r="A18" i="99" s="1"/>
  <c r="A19" i="99" s="1"/>
  <c r="I35" i="99"/>
  <c r="G16" i="99"/>
  <c r="E16" i="99"/>
  <c r="E33" i="99" s="1"/>
  <c r="C16" i="99"/>
  <c r="A17" i="8"/>
  <c r="J18" i="98"/>
  <c r="A20" i="99" l="1"/>
  <c r="A21" i="99" s="1"/>
  <c r="A22" i="99" s="1"/>
  <c r="A23" i="99" s="1"/>
  <c r="A24" i="99" s="1"/>
  <c r="A25" i="99" s="1"/>
  <c r="A26" i="99" s="1"/>
  <c r="A27" i="99" s="1"/>
  <c r="A28" i="99" s="1"/>
  <c r="A29" i="99" s="1"/>
  <c r="A30" i="99" s="1"/>
  <c r="A31" i="99" s="1"/>
  <c r="A32" i="99" s="1"/>
  <c r="A33" i="99" s="1"/>
  <c r="A34" i="99" s="1"/>
  <c r="A35" i="99" s="1"/>
  <c r="A36" i="99" s="1"/>
  <c r="A37" i="99" s="1"/>
  <c r="A38" i="99" s="1"/>
  <c r="A39" i="99" s="1"/>
  <c r="A40" i="99" s="1"/>
  <c r="A41" i="99" s="1"/>
  <c r="E41" i="99"/>
  <c r="P19" i="202" s="1"/>
  <c r="A18" i="8"/>
  <c r="A19" i="8" s="1"/>
  <c r="A20" i="8" l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G39" i="103" l="1"/>
  <c r="G32" i="103"/>
  <c r="G25" i="103"/>
  <c r="G18" i="103"/>
  <c r="A16" i="10" l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I128" i="10"/>
  <c r="I124" i="10"/>
  <c r="I98" i="10"/>
  <c r="I55" i="10"/>
  <c r="I58" i="10" s="1"/>
  <c r="I60" i="10" s="1"/>
  <c r="I62" i="10" s="1"/>
  <c r="I45" i="10"/>
  <c r="I31" i="10"/>
  <c r="I25" i="10"/>
  <c r="I27" i="10" s="1"/>
  <c r="K33" i="39"/>
  <c r="K34" i="39"/>
  <c r="K35" i="39"/>
  <c r="K36" i="39"/>
  <c r="S9" i="39"/>
  <c r="K30" i="39"/>
  <c r="K22" i="39"/>
  <c r="K12" i="39"/>
  <c r="R12" i="41"/>
  <c r="S12" i="41"/>
  <c r="S12" i="39" s="1"/>
  <c r="K33" i="41"/>
  <c r="K34" i="41"/>
  <c r="K35" i="41"/>
  <c r="K36" i="41"/>
  <c r="K30" i="41"/>
  <c r="K22" i="41"/>
  <c r="G12" i="41"/>
  <c r="I12" i="41"/>
  <c r="J12" i="41"/>
  <c r="K12" i="41"/>
  <c r="H12" i="41"/>
  <c r="H29" i="42"/>
  <c r="H19" i="42"/>
  <c r="H22" i="42" l="1"/>
  <c r="H31" i="42" s="1"/>
  <c r="I33" i="10"/>
  <c r="I66" i="10"/>
  <c r="I64" i="10"/>
  <c r="H42" i="42" l="1"/>
  <c r="L9" i="5"/>
  <c r="H45" i="42" l="1"/>
  <c r="D45" i="233"/>
  <c r="E45" i="233" l="1"/>
  <c r="C31" i="216" l="1"/>
  <c r="E19" i="250" l="1"/>
  <c r="E31" i="250" s="1"/>
  <c r="F31" i="250" l="1"/>
  <c r="P22" i="44" l="1"/>
  <c r="D20" i="45" l="1"/>
  <c r="A13" i="190" l="1"/>
  <c r="A14" i="190" s="1"/>
  <c r="A15" i="190" s="1"/>
  <c r="A16" i="190" s="1"/>
  <c r="A17" i="190" s="1"/>
  <c r="A18" i="190" s="1"/>
  <c r="A19" i="190" s="1"/>
  <c r="A20" i="190" s="1"/>
  <c r="A21" i="190" s="1"/>
  <c r="A22" i="190" s="1"/>
  <c r="A23" i="190" s="1"/>
  <c r="A24" i="190" s="1"/>
  <c r="A25" i="190" s="1"/>
  <c r="A26" i="190" s="1"/>
  <c r="A27" i="190" s="1"/>
  <c r="A28" i="190" s="1"/>
  <c r="A29" i="190" s="1"/>
  <c r="A30" i="190" s="1"/>
  <c r="A31" i="190" s="1"/>
  <c r="A32" i="190" s="1"/>
  <c r="A33" i="190" s="1"/>
  <c r="A34" i="190" s="1"/>
  <c r="A35" i="190" s="1"/>
  <c r="A36" i="190" s="1"/>
  <c r="A37" i="190" s="1"/>
  <c r="A38" i="190" s="1"/>
  <c r="A39" i="190" s="1"/>
  <c r="A40" i="190" s="1"/>
  <c r="A41" i="190" s="1"/>
  <c r="A42" i="190" s="1"/>
  <c r="A43" i="190" s="1"/>
  <c r="A44" i="190" s="1"/>
  <c r="A45" i="190" s="1"/>
  <c r="A46" i="190" s="1"/>
  <c r="A47" i="190" s="1"/>
  <c r="Q22" i="241" l="1"/>
  <c r="P24" i="44" l="1"/>
  <c r="P21" i="44"/>
  <c r="P18" i="44"/>
  <c r="D19" i="45" l="1"/>
  <c r="D16" i="45"/>
  <c r="D22" i="45"/>
  <c r="L9" i="98"/>
  <c r="V10" i="202"/>
  <c r="S8" i="9"/>
  <c r="Q12" i="41" l="1"/>
  <c r="A2" i="84" l="1"/>
  <c r="A16" i="5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8" i="51" s="1"/>
  <c r="A49" i="51" s="1"/>
  <c r="A50" i="51" s="1"/>
  <c r="A51" i="51" s="1"/>
  <c r="A13" i="50" l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M9" i="95" l="1"/>
  <c r="F19" i="243" l="1"/>
  <c r="F30" i="231"/>
  <c r="E20" i="30"/>
  <c r="F39" i="231"/>
  <c r="E18" i="30"/>
  <c r="F22" i="243"/>
  <c r="E16" i="243"/>
  <c r="E22" i="231"/>
  <c r="F22" i="231"/>
  <c r="F16" i="243"/>
  <c r="E19" i="30"/>
  <c r="E19" i="243"/>
  <c r="E30" i="231"/>
  <c r="E15" i="249"/>
  <c r="F15" i="249" s="1"/>
  <c r="E17" i="212"/>
  <c r="E17" i="249" l="1"/>
  <c r="F17" i="249" s="1"/>
  <c r="F19" i="249" s="1"/>
  <c r="E13" i="252"/>
  <c r="F13" i="252" s="1"/>
  <c r="F9" i="249" l="1"/>
  <c r="A2" i="249"/>
  <c r="A1" i="249"/>
  <c r="A15" i="106" l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F34" i="107"/>
  <c r="F22" i="107"/>
  <c r="D18" i="102" l="1"/>
  <c r="I9" i="171" l="1"/>
  <c r="O45" i="10" l="1"/>
  <c r="R12" i="39" l="1"/>
  <c r="Q12" i="39"/>
  <c r="G12" i="39"/>
  <c r="H12" i="39"/>
  <c r="I12" i="39"/>
  <c r="J12" i="39"/>
  <c r="G25" i="39" l="1"/>
  <c r="H25" i="39"/>
  <c r="I25" i="39"/>
  <c r="G26" i="39"/>
  <c r="H26" i="39"/>
  <c r="I26" i="39"/>
  <c r="G27" i="39"/>
  <c r="H27" i="39"/>
  <c r="I27" i="39"/>
  <c r="G28" i="39"/>
  <c r="H28" i="39"/>
  <c r="I28" i="39"/>
  <c r="J28" i="39"/>
  <c r="J27" i="39"/>
  <c r="J26" i="39"/>
  <c r="J25" i="39"/>
  <c r="H17" i="102" l="1"/>
  <c r="A16" i="102"/>
  <c r="A17" i="102" s="1"/>
  <c r="A18" i="102" s="1"/>
  <c r="A19" i="102" s="1"/>
  <c r="A20" i="102" s="1"/>
  <c r="A21" i="102" s="1"/>
  <c r="A22" i="102" l="1"/>
  <c r="A23" i="102" l="1"/>
  <c r="A24" i="102" s="1"/>
  <c r="A25" i="102" s="1"/>
  <c r="A26" i="102" s="1"/>
  <c r="A27" i="102" s="1"/>
  <c r="A28" i="102" l="1"/>
  <c r="A29" i="102" s="1"/>
  <c r="A30" i="102" s="1"/>
  <c r="A31" i="102" s="1"/>
  <c r="A32" i="102" s="1"/>
  <c r="A33" i="102" s="1"/>
  <c r="A34" i="102" s="1"/>
  <c r="E10" i="192" l="1"/>
  <c r="D10" i="227" l="1"/>
  <c r="A52" i="51" l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l="1"/>
  <c r="A65" i="51" s="1"/>
  <c r="A66" i="51" s="1"/>
  <c r="A67" i="51" s="1"/>
  <c r="A68" i="51" s="1"/>
  <c r="A13" i="227"/>
  <c r="A14" i="227" s="1"/>
  <c r="A15" i="227" s="1"/>
  <c r="A16" i="227" s="1"/>
  <c r="A17" i="227" s="1"/>
  <c r="A18" i="227" s="1"/>
  <c r="A19" i="227" s="1"/>
  <c r="A20" i="227" s="1"/>
  <c r="A21" i="227" s="1"/>
  <c r="A22" i="227" s="1"/>
  <c r="A23" i="227" s="1"/>
  <c r="A24" i="227" s="1"/>
  <c r="A25" i="227" s="1"/>
  <c r="A26" i="227" s="1"/>
  <c r="A27" i="227" s="1"/>
  <c r="A28" i="227" s="1"/>
  <c r="A29" i="227" s="1"/>
  <c r="A30" i="227" s="1"/>
  <c r="A31" i="227" s="1"/>
  <c r="A32" i="227" s="1"/>
  <c r="A33" i="227" s="1"/>
  <c r="A34" i="227" s="1"/>
  <c r="A35" i="227" s="1"/>
  <c r="A36" i="227" s="1"/>
  <c r="A37" i="227" s="1"/>
  <c r="A38" i="227" s="1"/>
  <c r="A13" i="226"/>
  <c r="A14" i="226" s="1"/>
  <c r="A15" i="226" s="1"/>
  <c r="A16" i="226" s="1"/>
  <c r="A17" i="226" s="1"/>
  <c r="A18" i="226" s="1"/>
  <c r="A19" i="226" s="1"/>
  <c r="A20" i="226" s="1"/>
  <c r="A21" i="226" s="1"/>
  <c r="A22" i="226" s="1"/>
  <c r="A23" i="226" s="1"/>
  <c r="A24" i="226" s="1"/>
  <c r="A26" i="226" s="1"/>
  <c r="A27" i="226" s="1"/>
  <c r="A28" i="226" s="1"/>
  <c r="A29" i="226" s="1"/>
  <c r="A30" i="226" s="1"/>
  <c r="A31" i="226" s="1"/>
  <c r="A32" i="226" s="1"/>
  <c r="A33" i="226" s="1"/>
  <c r="A34" i="226" s="1"/>
  <c r="A35" i="226" s="1"/>
  <c r="A36" i="226" s="1"/>
  <c r="A37" i="226" s="1"/>
  <c r="A38" i="226" s="1"/>
  <c r="A39" i="226" s="1"/>
  <c r="A40" i="226" s="1"/>
  <c r="A41" i="226" s="1"/>
  <c r="A42" i="226" s="1"/>
  <c r="A43" i="226" s="1"/>
  <c r="A44" i="226" s="1"/>
  <c r="A45" i="226" s="1"/>
  <c r="A46" i="226" s="1"/>
  <c r="A47" i="226" s="1"/>
  <c r="A69" i="51" l="1"/>
  <c r="A13" i="193"/>
  <c r="A14" i="193" s="1"/>
  <c r="A15" i="193" s="1"/>
  <c r="A16" i="193" s="1"/>
  <c r="A17" i="193" s="1"/>
  <c r="A18" i="193" s="1"/>
  <c r="A19" i="193" s="1"/>
  <c r="A20" i="193" s="1"/>
  <c r="A21" i="193" s="1"/>
  <c r="A22" i="193" s="1"/>
  <c r="A23" i="193" s="1"/>
  <c r="A24" i="193" s="1"/>
  <c r="A25" i="193" s="1"/>
  <c r="A26" i="193" s="1"/>
  <c r="A27" i="193" s="1"/>
  <c r="A28" i="193" s="1"/>
  <c r="A29" i="193" s="1"/>
  <c r="A30" i="193" s="1"/>
  <c r="A31" i="193" s="1"/>
  <c r="A32" i="193" s="1"/>
  <c r="A33" i="193" s="1"/>
  <c r="A34" i="193" s="1"/>
  <c r="A35" i="193" s="1"/>
  <c r="A36" i="193" s="1"/>
  <c r="A37" i="193" s="1"/>
  <c r="A38" i="193" s="1"/>
  <c r="A70" i="51" l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4" i="51" s="1"/>
  <c r="J9" i="171" l="1"/>
  <c r="A13" i="171"/>
  <c r="A14" i="171" s="1"/>
  <c r="A15" i="171" s="1"/>
  <c r="A16" i="171" s="1"/>
  <c r="A13" i="238"/>
  <c r="A14" i="238" s="1"/>
  <c r="A15" i="238" s="1"/>
  <c r="A16" i="238" s="1"/>
  <c r="A17" i="238" s="1"/>
  <c r="A18" i="238" s="1"/>
  <c r="A19" i="238" s="1"/>
  <c r="A17" i="171" l="1"/>
  <c r="A18" i="171" s="1"/>
  <c r="A19" i="171" s="1"/>
  <c r="A20" i="171" s="1"/>
  <c r="A21" i="171" s="1"/>
  <c r="A22" i="171" s="1"/>
  <c r="A23" i="171" s="1"/>
  <c r="A24" i="171" s="1"/>
  <c r="A25" i="171" s="1"/>
  <c r="A20" i="238"/>
  <c r="A21" i="238" s="1"/>
  <c r="A22" i="238" s="1"/>
  <c r="A23" i="238" s="1"/>
  <c r="A24" i="238" s="1"/>
  <c r="A25" i="238" s="1"/>
  <c r="A26" i="238" s="1"/>
  <c r="A27" i="238" s="1"/>
  <c r="A28" i="238" s="1"/>
  <c r="A29" i="238" s="1"/>
  <c r="A30" i="238" s="1"/>
  <c r="A31" i="238" s="1"/>
  <c r="A32" i="238" s="1"/>
  <c r="A26" i="171" l="1"/>
  <c r="A27" i="171" s="1"/>
  <c r="A28" i="171" s="1"/>
  <c r="A29" i="171" s="1"/>
  <c r="A30" i="171" s="1"/>
  <c r="A31" i="171" s="1"/>
  <c r="A32" i="171" s="1"/>
  <c r="A33" i="171" s="1"/>
  <c r="A34" i="171" s="1"/>
  <c r="A35" i="171" s="1"/>
  <c r="A36" i="171" s="1"/>
  <c r="A37" i="171" s="1"/>
  <c r="A38" i="171" s="1"/>
  <c r="A39" i="171" s="1"/>
  <c r="A40" i="171" s="1"/>
  <c r="A41" i="171" s="1"/>
  <c r="A42" i="171" s="1"/>
  <c r="A43" i="171" s="1"/>
  <c r="A44" i="171" s="1"/>
  <c r="A45" i="171" s="1"/>
  <c r="A46" i="171" s="1"/>
  <c r="A47" i="171" s="1"/>
  <c r="A48" i="171" s="1"/>
  <c r="A49" i="171" s="1"/>
  <c r="A50" i="171" s="1"/>
  <c r="A51" i="171" s="1"/>
  <c r="A52" i="171" s="1"/>
  <c r="A53" i="171" s="1"/>
  <c r="A54" i="171" s="1"/>
  <c r="A55" i="171" s="1"/>
  <c r="A56" i="171" s="1"/>
  <c r="A57" i="171" s="1"/>
  <c r="A58" i="171" s="1"/>
  <c r="A33" i="238"/>
  <c r="A34" i="238" s="1"/>
  <c r="A35" i="238" s="1"/>
  <c r="A36" i="238" l="1"/>
  <c r="A37" i="238" s="1"/>
  <c r="A38" i="238" s="1"/>
  <c r="A39" i="238" s="1"/>
  <c r="A40" i="238" s="1"/>
  <c r="A41" i="238" s="1"/>
  <c r="A42" i="238" s="1"/>
  <c r="A43" i="238" s="1"/>
  <c r="A44" i="238" s="1"/>
  <c r="A45" i="238" s="1"/>
  <c r="A46" i="238" s="1"/>
  <c r="A47" i="238" s="1"/>
  <c r="A48" i="238" s="1"/>
  <c r="A49" i="238" s="1"/>
  <c r="A50" i="238" s="1"/>
  <c r="A51" i="238" s="1"/>
  <c r="A52" i="238" s="1"/>
  <c r="A53" i="238" s="1"/>
  <c r="A54" i="238" s="1"/>
  <c r="A55" i="238" s="1"/>
  <c r="A56" i="238" s="1"/>
  <c r="A57" i="238" s="1"/>
  <c r="A58" i="238" s="1"/>
  <c r="A14" i="233"/>
  <c r="A15" i="233" s="1"/>
  <c r="A16" i="233" s="1"/>
  <c r="A17" i="233" s="1"/>
  <c r="A18" i="233" s="1"/>
  <c r="A19" i="233" s="1"/>
  <c r="A20" i="233" s="1"/>
  <c r="A21" i="233" s="1"/>
  <c r="A22" i="233" s="1"/>
  <c r="A23" i="233" s="1"/>
  <c r="A24" i="233" s="1"/>
  <c r="A25" i="233" s="1"/>
  <c r="A26" i="233" s="1"/>
  <c r="A27" i="233" s="1"/>
  <c r="A28" i="233" s="1"/>
  <c r="A29" i="233" s="1"/>
  <c r="A30" i="233" s="1"/>
  <c r="A31" i="233" s="1"/>
  <c r="A32" i="233" s="1"/>
  <c r="A33" i="233" s="1"/>
  <c r="A34" i="233" s="1"/>
  <c r="A35" i="233" s="1"/>
  <c r="A36" i="233" s="1"/>
  <c r="A37" i="233" s="1"/>
  <c r="A38" i="233" s="1"/>
  <c r="A39" i="233" s="1"/>
  <c r="A40" i="233" s="1"/>
  <c r="A41" i="233" s="1"/>
  <c r="A42" i="233" s="1"/>
  <c r="A43" i="233" s="1"/>
  <c r="A44" i="233" s="1"/>
  <c r="A45" i="233" s="1"/>
  <c r="A46" i="233" s="1"/>
  <c r="A47" i="233" s="1"/>
  <c r="A48" i="233" s="1"/>
  <c r="A49" i="233" s="1"/>
  <c r="A14" i="230"/>
  <c r="A15" i="230" s="1"/>
  <c r="A16" i="230" s="1"/>
  <c r="A17" i="230" s="1"/>
  <c r="A18" i="230" s="1"/>
  <c r="A19" i="230" s="1"/>
  <c r="A20" i="230" s="1"/>
  <c r="A21" i="230" s="1"/>
  <c r="A22" i="230" s="1"/>
  <c r="A23" i="230" s="1"/>
  <c r="A24" i="230" s="1"/>
  <c r="A25" i="230" s="1"/>
  <c r="A26" i="230" s="1"/>
  <c r="A27" i="230" s="1"/>
  <c r="A28" i="230" s="1"/>
  <c r="A29" i="230" s="1"/>
  <c r="A30" i="230" s="1"/>
  <c r="A31" i="230" s="1"/>
  <c r="A32" i="230" s="1"/>
  <c r="A33" i="230" s="1"/>
  <c r="A34" i="230" s="1"/>
  <c r="A35" i="230" s="1"/>
  <c r="A36" i="230" s="1"/>
  <c r="A37" i="230" s="1"/>
  <c r="A38" i="230" s="1"/>
  <c r="A39" i="230" s="1"/>
  <c r="A40" i="230" s="1"/>
  <c r="A41" i="230" s="1"/>
  <c r="A42" i="230" s="1"/>
  <c r="A43" i="230" s="1"/>
  <c r="A44" i="230" s="1"/>
  <c r="A45" i="230" s="1"/>
  <c r="A46" i="230" s="1"/>
  <c r="A47" i="230" s="1"/>
  <c r="A48" i="230" s="1"/>
  <c r="A49" i="230" s="1"/>
  <c r="A14" i="244" l="1"/>
  <c r="A15" i="244" s="1"/>
  <c r="A16" i="244" s="1"/>
  <c r="A17" i="244" s="1"/>
  <c r="A18" i="244" s="1"/>
  <c r="A19" i="244" s="1"/>
  <c r="A20" i="244" s="1"/>
  <c r="A21" i="244" s="1"/>
  <c r="A22" i="244" s="1"/>
  <c r="A23" i="244" s="1"/>
  <c r="A24" i="244" s="1"/>
  <c r="A14" i="243"/>
  <c r="A15" i="243" s="1"/>
  <c r="A16" i="243" s="1"/>
  <c r="A17" i="243" s="1"/>
  <c r="A18" i="243" s="1"/>
  <c r="A19" i="243" s="1"/>
  <c r="A20" i="243" s="1"/>
  <c r="A21" i="243" s="1"/>
  <c r="A22" i="243" s="1"/>
  <c r="A23" i="243" s="1"/>
  <c r="A24" i="243" s="1"/>
  <c r="Q19" i="242"/>
  <c r="Q16" i="242"/>
  <c r="Q22" i="242" l="1"/>
  <c r="Q13" i="242"/>
  <c r="Q13" i="241"/>
  <c r="E10" i="228" l="1"/>
  <c r="E10" i="227"/>
  <c r="E10" i="226"/>
  <c r="E9" i="192"/>
  <c r="E10" i="193"/>
  <c r="E9" i="193"/>
  <c r="E10" i="190"/>
  <c r="E9" i="190"/>
  <c r="I37" i="193" l="1"/>
  <c r="E11" i="216"/>
  <c r="F11" i="216"/>
  <c r="G11" i="216"/>
  <c r="H11" i="216"/>
  <c r="I11" i="216"/>
  <c r="J11" i="216"/>
  <c r="K11" i="216"/>
  <c r="L11" i="216"/>
  <c r="M11" i="216"/>
  <c r="N11" i="216"/>
  <c r="O11" i="216"/>
  <c r="C11" i="216" s="1"/>
  <c r="D11" i="216"/>
  <c r="E10" i="214"/>
  <c r="F11" i="230" s="1"/>
  <c r="F10" i="214"/>
  <c r="G11" i="230" s="1"/>
  <c r="G10" i="214"/>
  <c r="H11" i="230" s="1"/>
  <c r="H10" i="214"/>
  <c r="I11" i="230" s="1"/>
  <c r="I10" i="214"/>
  <c r="J11" i="230" s="1"/>
  <c r="J10" i="214"/>
  <c r="K11" i="230" s="1"/>
  <c r="K10" i="214"/>
  <c r="L11" i="230" s="1"/>
  <c r="L10" i="214"/>
  <c r="M11" i="230" s="1"/>
  <c r="M10" i="214"/>
  <c r="N11" i="230" s="1"/>
  <c r="N10" i="214"/>
  <c r="O11" i="230" s="1"/>
  <c r="O10" i="214"/>
  <c r="C10" i="214" s="1"/>
  <c r="D10" i="214"/>
  <c r="E11" i="230" s="1"/>
  <c r="D11" i="230" l="1"/>
  <c r="P11" i="230"/>
  <c r="A14" i="212" l="1"/>
  <c r="A15" i="212" s="1"/>
  <c r="A16" i="212" s="1"/>
  <c r="A17" i="212" s="1"/>
  <c r="A18" i="212" s="1"/>
  <c r="A19" i="212" s="1"/>
  <c r="A20" i="212" l="1"/>
  <c r="A21" i="212" s="1"/>
  <c r="A22" i="212" s="1"/>
  <c r="A23" i="212" s="1"/>
  <c r="A24" i="212" s="1"/>
  <c r="A25" i="212" s="1"/>
  <c r="A26" i="212" s="1"/>
  <c r="A27" i="212" s="1"/>
  <c r="A28" i="212" s="1"/>
  <c r="A29" i="212" s="1"/>
  <c r="A30" i="212" s="1"/>
  <c r="A31" i="212" s="1"/>
  <c r="G194" i="237"/>
  <c r="H187" i="209"/>
  <c r="M187" i="209" s="1"/>
  <c r="H187" i="213"/>
  <c r="M187" i="213" s="1"/>
  <c r="H233" i="209"/>
  <c r="M233" i="209" s="1"/>
  <c r="G232" i="237"/>
  <c r="H233" i="213"/>
  <c r="H246" i="236" l="1"/>
  <c r="M246" i="236" s="1"/>
  <c r="H239" i="236"/>
  <c r="H242" i="236"/>
  <c r="H244" i="236"/>
  <c r="H234" i="236"/>
  <c r="H241" i="236"/>
  <c r="H240" i="236"/>
  <c r="H194" i="213"/>
  <c r="H124" i="207"/>
  <c r="H123" i="236"/>
  <c r="G186" i="207"/>
  <c r="G184" i="236"/>
  <c r="G223" i="236" s="1"/>
  <c r="G232" i="207"/>
  <c r="G230" i="236"/>
  <c r="H232" i="207"/>
  <c r="H230" i="236"/>
  <c r="F231" i="237"/>
  <c r="G232" i="209"/>
  <c r="G232" i="213"/>
  <c r="H232" i="213"/>
  <c r="H240" i="213" s="1"/>
  <c r="M240" i="213" s="1"/>
  <c r="G231" i="237"/>
  <c r="H232" i="209"/>
  <c r="M232" i="209" s="1"/>
  <c r="G186" i="237"/>
  <c r="H186" i="213"/>
  <c r="H203" i="213" s="1"/>
  <c r="M203" i="213" s="1"/>
  <c r="H186" i="209"/>
  <c r="H225" i="209" s="1"/>
  <c r="M225" i="209" s="1"/>
  <c r="G186" i="209"/>
  <c r="G225" i="209" s="1"/>
  <c r="G186" i="213"/>
  <c r="F186" i="237"/>
  <c r="G125" i="237"/>
  <c r="H125" i="209"/>
  <c r="H124" i="213"/>
  <c r="H184" i="236"/>
  <c r="H186" i="207"/>
  <c r="H231" i="236"/>
  <c r="H233" i="207"/>
  <c r="H246" i="213"/>
  <c r="H257" i="213"/>
  <c r="H258" i="213"/>
  <c r="H236" i="213"/>
  <c r="H256" i="213"/>
  <c r="G187" i="237"/>
  <c r="H187" i="207"/>
  <c r="I17" i="212"/>
  <c r="E17" i="252" s="1"/>
  <c r="E14" i="252"/>
  <c r="E15" i="252"/>
  <c r="L223" i="236" l="1"/>
  <c r="L225" i="209"/>
  <c r="N225" i="209" s="1"/>
  <c r="I225" i="209"/>
  <c r="H201" i="236"/>
  <c r="M201" i="236" s="1"/>
  <c r="H223" i="236"/>
  <c r="M223" i="236" s="1"/>
  <c r="F206" i="237"/>
  <c r="F224" i="237"/>
  <c r="G206" i="237"/>
  <c r="G224" i="237"/>
  <c r="L184" i="236"/>
  <c r="G204" i="236"/>
  <c r="L204" i="236" s="1"/>
  <c r="G200" i="209"/>
  <c r="L200" i="209" s="1"/>
  <c r="G205" i="209"/>
  <c r="L205" i="209" s="1"/>
  <c r="G207" i="209"/>
  <c r="L207" i="209" s="1"/>
  <c r="G209" i="209"/>
  <c r="L209" i="209" s="1"/>
  <c r="G211" i="209"/>
  <c r="G213" i="209"/>
  <c r="G201" i="209"/>
  <c r="L201" i="209" s="1"/>
  <c r="G208" i="209"/>
  <c r="L208" i="209" s="1"/>
  <c r="G212" i="209"/>
  <c r="G224" i="209"/>
  <c r="G196" i="209"/>
  <c r="L196" i="209" s="1"/>
  <c r="G198" i="209"/>
  <c r="L198" i="209" s="1"/>
  <c r="G203" i="209"/>
  <c r="L203" i="209" s="1"/>
  <c r="G206" i="209"/>
  <c r="L206" i="209" s="1"/>
  <c r="G210" i="209"/>
  <c r="G214" i="209"/>
  <c r="G197" i="209"/>
  <c r="L197" i="209" s="1"/>
  <c r="G218" i="209"/>
  <c r="H197" i="209"/>
  <c r="M197" i="209" s="1"/>
  <c r="H218" i="209"/>
  <c r="H196" i="209"/>
  <c r="M196" i="209" s="1"/>
  <c r="H203" i="209"/>
  <c r="M203" i="209" s="1"/>
  <c r="H208" i="209"/>
  <c r="M208" i="209" s="1"/>
  <c r="H214" i="209"/>
  <c r="H224" i="209"/>
  <c r="H200" i="209"/>
  <c r="M200" i="209" s="1"/>
  <c r="H205" i="209"/>
  <c r="M205" i="209" s="1"/>
  <c r="H207" i="209"/>
  <c r="M207" i="209" s="1"/>
  <c r="H209" i="209"/>
  <c r="M209" i="209" s="1"/>
  <c r="H211" i="209"/>
  <c r="H213" i="209"/>
  <c r="H198" i="209"/>
  <c r="M198" i="209" s="1"/>
  <c r="H201" i="209"/>
  <c r="M201" i="209" s="1"/>
  <c r="H206" i="209"/>
  <c r="M206" i="209" s="1"/>
  <c r="H210" i="209"/>
  <c r="H212" i="209"/>
  <c r="M189" i="207"/>
  <c r="M187" i="207"/>
  <c r="M194" i="213"/>
  <c r="G163" i="237"/>
  <c r="G165" i="237"/>
  <c r="G167" i="237"/>
  <c r="G164" i="237"/>
  <c r="G166" i="237"/>
  <c r="G168" i="237"/>
  <c r="H243" i="236"/>
  <c r="M243" i="236" s="1"/>
  <c r="H235" i="236"/>
  <c r="M235" i="236" s="1"/>
  <c r="H258" i="236"/>
  <c r="M258" i="236" s="1"/>
  <c r="H238" i="236"/>
  <c r="H236" i="236"/>
  <c r="M236" i="236" s="1"/>
  <c r="H237" i="236"/>
  <c r="M237" i="236" s="1"/>
  <c r="H247" i="236"/>
  <c r="M247" i="236" s="1"/>
  <c r="H239" i="207"/>
  <c r="M239" i="207" s="1"/>
  <c r="H238" i="207"/>
  <c r="M238" i="207" s="1"/>
  <c r="H260" i="207"/>
  <c r="M260" i="207" s="1"/>
  <c r="H161" i="209"/>
  <c r="M161" i="209" s="1"/>
  <c r="H163" i="209"/>
  <c r="M163" i="209" s="1"/>
  <c r="H165" i="209"/>
  <c r="M165" i="209" s="1"/>
  <c r="H162" i="209"/>
  <c r="M162" i="209" s="1"/>
  <c r="H164" i="209"/>
  <c r="M164" i="209" s="1"/>
  <c r="H166" i="209"/>
  <c r="M166" i="209" s="1"/>
  <c r="L186" i="209"/>
  <c r="G193" i="209"/>
  <c r="L193" i="209" s="1"/>
  <c r="G243" i="236"/>
  <c r="G237" i="236"/>
  <c r="G235" i="236"/>
  <c r="G247" i="236"/>
  <c r="L247" i="236" s="1"/>
  <c r="G238" i="236"/>
  <c r="L238" i="236" s="1"/>
  <c r="G236" i="236"/>
  <c r="G258" i="236"/>
  <c r="L258" i="236" s="1"/>
  <c r="H193" i="209"/>
  <c r="M193" i="209" s="1"/>
  <c r="G239" i="207"/>
  <c r="G260" i="207"/>
  <c r="G238" i="207"/>
  <c r="M242" i="236"/>
  <c r="H248" i="207"/>
  <c r="H241" i="207"/>
  <c r="H242" i="207"/>
  <c r="H259" i="207"/>
  <c r="H244" i="207"/>
  <c r="H243" i="207"/>
  <c r="H255" i="236"/>
  <c r="M255" i="236" s="1"/>
  <c r="H256" i="236"/>
  <c r="M256" i="236" s="1"/>
  <c r="H254" i="236"/>
  <c r="M254" i="236" s="1"/>
  <c r="M241" i="236"/>
  <c r="M239" i="236"/>
  <c r="M244" i="236"/>
  <c r="M240" i="236"/>
  <c r="M234" i="236"/>
  <c r="G191" i="237"/>
  <c r="G188" i="237"/>
  <c r="G192" i="237"/>
  <c r="G196" i="237"/>
  <c r="G198" i="237"/>
  <c r="G200" i="237"/>
  <c r="G193" i="237"/>
  <c r="G197" i="237"/>
  <c r="G201" i="237"/>
  <c r="F188" i="237"/>
  <c r="F192" i="237"/>
  <c r="F196" i="237"/>
  <c r="F198" i="237"/>
  <c r="F200" i="237"/>
  <c r="F191" i="237"/>
  <c r="F193" i="237"/>
  <c r="F197" i="237"/>
  <c r="F201" i="237"/>
  <c r="H158" i="236"/>
  <c r="H160" i="236"/>
  <c r="H157" i="236"/>
  <c r="H159" i="236"/>
  <c r="H161" i="236"/>
  <c r="H240" i="207"/>
  <c r="M240" i="207" s="1"/>
  <c r="H160" i="213"/>
  <c r="H159" i="213"/>
  <c r="H161" i="213"/>
  <c r="H163" i="213"/>
  <c r="H165" i="213"/>
  <c r="H167" i="213"/>
  <c r="H169" i="213"/>
  <c r="H162" i="213"/>
  <c r="H168" i="213"/>
  <c r="H164" i="213"/>
  <c r="H166" i="213"/>
  <c r="H159" i="207"/>
  <c r="H161" i="207"/>
  <c r="H168" i="207"/>
  <c r="M168" i="207" s="1"/>
  <c r="H170" i="207"/>
  <c r="M170" i="207" s="1"/>
  <c r="H175" i="207"/>
  <c r="H166" i="207"/>
  <c r="H171" i="207"/>
  <c r="M171" i="207" s="1"/>
  <c r="H163" i="207"/>
  <c r="M163" i="207" s="1"/>
  <c r="H165" i="207"/>
  <c r="H172" i="207"/>
  <c r="H174" i="207"/>
  <c r="H160" i="207"/>
  <c r="H162" i="207"/>
  <c r="H167" i="207"/>
  <c r="H169" i="207"/>
  <c r="H164" i="207"/>
  <c r="M164" i="207" s="1"/>
  <c r="H173" i="207"/>
  <c r="K62" i="192"/>
  <c r="J62" i="192"/>
  <c r="E17" i="250"/>
  <c r="J37" i="193"/>
  <c r="K37" i="193"/>
  <c r="M46" i="190"/>
  <c r="J46" i="190"/>
  <c r="N46" i="190"/>
  <c r="K46" i="190"/>
  <c r="O46" i="190"/>
  <c r="L46" i="190"/>
  <c r="E15" i="250"/>
  <c r="H214" i="213"/>
  <c r="M214" i="213" s="1"/>
  <c r="H218" i="213"/>
  <c r="M218" i="213" s="1"/>
  <c r="G218" i="213"/>
  <c r="G214" i="213"/>
  <c r="G240" i="207"/>
  <c r="H194" i="207"/>
  <c r="G240" i="213"/>
  <c r="H245" i="236"/>
  <c r="M245" i="236" s="1"/>
  <c r="G245" i="236"/>
  <c r="D27" i="102"/>
  <c r="D28" i="102" s="1"/>
  <c r="H204" i="236"/>
  <c r="M204" i="236" s="1"/>
  <c r="M37" i="193"/>
  <c r="N37" i="193"/>
  <c r="O37" i="193"/>
  <c r="L37" i="193"/>
  <c r="N62" i="192"/>
  <c r="M62" i="192"/>
  <c r="L62" i="192"/>
  <c r="O62" i="192"/>
  <c r="F21" i="247"/>
  <c r="D23" i="103"/>
  <c r="E25" i="100"/>
  <c r="D18" i="239"/>
  <c r="E21" i="105"/>
  <c r="D22" i="102"/>
  <c r="H216" i="236"/>
  <c r="M216" i="236" s="1"/>
  <c r="H209" i="236"/>
  <c r="M209" i="236" s="1"/>
  <c r="H222" i="236"/>
  <c r="H211" i="236"/>
  <c r="M211" i="236" s="1"/>
  <c r="H212" i="236"/>
  <c r="M212" i="236" s="1"/>
  <c r="H205" i="236"/>
  <c r="M205" i="236" s="1"/>
  <c r="H207" i="236"/>
  <c r="M207" i="236" s="1"/>
  <c r="H208" i="236"/>
  <c r="M208" i="236" s="1"/>
  <c r="H210" i="236"/>
  <c r="M210" i="236" s="1"/>
  <c r="H203" i="236"/>
  <c r="M203" i="236" s="1"/>
  <c r="H206" i="236"/>
  <c r="M206" i="236" s="1"/>
  <c r="H257" i="236"/>
  <c r="M257" i="236" s="1"/>
  <c r="E39" i="100"/>
  <c r="D22" i="239"/>
  <c r="D37" i="103"/>
  <c r="D32" i="102"/>
  <c r="F27" i="247"/>
  <c r="E31" i="105"/>
  <c r="E26" i="105"/>
  <c r="D20" i="239"/>
  <c r="E32" i="100"/>
  <c r="D30" i="103"/>
  <c r="F24" i="247"/>
  <c r="H257" i="207"/>
  <c r="H256" i="207"/>
  <c r="H236" i="207"/>
  <c r="H246" i="207"/>
  <c r="H258" i="207"/>
  <c r="I223" i="236" l="1"/>
  <c r="N223" i="236"/>
  <c r="E27" i="250"/>
  <c r="E29" i="250"/>
  <c r="M194" i="207"/>
  <c r="L260" i="207"/>
  <c r="L239" i="207"/>
  <c r="L243" i="236"/>
  <c r="L235" i="236"/>
  <c r="M238" i="236"/>
  <c r="L245" i="236"/>
  <c r="L238" i="207"/>
  <c r="L236" i="236"/>
  <c r="L237" i="236"/>
  <c r="M259" i="207"/>
  <c r="M242" i="207"/>
  <c r="M243" i="207"/>
  <c r="M241" i="207"/>
  <c r="M244" i="207"/>
  <c r="M248" i="207"/>
  <c r="M159" i="236"/>
  <c r="M157" i="236"/>
  <c r="M160" i="236"/>
  <c r="M161" i="236"/>
  <c r="M158" i="236"/>
  <c r="M163" i="213"/>
  <c r="M166" i="213"/>
  <c r="M169" i="213"/>
  <c r="M161" i="213"/>
  <c r="M162" i="213"/>
  <c r="M164" i="213"/>
  <c r="M167" i="213"/>
  <c r="M159" i="213"/>
  <c r="M168" i="213"/>
  <c r="M165" i="213"/>
  <c r="M160" i="213"/>
  <c r="M169" i="207"/>
  <c r="M167" i="207"/>
  <c r="M161" i="207"/>
  <c r="M160" i="207"/>
  <c r="M166" i="207"/>
  <c r="M162" i="207"/>
  <c r="M165" i="207"/>
  <c r="M159" i="207"/>
  <c r="L214" i="213"/>
  <c r="L218" i="213"/>
  <c r="L240" i="207"/>
  <c r="L240" i="213"/>
  <c r="A13" i="222" l="1"/>
  <c r="A14" i="222" s="1"/>
  <c r="A15" i="222" s="1"/>
  <c r="A16" i="222" s="1"/>
  <c r="A17" i="222" s="1"/>
  <c r="A18" i="222" s="1"/>
  <c r="A19" i="222" s="1"/>
  <c r="A20" i="222" s="1"/>
  <c r="A21" i="222" s="1"/>
  <c r="A22" i="222" s="1"/>
  <c r="A23" i="222" s="1"/>
  <c r="A24" i="222" s="1"/>
  <c r="A25" i="222" s="1"/>
  <c r="A26" i="222" s="1"/>
  <c r="A27" i="222" s="1"/>
  <c r="A28" i="222" s="1"/>
  <c r="A29" i="222" s="1"/>
  <c r="A30" i="222" s="1"/>
  <c r="A31" i="222" s="1"/>
  <c r="A32" i="222" s="1"/>
  <c r="A33" i="222" s="1"/>
  <c r="A34" i="222" s="1"/>
  <c r="A35" i="222" s="1"/>
  <c r="A36" i="222" s="1"/>
  <c r="A37" i="222" s="1"/>
  <c r="A38" i="222" s="1"/>
  <c r="A39" i="222" s="1"/>
  <c r="A40" i="222" s="1"/>
  <c r="A41" i="222" s="1"/>
  <c r="A42" i="222" s="1"/>
  <c r="A43" i="222" s="1"/>
  <c r="A44" i="222" s="1"/>
  <c r="A45" i="222" s="1"/>
  <c r="A46" i="222" s="1"/>
  <c r="A47" i="222" s="1"/>
  <c r="A48" i="222" s="1"/>
  <c r="A49" i="222" s="1"/>
  <c r="A50" i="222" s="1"/>
  <c r="A51" i="222" s="1"/>
  <c r="A52" i="222" s="1"/>
  <c r="A53" i="222" s="1"/>
  <c r="A54" i="222" s="1"/>
  <c r="A55" i="222" s="1"/>
  <c r="A56" i="222" s="1"/>
  <c r="A57" i="222" s="1"/>
  <c r="A58" i="222" s="1"/>
  <c r="A59" i="222" s="1"/>
  <c r="A60" i="222" s="1"/>
  <c r="A61" i="222" s="1"/>
  <c r="A62" i="222" s="1"/>
  <c r="A63" i="222" s="1"/>
  <c r="A64" i="222" s="1"/>
  <c r="A65" i="222" s="1"/>
  <c r="A66" i="222" s="1"/>
  <c r="A67" i="222" s="1"/>
  <c r="A68" i="222" s="1"/>
  <c r="A69" i="222" s="1"/>
  <c r="A70" i="222" s="1"/>
  <c r="A71" i="222" s="1"/>
  <c r="A72" i="222" s="1"/>
  <c r="A73" i="222" s="1"/>
  <c r="A74" i="222" s="1"/>
  <c r="A75" i="222" s="1"/>
  <c r="A76" i="222" s="1"/>
  <c r="A77" i="222" s="1"/>
  <c r="A78" i="222" s="1"/>
  <c r="A79" i="222" s="1"/>
  <c r="A80" i="222" s="1"/>
  <c r="A81" i="222" s="1"/>
  <c r="A82" i="222" s="1"/>
  <c r="A83" i="222" s="1"/>
  <c r="A84" i="222" s="1"/>
  <c r="A85" i="222" s="1"/>
  <c r="A86" i="222" s="1"/>
  <c r="A87" i="222" s="1"/>
  <c r="A88" i="222" s="1"/>
  <c r="A89" i="222" s="1"/>
  <c r="A90" i="222" s="1"/>
  <c r="A91" i="222" s="1"/>
  <c r="A92" i="222" s="1"/>
  <c r="A93" i="222" s="1"/>
  <c r="A94" i="222" s="1"/>
  <c r="A13" i="44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95" i="222" l="1"/>
  <c r="A96" i="222" s="1"/>
  <c r="A97" i="222" s="1"/>
  <c r="A98" i="222" s="1"/>
  <c r="A99" i="222" s="1"/>
  <c r="A100" i="222" s="1"/>
  <c r="A101" i="222" s="1"/>
  <c r="A102" i="222" s="1"/>
  <c r="A103" i="222" s="1"/>
  <c r="A104" i="222" s="1"/>
  <c r="A105" i="222" s="1"/>
  <c r="A106" i="222" s="1"/>
  <c r="A107" i="222" s="1"/>
  <c r="A108" i="222" s="1"/>
  <c r="A109" i="222" s="1"/>
  <c r="A110" i="222" s="1"/>
  <c r="A111" i="222" s="1"/>
  <c r="A112" i="222" s="1"/>
  <c r="A113" i="222" s="1"/>
  <c r="A114" i="222" s="1"/>
  <c r="A14" i="79" l="1"/>
  <c r="A15" i="79" s="1"/>
  <c r="A16" i="79" s="1"/>
  <c r="A17" i="79" s="1"/>
  <c r="A18" i="79" s="1"/>
  <c r="A14" i="45"/>
  <c r="A15" i="45" s="1"/>
  <c r="A16" i="45" s="1"/>
  <c r="A17" i="45" s="1"/>
  <c r="A18" i="45" s="1"/>
  <c r="A19" i="45" s="1"/>
  <c r="A20" i="45" l="1"/>
  <c r="A21" i="45" s="1"/>
  <c r="A22" i="45" s="1"/>
  <c r="A23" i="45" s="1"/>
  <c r="A24" i="45" s="1"/>
  <c r="A25" i="45" s="1"/>
  <c r="A26" i="45" s="1"/>
  <c r="A27" i="45" s="1"/>
  <c r="A28" i="45" s="1"/>
  <c r="A29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3" i="45" s="1"/>
  <c r="A104" i="45" s="1"/>
  <c r="A105" i="45" s="1"/>
  <c r="A106" i="45" s="1"/>
  <c r="A107" i="45" s="1"/>
  <c r="A108" i="45" s="1"/>
  <c r="A109" i="45" s="1"/>
  <c r="A110" i="45" s="1"/>
  <c r="A111" i="45" s="1"/>
  <c r="A112" i="45" s="1"/>
  <c r="A113" i="45" s="1"/>
  <c r="A114" i="45" s="1"/>
  <c r="A115" i="45" s="1"/>
  <c r="A116" i="45" s="1"/>
  <c r="A117" i="45" s="1"/>
  <c r="A118" i="45" s="1"/>
  <c r="A119" i="45" s="1"/>
  <c r="A120" i="45" s="1"/>
  <c r="A121" i="45" s="1"/>
  <c r="A122" i="45" s="1"/>
  <c r="A123" i="45" s="1"/>
  <c r="A124" i="45" s="1"/>
  <c r="A125" i="45" s="1"/>
  <c r="A126" i="45" s="1"/>
  <c r="A127" i="45" s="1"/>
  <c r="A128" i="45" s="1"/>
  <c r="A129" i="45" s="1"/>
  <c r="A130" i="45" s="1"/>
  <c r="A131" i="45" s="1"/>
  <c r="A132" i="45" s="1"/>
  <c r="A133" i="45" s="1"/>
  <c r="A134" i="45" s="1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A153" i="45" s="1"/>
  <c r="A154" i="45" s="1"/>
  <c r="A155" i="45" s="1"/>
  <c r="A156" i="45" s="1"/>
  <c r="A157" i="45" s="1"/>
  <c r="A158" i="45" s="1"/>
  <c r="A159" i="45" s="1"/>
  <c r="A160" i="45" s="1"/>
  <c r="A161" i="45" s="1"/>
  <c r="A162" i="45" s="1"/>
  <c r="A163" i="45" s="1"/>
  <c r="A164" i="45" s="1"/>
  <c r="A165" i="45" s="1"/>
  <c r="A166" i="45" s="1"/>
  <c r="A167" i="45" s="1"/>
  <c r="A168" i="45" s="1"/>
  <c r="A169" i="45" s="1"/>
  <c r="A170" i="45" s="1"/>
  <c r="A171" i="45" s="1"/>
  <c r="A172" i="45" s="1"/>
  <c r="A173" i="45" s="1"/>
  <c r="A174" i="45" s="1"/>
  <c r="A175" i="45" s="1"/>
  <c r="A176" i="45" s="1"/>
  <c r="A177" i="45" s="1"/>
  <c r="A178" i="45" s="1"/>
  <c r="A179" i="45" s="1"/>
  <c r="A180" i="45" s="1"/>
  <c r="A181" i="45" s="1"/>
  <c r="A182" i="45" s="1"/>
  <c r="A183" i="45" s="1"/>
  <c r="A19" i="79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A43" i="79" s="1"/>
  <c r="A44" i="79" s="1"/>
  <c r="A45" i="79" s="1"/>
  <c r="A46" i="79" s="1"/>
  <c r="A47" i="79" s="1"/>
  <c r="A48" i="79" s="1"/>
  <c r="A49" i="79" s="1"/>
  <c r="A50" i="79" s="1"/>
  <c r="A51" i="79" s="1"/>
  <c r="A52" i="79" s="1"/>
  <c r="A53" i="79" s="1"/>
  <c r="A54" i="79" s="1"/>
  <c r="A55" i="79" s="1"/>
  <c r="A56" i="79" s="1"/>
  <c r="A57" i="79" s="1"/>
  <c r="A58" i="79" s="1"/>
  <c r="A59" i="79" s="1"/>
  <c r="A60" i="79" s="1"/>
  <c r="A61" i="79" s="1"/>
  <c r="A62" i="79" s="1"/>
  <c r="A63" i="79" s="1"/>
  <c r="A64" i="79" s="1"/>
  <c r="A65" i="79" s="1"/>
  <c r="A66" i="79" s="1"/>
  <c r="A67" i="79" s="1"/>
  <c r="A68" i="79" s="1"/>
  <c r="A69" i="79" s="1"/>
  <c r="A70" i="79" s="1"/>
  <c r="A71" i="79" s="1"/>
  <c r="A72" i="79" s="1"/>
  <c r="A73" i="79" s="1"/>
  <c r="A74" i="79" s="1"/>
  <c r="A75" i="79" s="1"/>
  <c r="A76" i="79" s="1"/>
  <c r="A77" i="79" s="1"/>
  <c r="A78" i="79" s="1"/>
  <c r="A79" i="79" s="1"/>
  <c r="A80" i="79" s="1"/>
  <c r="A81" i="79" s="1"/>
  <c r="A82" i="79" s="1"/>
  <c r="A83" i="79" s="1"/>
  <c r="A84" i="79" s="1"/>
  <c r="A85" i="79" s="1"/>
  <c r="A86" i="79" s="1"/>
  <c r="A87" i="79" s="1"/>
  <c r="A88" i="79" s="1"/>
  <c r="A89" i="79" s="1"/>
  <c r="A90" i="79" s="1"/>
  <c r="A91" i="79" s="1"/>
  <c r="A92" i="79" s="1"/>
  <c r="A93" i="79" s="1"/>
  <c r="A94" i="79" s="1"/>
  <c r="A95" i="79" s="1"/>
  <c r="A96" i="79" s="1"/>
  <c r="A97" i="79" s="1"/>
  <c r="A98" i="79" s="1"/>
  <c r="A99" i="79" s="1"/>
  <c r="A100" i="79" s="1"/>
  <c r="A101" i="79" s="1"/>
  <c r="A102" i="79" s="1"/>
  <c r="A103" i="79" s="1"/>
  <c r="A104" i="79" s="1"/>
  <c r="A105" i="79" s="1"/>
  <c r="A106" i="79" s="1"/>
  <c r="A107" i="79" s="1"/>
  <c r="A108" i="79" s="1"/>
  <c r="A109" i="79" s="1"/>
  <c r="A110" i="79" s="1"/>
  <c r="A111" i="79" s="1"/>
  <c r="A112" i="79" s="1"/>
  <c r="A113" i="79" s="1"/>
  <c r="A114" i="79" s="1"/>
  <c r="A115" i="79" s="1"/>
  <c r="A116" i="79" s="1"/>
  <c r="A117" i="79" s="1"/>
  <c r="A118" i="79" s="1"/>
  <c r="A119" i="79" s="1"/>
  <c r="A120" i="79" s="1"/>
  <c r="A121" i="79" s="1"/>
  <c r="A122" i="79" s="1"/>
  <c r="A123" i="79" s="1"/>
  <c r="A124" i="79" s="1"/>
  <c r="A125" i="79" s="1"/>
  <c r="A126" i="79" s="1"/>
  <c r="A127" i="79" s="1"/>
  <c r="A128" i="79" s="1"/>
  <c r="A129" i="79" s="1"/>
  <c r="A130" i="79" s="1"/>
  <c r="A131" i="79" s="1"/>
  <c r="A132" i="79" s="1"/>
  <c r="A133" i="79" s="1"/>
  <c r="A134" i="79" s="1"/>
  <c r="A135" i="79" s="1"/>
  <c r="A136" i="79" s="1"/>
  <c r="A137" i="79" s="1"/>
  <c r="A138" i="79" s="1"/>
  <c r="A139" i="79" s="1"/>
  <c r="A140" i="79" s="1"/>
  <c r="A141" i="79" s="1"/>
  <c r="A142" i="79" s="1"/>
  <c r="A143" i="79" s="1"/>
  <c r="A144" i="79" s="1"/>
  <c r="A145" i="79" s="1"/>
  <c r="A146" i="79" s="1"/>
  <c r="A147" i="79" s="1"/>
  <c r="A148" i="79" s="1"/>
  <c r="A149" i="79" s="1"/>
  <c r="A150" i="79" s="1"/>
  <c r="A151" i="79" s="1"/>
  <c r="A152" i="79" s="1"/>
  <c r="A153" i="79" s="1"/>
  <c r="A154" i="79" s="1"/>
  <c r="A155" i="79" s="1"/>
  <c r="A156" i="79" s="1"/>
  <c r="A157" i="79" s="1"/>
  <c r="A158" i="79" s="1"/>
  <c r="A159" i="79" s="1"/>
  <c r="A160" i="79" s="1"/>
  <c r="A161" i="79" s="1"/>
  <c r="A162" i="79" s="1"/>
  <c r="A163" i="79" s="1"/>
  <c r="A164" i="79" s="1"/>
  <c r="A165" i="79" s="1"/>
  <c r="A166" i="79" s="1"/>
  <c r="A167" i="79" s="1"/>
  <c r="A168" i="79" s="1"/>
  <c r="A169" i="79" s="1"/>
  <c r="A170" i="79" s="1"/>
  <c r="A171" i="79" s="1"/>
  <c r="A172" i="79" s="1"/>
  <c r="A173" i="79" s="1"/>
  <c r="A174" i="79" s="1"/>
  <c r="A175" i="79" s="1"/>
  <c r="A176" i="79" s="1"/>
  <c r="A177" i="79" s="1"/>
  <c r="G114" i="44" l="1"/>
  <c r="F114" i="44"/>
  <c r="I114" i="44"/>
  <c r="E114" i="44"/>
  <c r="H114" i="44"/>
  <c r="E11" i="242" l="1"/>
  <c r="F11" i="242"/>
  <c r="G11" i="242"/>
  <c r="H11" i="242"/>
  <c r="I11" i="242"/>
  <c r="J11" i="242"/>
  <c r="K11" i="242"/>
  <c r="L11" i="242"/>
  <c r="M11" i="242"/>
  <c r="N11" i="242"/>
  <c r="O11" i="242"/>
  <c r="P11" i="242"/>
  <c r="D11" i="242"/>
  <c r="E11" i="241"/>
  <c r="F11" i="241"/>
  <c r="G11" i="241"/>
  <c r="H11" i="241"/>
  <c r="I11" i="241"/>
  <c r="J11" i="241"/>
  <c r="K11" i="241"/>
  <c r="L11" i="241"/>
  <c r="M11" i="241"/>
  <c r="N11" i="241"/>
  <c r="O11" i="241"/>
  <c r="P11" i="241"/>
  <c r="D11" i="241"/>
  <c r="E11" i="233"/>
  <c r="F11" i="233"/>
  <c r="G11" i="233"/>
  <c r="H11" i="233"/>
  <c r="I11" i="233"/>
  <c r="J11" i="233"/>
  <c r="K11" i="233"/>
  <c r="L11" i="233"/>
  <c r="M11" i="233"/>
  <c r="N11" i="233"/>
  <c r="O11" i="233"/>
  <c r="P11" i="233"/>
  <c r="D11" i="233"/>
  <c r="K9" i="99" l="1"/>
  <c r="K8" i="8"/>
  <c r="L9" i="34"/>
  <c r="O9" i="35"/>
  <c r="L9" i="36"/>
  <c r="I9" i="239"/>
  <c r="I10" i="103"/>
  <c r="E9" i="106"/>
  <c r="I9" i="102"/>
  <c r="K10" i="247"/>
  <c r="J10" i="100"/>
  <c r="J10" i="105"/>
  <c r="F9" i="107"/>
  <c r="F10" i="228"/>
  <c r="G10" i="228"/>
  <c r="H10" i="228"/>
  <c r="I10" i="228"/>
  <c r="J10" i="228"/>
  <c r="K10" i="228"/>
  <c r="L10" i="228"/>
  <c r="M10" i="228"/>
  <c r="N10" i="228"/>
  <c r="O10" i="228"/>
  <c r="D10" i="228"/>
  <c r="F10" i="227"/>
  <c r="G10" i="227"/>
  <c r="H10" i="227"/>
  <c r="I10" i="227"/>
  <c r="J10" i="227"/>
  <c r="K10" i="227"/>
  <c r="L10" i="227"/>
  <c r="M10" i="227"/>
  <c r="N10" i="227"/>
  <c r="O10" i="227"/>
  <c r="F10" i="226"/>
  <c r="G10" i="226"/>
  <c r="H10" i="226"/>
  <c r="I10" i="226"/>
  <c r="J10" i="226"/>
  <c r="K10" i="226"/>
  <c r="L10" i="226"/>
  <c r="M10" i="226"/>
  <c r="N10" i="226"/>
  <c r="O10" i="226"/>
  <c r="D10" i="226"/>
  <c r="A16" i="237" l="1"/>
  <c r="A17" i="237" s="1"/>
  <c r="A16" i="209"/>
  <c r="A17" i="209" s="1"/>
  <c r="A16" i="236"/>
  <c r="A17" i="236" s="1"/>
  <c r="A18" i="237" l="1"/>
  <c r="A19" i="237" s="1"/>
  <c r="A20" i="237" s="1"/>
  <c r="A21" i="237" s="1"/>
  <c r="A18" i="209"/>
  <c r="A19" i="209" s="1"/>
  <c r="A20" i="209" s="1"/>
  <c r="A21" i="209" s="1"/>
  <c r="A22" i="209" s="1"/>
  <c r="A23" i="209" s="1"/>
  <c r="A24" i="209" s="1"/>
  <c r="A25" i="209" s="1"/>
  <c r="A26" i="209" s="1"/>
  <c r="A27" i="209" s="1"/>
  <c r="A28" i="209" s="1"/>
  <c r="A29" i="209" s="1"/>
  <c r="A30" i="209" s="1"/>
  <c r="A31" i="209" s="1"/>
  <c r="A32" i="209" s="1"/>
  <c r="A33" i="209" s="1"/>
  <c r="A34" i="209" s="1"/>
  <c r="A35" i="209" s="1"/>
  <c r="A36" i="209" s="1"/>
  <c r="A37" i="209" s="1"/>
  <c r="A38" i="209" s="1"/>
  <c r="A39" i="209" s="1"/>
  <c r="A40" i="209" s="1"/>
  <c r="A41" i="209" s="1"/>
  <c r="A42" i="209" s="1"/>
  <c r="A43" i="209" s="1"/>
  <c r="A44" i="209" s="1"/>
  <c r="A45" i="209" s="1"/>
  <c r="A46" i="209" s="1"/>
  <c r="A47" i="209" s="1"/>
  <c r="A48" i="209" s="1"/>
  <c r="A49" i="209" s="1"/>
  <c r="A50" i="209" s="1"/>
  <c r="A51" i="209" s="1"/>
  <c r="A52" i="209" s="1"/>
  <c r="A53" i="209" s="1"/>
  <c r="A54" i="209" s="1"/>
  <c r="A55" i="209" s="1"/>
  <c r="A56" i="209" s="1"/>
  <c r="A57" i="209" s="1"/>
  <c r="A58" i="209" s="1"/>
  <c r="A59" i="209" s="1"/>
  <c r="A60" i="209" s="1"/>
  <c r="A61" i="209" s="1"/>
  <c r="A62" i="209" s="1"/>
  <c r="A63" i="209" s="1"/>
  <c r="A64" i="209" s="1"/>
  <c r="A65" i="209" s="1"/>
  <c r="A66" i="209" s="1"/>
  <c r="A67" i="209" s="1"/>
  <c r="A68" i="209" s="1"/>
  <c r="A69" i="209" s="1"/>
  <c r="A70" i="209" s="1"/>
  <c r="A71" i="209" s="1"/>
  <c r="A72" i="209" s="1"/>
  <c r="A73" i="209" s="1"/>
  <c r="A74" i="209" s="1"/>
  <c r="A75" i="209" s="1"/>
  <c r="A76" i="209" s="1"/>
  <c r="A77" i="209" s="1"/>
  <c r="A78" i="209" s="1"/>
  <c r="A79" i="209" s="1"/>
  <c r="A80" i="209" s="1"/>
  <c r="A81" i="209" s="1"/>
  <c r="A82" i="209" s="1"/>
  <c r="A83" i="209" s="1"/>
  <c r="A84" i="209" s="1"/>
  <c r="A85" i="209" s="1"/>
  <c r="A86" i="209" s="1"/>
  <c r="A87" i="209" s="1"/>
  <c r="A88" i="209" s="1"/>
  <c r="A89" i="209" s="1"/>
  <c r="A90" i="209" s="1"/>
  <c r="A91" i="209" s="1"/>
  <c r="A92" i="209" s="1"/>
  <c r="A93" i="209" s="1"/>
  <c r="A94" i="209" s="1"/>
  <c r="A95" i="209" s="1"/>
  <c r="A96" i="209" s="1"/>
  <c r="A97" i="209" s="1"/>
  <c r="A98" i="209" s="1"/>
  <c r="A99" i="209" s="1"/>
  <c r="A100" i="209" s="1"/>
  <c r="A101" i="209" s="1"/>
  <c r="A102" i="209" s="1"/>
  <c r="A103" i="209" s="1"/>
  <c r="A104" i="209" s="1"/>
  <c r="A105" i="209" s="1"/>
  <c r="A106" i="209" s="1"/>
  <c r="A107" i="209" s="1"/>
  <c r="A108" i="209" s="1"/>
  <c r="A109" i="209" s="1"/>
  <c r="A110" i="209" s="1"/>
  <c r="A111" i="209" s="1"/>
  <c r="A112" i="209" s="1"/>
  <c r="A113" i="209" s="1"/>
  <c r="A114" i="209" s="1"/>
  <c r="A115" i="209" s="1"/>
  <c r="A116" i="209" s="1"/>
  <c r="A117" i="209" s="1"/>
  <c r="A118" i="209" s="1"/>
  <c r="A119" i="209" s="1"/>
  <c r="A120" i="209" s="1"/>
  <c r="A121" i="209" s="1"/>
  <c r="A122" i="209" s="1"/>
  <c r="A123" i="209" s="1"/>
  <c r="A124" i="209" s="1"/>
  <c r="A125" i="209" s="1"/>
  <c r="A126" i="209" s="1"/>
  <c r="A127" i="209" s="1"/>
  <c r="A128" i="209" s="1"/>
  <c r="A129" i="209" s="1"/>
  <c r="A130" i="209" s="1"/>
  <c r="A131" i="209" s="1"/>
  <c r="A132" i="209" s="1"/>
  <c r="A133" i="209" s="1"/>
  <c r="A134" i="209" s="1"/>
  <c r="A135" i="209" s="1"/>
  <c r="A136" i="209" s="1"/>
  <c r="A137" i="209" s="1"/>
  <c r="A138" i="209" s="1"/>
  <c r="A139" i="209" s="1"/>
  <c r="A140" i="209" s="1"/>
  <c r="A141" i="209" s="1"/>
  <c r="A142" i="209" s="1"/>
  <c r="A143" i="209" s="1"/>
  <c r="A144" i="209" s="1"/>
  <c r="A145" i="209" s="1"/>
  <c r="A146" i="209" s="1"/>
  <c r="A147" i="209" s="1"/>
  <c r="A148" i="209" s="1"/>
  <c r="A149" i="209" s="1"/>
  <c r="A150" i="209" s="1"/>
  <c r="A151" i="209" s="1"/>
  <c r="A152" i="209" s="1"/>
  <c r="A153" i="209" s="1"/>
  <c r="A154" i="209" s="1"/>
  <c r="A155" i="209" s="1"/>
  <c r="A156" i="209" s="1"/>
  <c r="A157" i="209" s="1"/>
  <c r="A158" i="209" s="1"/>
  <c r="A159" i="209" s="1"/>
  <c r="A160" i="209" s="1"/>
  <c r="A161" i="209" s="1"/>
  <c r="A162" i="209" s="1"/>
  <c r="A163" i="209" s="1"/>
  <c r="A164" i="209" s="1"/>
  <c r="A165" i="209" s="1"/>
  <c r="A166" i="209" s="1"/>
  <c r="A167" i="209" s="1"/>
  <c r="A168" i="209" s="1"/>
  <c r="A169" i="209" s="1"/>
  <c r="A170" i="209" s="1"/>
  <c r="A171" i="209" s="1"/>
  <c r="A172" i="209" s="1"/>
  <c r="A173" i="209" s="1"/>
  <c r="A174" i="209" s="1"/>
  <c r="A175" i="209" s="1"/>
  <c r="A176" i="209" s="1"/>
  <c r="A177" i="209" s="1"/>
  <c r="A178" i="209" s="1"/>
  <c r="A179" i="209" s="1"/>
  <c r="A180" i="209" s="1"/>
  <c r="A181" i="209" s="1"/>
  <c r="A182" i="209" s="1"/>
  <c r="A183" i="209" s="1"/>
  <c r="A184" i="209" s="1"/>
  <c r="A185" i="209" s="1"/>
  <c r="A186" i="209" s="1"/>
  <c r="A187" i="209" s="1"/>
  <c r="A188" i="209" s="1"/>
  <c r="A189" i="209" s="1"/>
  <c r="A190" i="209" s="1"/>
  <c r="A191" i="209" s="1"/>
  <c r="A192" i="209" s="1"/>
  <c r="A193" i="209" s="1"/>
  <c r="A194" i="209" s="1"/>
  <c r="A195" i="209" s="1"/>
  <c r="A196" i="209" s="1"/>
  <c r="A197" i="209" s="1"/>
  <c r="A198" i="209" s="1"/>
  <c r="A199" i="209" s="1"/>
  <c r="A200" i="209" s="1"/>
  <c r="A201" i="209" s="1"/>
  <c r="A202" i="209" s="1"/>
  <c r="A203" i="209" s="1"/>
  <c r="A204" i="209" s="1"/>
  <c r="A205" i="209" s="1"/>
  <c r="A206" i="209" s="1"/>
  <c r="A207" i="209" s="1"/>
  <c r="A208" i="209" s="1"/>
  <c r="A209" i="209" s="1"/>
  <c r="A210" i="209" s="1"/>
  <c r="A211" i="209" s="1"/>
  <c r="A212" i="209" s="1"/>
  <c r="A213" i="209" s="1"/>
  <c r="A214" i="209" s="1"/>
  <c r="A215" i="209" s="1"/>
  <c r="A216" i="209" s="1"/>
  <c r="A217" i="209" s="1"/>
  <c r="A218" i="209" s="1"/>
  <c r="A219" i="209" s="1"/>
  <c r="A220" i="209" s="1"/>
  <c r="A221" i="209" s="1"/>
  <c r="A222" i="209" s="1"/>
  <c r="A223" i="209" s="1"/>
  <c r="A224" i="209" s="1"/>
  <c r="A225" i="209" s="1"/>
  <c r="A226" i="209" s="1"/>
  <c r="A227" i="209" s="1"/>
  <c r="A228" i="209" s="1"/>
  <c r="A229" i="209" s="1"/>
  <c r="A230" i="209" s="1"/>
  <c r="A231" i="209" s="1"/>
  <c r="A232" i="209" s="1"/>
  <c r="A233" i="209" s="1"/>
  <c r="A234" i="209" s="1"/>
  <c r="A235" i="209" s="1"/>
  <c r="A236" i="209" s="1"/>
  <c r="A237" i="209" s="1"/>
  <c r="A238" i="209" s="1"/>
  <c r="A239" i="209" s="1"/>
  <c r="A240" i="209" s="1"/>
  <c r="A241" i="209" s="1"/>
  <c r="A242" i="209" s="1"/>
  <c r="A243" i="209" s="1"/>
  <c r="A244" i="209" s="1"/>
  <c r="A245" i="209" s="1"/>
  <c r="A246" i="209" s="1"/>
  <c r="A247" i="209" s="1"/>
  <c r="A248" i="209" s="1"/>
  <c r="A249" i="209" s="1"/>
  <c r="A250" i="209" s="1"/>
  <c r="A251" i="209" s="1"/>
  <c r="A252" i="209" s="1"/>
  <c r="A253" i="209" s="1"/>
  <c r="A254" i="209" s="1"/>
  <c r="A255" i="209" s="1"/>
  <c r="A256" i="209" s="1"/>
  <c r="A257" i="209" s="1"/>
  <c r="A258" i="209" s="1"/>
  <c r="A259" i="209" s="1"/>
  <c r="A260" i="209" s="1"/>
  <c r="A261" i="209" s="1"/>
  <c r="A262" i="209" s="1"/>
  <c r="A263" i="209" s="1"/>
  <c r="A264" i="209" s="1"/>
  <c r="A265" i="209" s="1"/>
  <c r="A18" i="236"/>
  <c r="A19" i="236" s="1"/>
  <c r="A20" i="236" s="1"/>
  <c r="A21" i="236" s="1"/>
  <c r="A16" i="213"/>
  <c r="A17" i="213" s="1"/>
  <c r="A16" i="207"/>
  <c r="A17" i="207" s="1"/>
  <c r="A22" i="237" l="1"/>
  <c r="A23" i="237" s="1"/>
  <c r="A24" i="237" s="1"/>
  <c r="A25" i="237" s="1"/>
  <c r="A26" i="237" s="1"/>
  <c r="A27" i="237" s="1"/>
  <c r="A28" i="237" s="1"/>
  <c r="A29" i="237" s="1"/>
  <c r="A30" i="237" s="1"/>
  <c r="A31" i="237" s="1"/>
  <c r="A32" i="237" s="1"/>
  <c r="A33" i="237" s="1"/>
  <c r="A34" i="237" s="1"/>
  <c r="A35" i="237" s="1"/>
  <c r="A36" i="237" s="1"/>
  <c r="A37" i="237" s="1"/>
  <c r="A38" i="237" s="1"/>
  <c r="A39" i="237" s="1"/>
  <c r="A40" i="237" s="1"/>
  <c r="A41" i="237" s="1"/>
  <c r="A42" i="237" s="1"/>
  <c r="A43" i="237" s="1"/>
  <c r="A44" i="237" s="1"/>
  <c r="A45" i="237" s="1"/>
  <c r="A46" i="237" s="1"/>
  <c r="A47" i="237" s="1"/>
  <c r="A48" i="237" s="1"/>
  <c r="A49" i="237" s="1"/>
  <c r="A50" i="237" s="1"/>
  <c r="A51" i="237" s="1"/>
  <c r="A52" i="237" s="1"/>
  <c r="A53" i="237" s="1"/>
  <c r="A54" i="237" s="1"/>
  <c r="A55" i="237" s="1"/>
  <c r="A56" i="237" s="1"/>
  <c r="A57" i="237" s="1"/>
  <c r="A58" i="237" s="1"/>
  <c r="A59" i="237" s="1"/>
  <c r="A60" i="237" s="1"/>
  <c r="A61" i="237" s="1"/>
  <c r="A62" i="237" s="1"/>
  <c r="A63" i="237" s="1"/>
  <c r="A64" i="237" s="1"/>
  <c r="A65" i="237" s="1"/>
  <c r="A66" i="237" s="1"/>
  <c r="A67" i="237" s="1"/>
  <c r="A68" i="237" s="1"/>
  <c r="A69" i="237" s="1"/>
  <c r="A70" i="237" s="1"/>
  <c r="A71" i="237" s="1"/>
  <c r="A72" i="237" s="1"/>
  <c r="A73" i="237" s="1"/>
  <c r="A74" i="237" s="1"/>
  <c r="A75" i="237" s="1"/>
  <c r="A76" i="237" s="1"/>
  <c r="A77" i="237" s="1"/>
  <c r="A78" i="237" s="1"/>
  <c r="A79" i="237" s="1"/>
  <c r="A80" i="237" s="1"/>
  <c r="A81" i="237" s="1"/>
  <c r="A82" i="237" s="1"/>
  <c r="A83" i="237" s="1"/>
  <c r="A84" i="237" s="1"/>
  <c r="A85" i="237" s="1"/>
  <c r="A86" i="237" s="1"/>
  <c r="A87" i="237" s="1"/>
  <c r="A88" i="237" s="1"/>
  <c r="A89" i="237" s="1"/>
  <c r="A90" i="237" s="1"/>
  <c r="A91" i="237" s="1"/>
  <c r="A92" i="237" s="1"/>
  <c r="A93" i="237" s="1"/>
  <c r="A94" i="237" s="1"/>
  <c r="A95" i="237" s="1"/>
  <c r="A96" i="237" s="1"/>
  <c r="A97" i="237" s="1"/>
  <c r="A98" i="237" s="1"/>
  <c r="A99" i="237" s="1"/>
  <c r="A100" i="237" s="1"/>
  <c r="A101" i="237" s="1"/>
  <c r="A102" i="237" s="1"/>
  <c r="A103" i="237" s="1"/>
  <c r="A104" i="237" s="1"/>
  <c r="A105" i="237" s="1"/>
  <c r="A106" i="237" s="1"/>
  <c r="A107" i="237" s="1"/>
  <c r="A108" i="237" s="1"/>
  <c r="A109" i="237" s="1"/>
  <c r="A110" i="237" s="1"/>
  <c r="A111" i="237" s="1"/>
  <c r="A112" i="237" s="1"/>
  <c r="A113" i="237" s="1"/>
  <c r="A22" i="236"/>
  <c r="A23" i="236" s="1"/>
  <c r="A24" i="236" s="1"/>
  <c r="A25" i="236" s="1"/>
  <c r="A26" i="236" s="1"/>
  <c r="A27" i="236" s="1"/>
  <c r="A28" i="236" s="1"/>
  <c r="A29" i="236" s="1"/>
  <c r="A30" i="236" s="1"/>
  <c r="A31" i="236" s="1"/>
  <c r="A32" i="236" s="1"/>
  <c r="A33" i="236" s="1"/>
  <c r="A34" i="236" s="1"/>
  <c r="A35" i="236" s="1"/>
  <c r="A36" i="236" s="1"/>
  <c r="A37" i="236" s="1"/>
  <c r="A38" i="236" s="1"/>
  <c r="A39" i="236" s="1"/>
  <c r="A40" i="236" s="1"/>
  <c r="A41" i="236" s="1"/>
  <c r="A42" i="236" s="1"/>
  <c r="A43" i="236" s="1"/>
  <c r="A44" i="236" s="1"/>
  <c r="A45" i="236" s="1"/>
  <c r="A46" i="236" s="1"/>
  <c r="A47" i="236" s="1"/>
  <c r="A48" i="236" s="1"/>
  <c r="A49" i="236" s="1"/>
  <c r="A50" i="236" s="1"/>
  <c r="A51" i="236" s="1"/>
  <c r="A52" i="236" s="1"/>
  <c r="A53" i="236" s="1"/>
  <c r="A54" i="236" s="1"/>
  <c r="A55" i="236" s="1"/>
  <c r="A56" i="236" s="1"/>
  <c r="A57" i="236" s="1"/>
  <c r="A58" i="236" s="1"/>
  <c r="A59" i="236" s="1"/>
  <c r="A60" i="236" s="1"/>
  <c r="A61" i="236" s="1"/>
  <c r="A62" i="236" s="1"/>
  <c r="A63" i="236" s="1"/>
  <c r="A64" i="236" s="1"/>
  <c r="A65" i="236" s="1"/>
  <c r="A66" i="236" s="1"/>
  <c r="A67" i="236" s="1"/>
  <c r="A68" i="236" s="1"/>
  <c r="A69" i="236" s="1"/>
  <c r="A70" i="236" s="1"/>
  <c r="A71" i="236" s="1"/>
  <c r="A72" i="236" s="1"/>
  <c r="A73" i="236" s="1"/>
  <c r="A74" i="236" s="1"/>
  <c r="A75" i="236" s="1"/>
  <c r="A76" i="236" s="1"/>
  <c r="A77" i="236" s="1"/>
  <c r="A78" i="236" s="1"/>
  <c r="A79" i="236" s="1"/>
  <c r="A80" i="236" s="1"/>
  <c r="A81" i="236" s="1"/>
  <c r="A82" i="236" s="1"/>
  <c r="A83" i="236" s="1"/>
  <c r="A84" i="236" s="1"/>
  <c r="A85" i="236" s="1"/>
  <c r="A86" i="236" s="1"/>
  <c r="A87" i="236" s="1"/>
  <c r="A88" i="236" s="1"/>
  <c r="A89" i="236" s="1"/>
  <c r="A90" i="236" s="1"/>
  <c r="A91" i="236" s="1"/>
  <c r="A92" i="236" s="1"/>
  <c r="A93" i="236" s="1"/>
  <c r="A94" i="236" s="1"/>
  <c r="A95" i="236" s="1"/>
  <c r="A96" i="236" s="1"/>
  <c r="A97" i="236" s="1"/>
  <c r="A98" i="236" s="1"/>
  <c r="A99" i="236" s="1"/>
  <c r="A100" i="236" s="1"/>
  <c r="A101" i="236" s="1"/>
  <c r="A102" i="236" s="1"/>
  <c r="A103" i="236" s="1"/>
  <c r="A104" i="236" s="1"/>
  <c r="A105" i="236" s="1"/>
  <c r="A106" i="236" s="1"/>
  <c r="A107" i="236" s="1"/>
  <c r="A108" i="236" s="1"/>
  <c r="A109" i="236" s="1"/>
  <c r="A110" i="236" s="1"/>
  <c r="A111" i="236" s="1"/>
  <c r="A112" i="236" s="1"/>
  <c r="A113" i="236" s="1"/>
  <c r="A114" i="236" s="1"/>
  <c r="A115" i="236" s="1"/>
  <c r="A116" i="236" s="1"/>
  <c r="A117" i="236" s="1"/>
  <c r="A118" i="236" s="1"/>
  <c r="A119" i="236" s="1"/>
  <c r="A120" i="236" s="1"/>
  <c r="A121" i="236" s="1"/>
  <c r="A122" i="236" s="1"/>
  <c r="A123" i="236" s="1"/>
  <c r="A124" i="236" s="1"/>
  <c r="A125" i="236" s="1"/>
  <c r="A126" i="236" s="1"/>
  <c r="A127" i="236" s="1"/>
  <c r="A128" i="236" s="1"/>
  <c r="A129" i="236" s="1"/>
  <c r="A130" i="236" s="1"/>
  <c r="A131" i="236" s="1"/>
  <c r="A132" i="236" s="1"/>
  <c r="A133" i="236" s="1"/>
  <c r="A134" i="236" s="1"/>
  <c r="A135" i="236" s="1"/>
  <c r="A136" i="236" s="1"/>
  <c r="A137" i="236" s="1"/>
  <c r="A138" i="236" s="1"/>
  <c r="A139" i="236" s="1"/>
  <c r="A140" i="236" s="1"/>
  <c r="A141" i="236" s="1"/>
  <c r="A142" i="236" s="1"/>
  <c r="A143" i="236" s="1"/>
  <c r="A144" i="236" s="1"/>
  <c r="A145" i="236" s="1"/>
  <c r="A146" i="236" s="1"/>
  <c r="A147" i="236" s="1"/>
  <c r="A148" i="236" s="1"/>
  <c r="A149" i="236" s="1"/>
  <c r="A150" i="236" s="1"/>
  <c r="A151" i="236" s="1"/>
  <c r="A152" i="236" s="1"/>
  <c r="A153" i="236" s="1"/>
  <c r="A154" i="236" s="1"/>
  <c r="A155" i="236" s="1"/>
  <c r="A156" i="236" s="1"/>
  <c r="A157" i="236" s="1"/>
  <c r="A158" i="236" s="1"/>
  <c r="A159" i="236" s="1"/>
  <c r="A160" i="236" s="1"/>
  <c r="A161" i="236" s="1"/>
  <c r="A162" i="236" s="1"/>
  <c r="A163" i="236" s="1"/>
  <c r="A164" i="236" s="1"/>
  <c r="A165" i="236" s="1"/>
  <c r="A166" i="236" s="1"/>
  <c r="A167" i="236" s="1"/>
  <c r="A168" i="236" s="1"/>
  <c r="A169" i="236" s="1"/>
  <c r="A170" i="236" s="1"/>
  <c r="A171" i="236" s="1"/>
  <c r="A172" i="236" s="1"/>
  <c r="A173" i="236" s="1"/>
  <c r="A174" i="236" s="1"/>
  <c r="A175" i="236" s="1"/>
  <c r="A176" i="236" s="1"/>
  <c r="A177" i="236" s="1"/>
  <c r="A178" i="236" s="1"/>
  <c r="A179" i="236" s="1"/>
  <c r="A180" i="236" s="1"/>
  <c r="A181" i="236" s="1"/>
  <c r="A182" i="236" s="1"/>
  <c r="A183" i="236" s="1"/>
  <c r="A184" i="236" s="1"/>
  <c r="A185" i="236" s="1"/>
  <c r="A186" i="236" s="1"/>
  <c r="A187" i="236" s="1"/>
  <c r="A188" i="236" s="1"/>
  <c r="A189" i="236" s="1"/>
  <c r="A190" i="236" s="1"/>
  <c r="A191" i="236" s="1"/>
  <c r="A192" i="236" s="1"/>
  <c r="A193" i="236" s="1"/>
  <c r="A194" i="236" s="1"/>
  <c r="A195" i="236" s="1"/>
  <c r="A196" i="236" s="1"/>
  <c r="A197" i="236" s="1"/>
  <c r="A198" i="236" s="1"/>
  <c r="A199" i="236" s="1"/>
  <c r="A200" i="236" s="1"/>
  <c r="A201" i="236" s="1"/>
  <c r="A202" i="236" s="1"/>
  <c r="A203" i="236" s="1"/>
  <c r="A204" i="236" s="1"/>
  <c r="A205" i="236" s="1"/>
  <c r="A206" i="236" s="1"/>
  <c r="A207" i="236" s="1"/>
  <c r="A208" i="236" s="1"/>
  <c r="A209" i="236" s="1"/>
  <c r="A210" i="236" s="1"/>
  <c r="A211" i="236" s="1"/>
  <c r="A212" i="236" s="1"/>
  <c r="A213" i="236" s="1"/>
  <c r="A214" i="236" s="1"/>
  <c r="A215" i="236" s="1"/>
  <c r="A216" i="236" s="1"/>
  <c r="A217" i="236" s="1"/>
  <c r="A218" i="236" s="1"/>
  <c r="A219" i="236" s="1"/>
  <c r="A220" i="236" s="1"/>
  <c r="A221" i="236" s="1"/>
  <c r="A222" i="236" s="1"/>
  <c r="A223" i="236" s="1"/>
  <c r="A224" i="236" s="1"/>
  <c r="A225" i="236" s="1"/>
  <c r="A226" i="236" s="1"/>
  <c r="A227" i="236" s="1"/>
  <c r="A228" i="236" s="1"/>
  <c r="A229" i="236" s="1"/>
  <c r="A230" i="236" s="1"/>
  <c r="A231" i="236" s="1"/>
  <c r="A232" i="236" s="1"/>
  <c r="A233" i="236" s="1"/>
  <c r="A234" i="236" s="1"/>
  <c r="A235" i="236" s="1"/>
  <c r="A236" i="236" s="1"/>
  <c r="A237" i="236" s="1"/>
  <c r="A238" i="236" s="1"/>
  <c r="A239" i="236" s="1"/>
  <c r="A240" i="236" s="1"/>
  <c r="A241" i="236" s="1"/>
  <c r="A242" i="236" s="1"/>
  <c r="A243" i="236" s="1"/>
  <c r="A244" i="236" s="1"/>
  <c r="A245" i="236" s="1"/>
  <c r="A246" i="236" s="1"/>
  <c r="A247" i="236" s="1"/>
  <c r="A248" i="236" s="1"/>
  <c r="A249" i="236" s="1"/>
  <c r="A250" i="236" s="1"/>
  <c r="A251" i="236" s="1"/>
  <c r="A252" i="236" s="1"/>
  <c r="A253" i="236" s="1"/>
  <c r="A254" i="236" s="1"/>
  <c r="A255" i="236" s="1"/>
  <c r="A256" i="236" s="1"/>
  <c r="A257" i="236" s="1"/>
  <c r="A258" i="236" s="1"/>
  <c r="A259" i="236" s="1"/>
  <c r="A260" i="236" s="1"/>
  <c r="A261" i="236" s="1"/>
  <c r="A262" i="236" s="1"/>
  <c r="A263" i="236" s="1"/>
  <c r="A18" i="213"/>
  <c r="A19" i="213" s="1"/>
  <c r="A20" i="213" s="1"/>
  <c r="A21" i="213" s="1"/>
  <c r="A18" i="207"/>
  <c r="A19" i="207" s="1"/>
  <c r="A20" i="207" s="1"/>
  <c r="A21" i="207" s="1"/>
  <c r="A114" i="237" l="1"/>
  <c r="A115" i="237" s="1"/>
  <c r="A116" i="237" s="1"/>
  <c r="A117" i="237" s="1"/>
  <c r="A118" i="237" s="1"/>
  <c r="A119" i="237" s="1"/>
  <c r="A120" i="237" s="1"/>
  <c r="A121" i="237" s="1"/>
  <c r="A122" i="237" s="1"/>
  <c r="A123" i="237" s="1"/>
  <c r="A124" i="237" s="1"/>
  <c r="A125" i="237" s="1"/>
  <c r="A126" i="237" s="1"/>
  <c r="A127" i="237" s="1"/>
  <c r="A128" i="237" s="1"/>
  <c r="A129" i="237" s="1"/>
  <c r="A130" i="237" s="1"/>
  <c r="A131" i="237" s="1"/>
  <c r="A132" i="237" s="1"/>
  <c r="A133" i="237" s="1"/>
  <c r="A134" i="237" s="1"/>
  <c r="A135" i="237" s="1"/>
  <c r="A136" i="237" s="1"/>
  <c r="A137" i="237" s="1"/>
  <c r="A138" i="237" s="1"/>
  <c r="A139" i="237" s="1"/>
  <c r="A140" i="237" s="1"/>
  <c r="A141" i="237" s="1"/>
  <c r="A142" i="237" s="1"/>
  <c r="A143" i="237" s="1"/>
  <c r="A144" i="237" s="1"/>
  <c r="A145" i="237" s="1"/>
  <c r="A146" i="237" s="1"/>
  <c r="A147" i="237" s="1"/>
  <c r="A148" i="237" s="1"/>
  <c r="A149" i="237" s="1"/>
  <c r="A150" i="237" s="1"/>
  <c r="A151" i="237" s="1"/>
  <c r="A152" i="237" s="1"/>
  <c r="A153" i="237" s="1"/>
  <c r="A154" i="237" s="1"/>
  <c r="A155" i="237" s="1"/>
  <c r="A156" i="237" s="1"/>
  <c r="A157" i="237" s="1"/>
  <c r="A158" i="237" s="1"/>
  <c r="A159" i="237" s="1"/>
  <c r="A160" i="237" s="1"/>
  <c r="A161" i="237" s="1"/>
  <c r="A162" i="237" s="1"/>
  <c r="A163" i="237" s="1"/>
  <c r="A164" i="237" s="1"/>
  <c r="A165" i="237" s="1"/>
  <c r="A166" i="237" s="1"/>
  <c r="A167" i="237" s="1"/>
  <c r="A168" i="237" s="1"/>
  <c r="A169" i="237" s="1"/>
  <c r="A170" i="237" s="1"/>
  <c r="A171" i="237" s="1"/>
  <c r="A172" i="237" s="1"/>
  <c r="A173" i="237" s="1"/>
  <c r="A174" i="237" s="1"/>
  <c r="A175" i="237" s="1"/>
  <c r="A176" i="237" s="1"/>
  <c r="A177" i="237" s="1"/>
  <c r="A178" i="237" s="1"/>
  <c r="A179" i="237" s="1"/>
  <c r="A180" i="237" s="1"/>
  <c r="A181" i="237" s="1"/>
  <c r="A182" i="237" s="1"/>
  <c r="A183" i="237" s="1"/>
  <c r="A184" i="237" s="1"/>
  <c r="A185" i="237" s="1"/>
  <c r="A186" i="237" s="1"/>
  <c r="A187" i="237" s="1"/>
  <c r="A188" i="237" s="1"/>
  <c r="A189" i="237" s="1"/>
  <c r="A190" i="237" s="1"/>
  <c r="A191" i="237" s="1"/>
  <c r="A192" i="237" s="1"/>
  <c r="A193" i="237" s="1"/>
  <c r="A194" i="237" s="1"/>
  <c r="A195" i="237" s="1"/>
  <c r="A196" i="237" s="1"/>
  <c r="A197" i="237" s="1"/>
  <c r="A198" i="237" s="1"/>
  <c r="A199" i="237" s="1"/>
  <c r="A200" i="237" s="1"/>
  <c r="A201" i="237" s="1"/>
  <c r="A202" i="237" s="1"/>
  <c r="A203" i="237" s="1"/>
  <c r="A204" i="237" s="1"/>
  <c r="A205" i="237" s="1"/>
  <c r="A206" i="237" s="1"/>
  <c r="A207" i="237" s="1"/>
  <c r="A208" i="237" s="1"/>
  <c r="A209" i="237" s="1"/>
  <c r="A210" i="237" s="1"/>
  <c r="A211" i="237" s="1"/>
  <c r="A212" i="237" s="1"/>
  <c r="A213" i="237" s="1"/>
  <c r="A214" i="237" s="1"/>
  <c r="A215" i="237" s="1"/>
  <c r="A216" i="237" s="1"/>
  <c r="A217" i="237" s="1"/>
  <c r="A218" i="237" s="1"/>
  <c r="A219" i="237" s="1"/>
  <c r="A220" i="237" s="1"/>
  <c r="A221" i="237" s="1"/>
  <c r="A222" i="237" s="1"/>
  <c r="A223" i="237" s="1"/>
  <c r="A224" i="237" s="1"/>
  <c r="A225" i="237" s="1"/>
  <c r="A226" i="237" s="1"/>
  <c r="A227" i="237" s="1"/>
  <c r="A228" i="237" s="1"/>
  <c r="A229" i="237" s="1"/>
  <c r="A230" i="237" s="1"/>
  <c r="A231" i="237" s="1"/>
  <c r="A232" i="237" s="1"/>
  <c r="A233" i="237" s="1"/>
  <c r="A234" i="237" s="1"/>
  <c r="A235" i="237" s="1"/>
  <c r="A236" i="237" s="1"/>
  <c r="A237" i="237" s="1"/>
  <c r="A238" i="237" s="1"/>
  <c r="A239" i="237" s="1"/>
  <c r="A240" i="237" s="1"/>
  <c r="A241" i="237" s="1"/>
  <c r="A242" i="237" s="1"/>
  <c r="A243" i="237" s="1"/>
  <c r="A244" i="237" s="1"/>
  <c r="A245" i="237" s="1"/>
  <c r="A246" i="237" s="1"/>
  <c r="A247" i="237" s="1"/>
  <c r="A248" i="237" s="1"/>
  <c r="A249" i="237" s="1"/>
  <c r="A250" i="237" s="1"/>
  <c r="A251" i="237" s="1"/>
  <c r="A252" i="237" s="1"/>
  <c r="A253" i="237" s="1"/>
  <c r="A254" i="237" s="1"/>
  <c r="A255" i="237" s="1"/>
  <c r="A256" i="237" s="1"/>
  <c r="A257" i="237" s="1"/>
  <c r="A258" i="237" s="1"/>
  <c r="A259" i="237" s="1"/>
  <c r="A260" i="237" s="1"/>
  <c r="A261" i="237" s="1"/>
  <c r="A262" i="237" s="1"/>
  <c r="A263" i="237" s="1"/>
  <c r="A264" i="237" s="1"/>
  <c r="A22" i="213"/>
  <c r="A23" i="213" s="1"/>
  <c r="A24" i="213" s="1"/>
  <c r="A25" i="213" s="1"/>
  <c r="A26" i="213" s="1"/>
  <c r="A27" i="213" s="1"/>
  <c r="A28" i="213" s="1"/>
  <c r="A29" i="213" s="1"/>
  <c r="A30" i="213" s="1"/>
  <c r="A31" i="213" s="1"/>
  <c r="A32" i="213" s="1"/>
  <c r="A33" i="213" s="1"/>
  <c r="A34" i="213" s="1"/>
  <c r="A35" i="213" s="1"/>
  <c r="A36" i="213" s="1"/>
  <c r="A37" i="213" s="1"/>
  <c r="A38" i="213" s="1"/>
  <c r="A39" i="213" s="1"/>
  <c r="A40" i="213" s="1"/>
  <c r="A41" i="213" s="1"/>
  <c r="A42" i="213" s="1"/>
  <c r="A43" i="213" s="1"/>
  <c r="A44" i="213" s="1"/>
  <c r="A45" i="213" s="1"/>
  <c r="A46" i="213" s="1"/>
  <c r="A47" i="213" s="1"/>
  <c r="A48" i="213" s="1"/>
  <c r="A49" i="213" s="1"/>
  <c r="A50" i="213" s="1"/>
  <c r="A51" i="213" s="1"/>
  <c r="A52" i="213" s="1"/>
  <c r="A53" i="213" s="1"/>
  <c r="A54" i="213" s="1"/>
  <c r="A55" i="213" s="1"/>
  <c r="A56" i="213" s="1"/>
  <c r="A57" i="213" s="1"/>
  <c r="A58" i="213" s="1"/>
  <c r="A59" i="213" s="1"/>
  <c r="A60" i="213" s="1"/>
  <c r="A61" i="213" s="1"/>
  <c r="A62" i="213" s="1"/>
  <c r="A63" i="213" s="1"/>
  <c r="A64" i="213" s="1"/>
  <c r="A65" i="213" s="1"/>
  <c r="A66" i="213" s="1"/>
  <c r="A67" i="213" s="1"/>
  <c r="A68" i="213" s="1"/>
  <c r="A69" i="213" s="1"/>
  <c r="A70" i="213" s="1"/>
  <c r="A71" i="213" s="1"/>
  <c r="A72" i="213" s="1"/>
  <c r="A73" i="213" s="1"/>
  <c r="A74" i="213" s="1"/>
  <c r="A75" i="213" s="1"/>
  <c r="A76" i="213" s="1"/>
  <c r="A77" i="213" s="1"/>
  <c r="A78" i="213" s="1"/>
  <c r="A79" i="213" s="1"/>
  <c r="A80" i="213" s="1"/>
  <c r="A81" i="213" s="1"/>
  <c r="A82" i="213" s="1"/>
  <c r="A83" i="213" s="1"/>
  <c r="A84" i="213" s="1"/>
  <c r="A85" i="213" s="1"/>
  <c r="A86" i="213" s="1"/>
  <c r="A87" i="213" s="1"/>
  <c r="A88" i="213" s="1"/>
  <c r="A89" i="213" s="1"/>
  <c r="A90" i="213" s="1"/>
  <c r="A91" i="213" s="1"/>
  <c r="A92" i="213" s="1"/>
  <c r="A93" i="213" s="1"/>
  <c r="A94" i="213" s="1"/>
  <c r="A95" i="213" s="1"/>
  <c r="A96" i="213" s="1"/>
  <c r="A97" i="213" s="1"/>
  <c r="A98" i="213" s="1"/>
  <c r="A99" i="213" s="1"/>
  <c r="A100" i="213" s="1"/>
  <c r="A101" i="213" s="1"/>
  <c r="A102" i="213" s="1"/>
  <c r="A103" i="213" s="1"/>
  <c r="A104" i="213" s="1"/>
  <c r="A105" i="213" s="1"/>
  <c r="A106" i="213" s="1"/>
  <c r="A107" i="213" s="1"/>
  <c r="A108" i="213" s="1"/>
  <c r="A109" i="213" s="1"/>
  <c r="A110" i="213" s="1"/>
  <c r="A111" i="213" s="1"/>
  <c r="A112" i="213" s="1"/>
  <c r="A113" i="213" s="1"/>
  <c r="A114" i="213" s="1"/>
  <c r="A115" i="213" s="1"/>
  <c r="A116" i="213" s="1"/>
  <c r="A117" i="213" s="1"/>
  <c r="A118" i="213" s="1"/>
  <c r="A22" i="207"/>
  <c r="A23" i="207" s="1"/>
  <c r="A24" i="207" s="1"/>
  <c r="A25" i="207" s="1"/>
  <c r="A26" i="207" s="1"/>
  <c r="A27" i="207" s="1"/>
  <c r="A28" i="207" s="1"/>
  <c r="A29" i="207" s="1"/>
  <c r="A30" i="207" s="1"/>
  <c r="A31" i="207" s="1"/>
  <c r="A32" i="207" s="1"/>
  <c r="A33" i="207" s="1"/>
  <c r="A34" i="207" s="1"/>
  <c r="A35" i="207" s="1"/>
  <c r="A36" i="207" s="1"/>
  <c r="A37" i="207" s="1"/>
  <c r="A38" i="207" s="1"/>
  <c r="A39" i="207" s="1"/>
  <c r="A40" i="207" s="1"/>
  <c r="A41" i="207" s="1"/>
  <c r="A42" i="207" s="1"/>
  <c r="A43" i="207" s="1"/>
  <c r="A44" i="207" s="1"/>
  <c r="A45" i="207" s="1"/>
  <c r="A46" i="207" s="1"/>
  <c r="A47" i="207" s="1"/>
  <c r="A48" i="207" s="1"/>
  <c r="A49" i="207" s="1"/>
  <c r="A50" i="207" s="1"/>
  <c r="A51" i="207" s="1"/>
  <c r="A52" i="207" s="1"/>
  <c r="A53" i="207" s="1"/>
  <c r="A54" i="207" s="1"/>
  <c r="A55" i="207" s="1"/>
  <c r="A56" i="207" s="1"/>
  <c r="A57" i="207" s="1"/>
  <c r="A58" i="207" s="1"/>
  <c r="A59" i="207" s="1"/>
  <c r="A60" i="207" s="1"/>
  <c r="A61" i="207" s="1"/>
  <c r="A62" i="207" s="1"/>
  <c r="A63" i="207" s="1"/>
  <c r="A64" i="207" s="1"/>
  <c r="A65" i="207" s="1"/>
  <c r="A66" i="207" s="1"/>
  <c r="A67" i="207" s="1"/>
  <c r="A68" i="207" s="1"/>
  <c r="A69" i="207" s="1"/>
  <c r="A70" i="207" s="1"/>
  <c r="A71" i="207" s="1"/>
  <c r="A72" i="207" s="1"/>
  <c r="A73" i="207" s="1"/>
  <c r="A74" i="207" s="1"/>
  <c r="A75" i="207" s="1"/>
  <c r="A76" i="207" s="1"/>
  <c r="A77" i="207" s="1"/>
  <c r="A78" i="207" s="1"/>
  <c r="A79" i="207" s="1"/>
  <c r="A80" i="207" s="1"/>
  <c r="A81" i="207" s="1"/>
  <c r="A82" i="207" s="1"/>
  <c r="A83" i="207" s="1"/>
  <c r="A84" i="207" s="1"/>
  <c r="A85" i="207" s="1"/>
  <c r="A86" i="207" s="1"/>
  <c r="A87" i="207" s="1"/>
  <c r="A88" i="207" s="1"/>
  <c r="A89" i="207" s="1"/>
  <c r="A90" i="207" s="1"/>
  <c r="A91" i="207" s="1"/>
  <c r="A92" i="207" s="1"/>
  <c r="A93" i="207" s="1"/>
  <c r="A94" i="207" s="1"/>
  <c r="A95" i="207" s="1"/>
  <c r="A96" i="207" s="1"/>
  <c r="A97" i="207" s="1"/>
  <c r="A98" i="207" s="1"/>
  <c r="A99" i="207" s="1"/>
  <c r="A100" i="207" s="1"/>
  <c r="A101" i="207" s="1"/>
  <c r="A102" i="207" s="1"/>
  <c r="A103" i="207" s="1"/>
  <c r="A104" i="207" s="1"/>
  <c r="A105" i="207" s="1"/>
  <c r="A106" i="207" s="1"/>
  <c r="A107" i="207" s="1"/>
  <c r="A108" i="207" s="1"/>
  <c r="A109" i="207" s="1"/>
  <c r="A110" i="207" s="1"/>
  <c r="A111" i="207" s="1"/>
  <c r="A112" i="207" s="1"/>
  <c r="A113" i="207" s="1"/>
  <c r="A114" i="207" s="1"/>
  <c r="A115" i="207" s="1"/>
  <c r="A116" i="207" s="1"/>
  <c r="A117" i="207" s="1"/>
  <c r="A118" i="207" s="1"/>
  <c r="D12" i="237" l="1"/>
  <c r="C12" i="215" l="1"/>
  <c r="C12" i="30"/>
  <c r="H12" i="30" s="1"/>
  <c r="G208" i="236" l="1"/>
  <c r="L208" i="236" s="1"/>
  <c r="G212" i="236"/>
  <c r="L212" i="236" s="1"/>
  <c r="G205" i="236"/>
  <c r="L205" i="236" s="1"/>
  <c r="G209" i="236"/>
  <c r="L209" i="236" s="1"/>
  <c r="G211" i="236"/>
  <c r="L211" i="236" s="1"/>
  <c r="G216" i="236"/>
  <c r="L216" i="236" s="1"/>
  <c r="G201" i="236"/>
  <c r="L201" i="236" s="1"/>
  <c r="G206" i="236"/>
  <c r="L206" i="236" s="1"/>
  <c r="G210" i="236"/>
  <c r="L210" i="236" s="1"/>
  <c r="G222" i="236"/>
  <c r="G207" i="236"/>
  <c r="L207" i="236" s="1"/>
  <c r="G203" i="236"/>
  <c r="L203" i="236" s="1"/>
  <c r="H188" i="207"/>
  <c r="M188" i="207" s="1"/>
  <c r="G188" i="207"/>
  <c r="D53" i="50"/>
  <c r="D38" i="79"/>
  <c r="F131" i="209"/>
  <c r="F132" i="209"/>
  <c r="F133" i="209"/>
  <c r="F134" i="209"/>
  <c r="F135" i="209"/>
  <c r="F136" i="209"/>
  <c r="F137" i="209"/>
  <c r="F138" i="209"/>
  <c r="F139" i="209"/>
  <c r="F140" i="209"/>
  <c r="F141" i="209"/>
  <c r="F142" i="209"/>
  <c r="F143" i="209"/>
  <c r="F144" i="209"/>
  <c r="F145" i="209"/>
  <c r="F146" i="209"/>
  <c r="F147" i="209"/>
  <c r="F148" i="209"/>
  <c r="F149" i="209"/>
  <c r="F150" i="209"/>
  <c r="F151" i="209"/>
  <c r="F130" i="213"/>
  <c r="F131" i="213"/>
  <c r="F132" i="213"/>
  <c r="F133" i="213"/>
  <c r="F134" i="213"/>
  <c r="F136" i="213"/>
  <c r="F135" i="213"/>
  <c r="F137" i="213"/>
  <c r="F138" i="213"/>
  <c r="F139" i="213"/>
  <c r="F140" i="213"/>
  <c r="F141" i="213"/>
  <c r="F142" i="213"/>
  <c r="F143" i="213"/>
  <c r="F144" i="213"/>
  <c r="F145" i="213"/>
  <c r="F146" i="213"/>
  <c r="F147" i="213"/>
  <c r="F148" i="213"/>
  <c r="F149" i="213"/>
  <c r="F150" i="213"/>
  <c r="F16" i="105"/>
  <c r="F18" i="105" s="1"/>
  <c r="D43" i="45"/>
  <c r="D73" i="51"/>
  <c r="D74" i="51"/>
  <c r="D75" i="51"/>
  <c r="D106" i="51"/>
  <c r="G255" i="213"/>
  <c r="L186" i="213"/>
  <c r="M186" i="213"/>
  <c r="H125" i="213"/>
  <c r="M125" i="213" s="1"/>
  <c r="M186" i="209"/>
  <c r="M125" i="209"/>
  <c r="E18" i="215"/>
  <c r="J18" i="215" s="1"/>
  <c r="J25" i="215" s="1"/>
  <c r="D19" i="215"/>
  <c r="I19" i="215" s="1"/>
  <c r="E19" i="215"/>
  <c r="J19" i="215" s="1"/>
  <c r="J26" i="215" s="1"/>
  <c r="D20" i="215"/>
  <c r="E20" i="215"/>
  <c r="J20" i="215" s="1"/>
  <c r="F22" i="244"/>
  <c r="K22" i="244" s="1"/>
  <c r="E19" i="244"/>
  <c r="J19" i="244" s="1"/>
  <c r="F19" i="244"/>
  <c r="K19" i="244" s="1"/>
  <c r="E16" i="244"/>
  <c r="J16" i="244" s="1"/>
  <c r="F16" i="244"/>
  <c r="K16" i="244" s="1"/>
  <c r="F38" i="232"/>
  <c r="E30" i="232"/>
  <c r="F30" i="232"/>
  <c r="K30" i="232" s="1"/>
  <c r="E22" i="232"/>
  <c r="F22" i="232"/>
  <c r="F24" i="232" s="1"/>
  <c r="K24" i="232" s="1"/>
  <c r="H136" i="207"/>
  <c r="M136" i="207" s="1"/>
  <c r="G253" i="236"/>
  <c r="L253" i="236" s="1"/>
  <c r="H259" i="236"/>
  <c r="H154" i="236"/>
  <c r="J18" i="30"/>
  <c r="D19" i="30"/>
  <c r="I19" i="30" s="1"/>
  <c r="J19" i="30"/>
  <c r="J26" i="30" s="1"/>
  <c r="D20" i="30"/>
  <c r="J20" i="30"/>
  <c r="J34" i="30" s="1"/>
  <c r="K22" i="243"/>
  <c r="J19" i="243"/>
  <c r="K19" i="243"/>
  <c r="J16" i="243"/>
  <c r="K16" i="243"/>
  <c r="F43" i="231"/>
  <c r="E32" i="231"/>
  <c r="K30" i="231"/>
  <c r="J22" i="231"/>
  <c r="F24" i="231"/>
  <c r="E18" i="106"/>
  <c r="E29" i="106" s="1"/>
  <c r="E42" i="232"/>
  <c r="J42" i="232" s="1"/>
  <c r="E44" i="232"/>
  <c r="J44" i="232" s="1"/>
  <c r="E40" i="232"/>
  <c r="J40" i="232" s="1"/>
  <c r="E15" i="232"/>
  <c r="J15" i="232" s="1"/>
  <c r="F15" i="232"/>
  <c r="K15" i="232" s="1"/>
  <c r="E17" i="232"/>
  <c r="J17" i="232" s="1"/>
  <c r="F17" i="232"/>
  <c r="K17" i="232" s="1"/>
  <c r="J18" i="247"/>
  <c r="H16" i="239"/>
  <c r="G18" i="239"/>
  <c r="G20" i="239"/>
  <c r="G22" i="239"/>
  <c r="E41" i="231"/>
  <c r="E15" i="231"/>
  <c r="F15" i="231"/>
  <c r="E17" i="231"/>
  <c r="F17" i="231"/>
  <c r="A4" i="244"/>
  <c r="A4" i="243"/>
  <c r="A4" i="232"/>
  <c r="A4" i="237"/>
  <c r="A4" i="231"/>
  <c r="A4" i="69"/>
  <c r="A4" i="24"/>
  <c r="A4" i="215"/>
  <c r="A4" i="30"/>
  <c r="A4" i="31"/>
  <c r="A4" i="247"/>
  <c r="J2" i="9"/>
  <c r="J1" i="9"/>
  <c r="F125" i="237"/>
  <c r="F126" i="237"/>
  <c r="F131" i="237"/>
  <c r="F132" i="237"/>
  <c r="F133" i="237"/>
  <c r="F134" i="237"/>
  <c r="F135" i="237"/>
  <c r="F136" i="237"/>
  <c r="F137" i="237"/>
  <c r="F138" i="237"/>
  <c r="F139" i="237"/>
  <c r="F140" i="237"/>
  <c r="F141" i="237"/>
  <c r="F142" i="237"/>
  <c r="F143" i="237"/>
  <c r="F144" i="237"/>
  <c r="F145" i="237"/>
  <c r="F146" i="237"/>
  <c r="F147" i="237"/>
  <c r="F148" i="237"/>
  <c r="F149" i="237"/>
  <c r="F150" i="237"/>
  <c r="F151" i="237"/>
  <c r="F156" i="237"/>
  <c r="F157" i="237"/>
  <c r="F158" i="237"/>
  <c r="F159" i="237"/>
  <c r="F160" i="237"/>
  <c r="F161" i="237"/>
  <c r="F162" i="237"/>
  <c r="F169" i="237"/>
  <c r="F170" i="237"/>
  <c r="F171" i="237"/>
  <c r="F172" i="237"/>
  <c r="F173" i="237"/>
  <c r="F174" i="237"/>
  <c r="F175" i="237"/>
  <c r="F176" i="237"/>
  <c r="F89" i="237"/>
  <c r="G89" i="237"/>
  <c r="F90" i="237"/>
  <c r="G90" i="237"/>
  <c r="F91" i="237"/>
  <c r="G91" i="237"/>
  <c r="F92" i="237"/>
  <c r="G92" i="237"/>
  <c r="F93" i="237"/>
  <c r="G93" i="237"/>
  <c r="F99" i="237"/>
  <c r="G99" i="237"/>
  <c r="F100" i="237"/>
  <c r="G100" i="237"/>
  <c r="F101" i="237"/>
  <c r="G101" i="237"/>
  <c r="F102" i="237"/>
  <c r="G102" i="237"/>
  <c r="F103" i="237"/>
  <c r="G103" i="237"/>
  <c r="F104" i="237"/>
  <c r="G104" i="237"/>
  <c r="F105" i="237"/>
  <c r="G105" i="237"/>
  <c r="F106" i="237"/>
  <c r="G106" i="237"/>
  <c r="F107" i="237"/>
  <c r="G107" i="237"/>
  <c r="F108" i="237"/>
  <c r="G108" i="237"/>
  <c r="F109" i="237"/>
  <c r="G109" i="237"/>
  <c r="F110" i="237"/>
  <c r="G110" i="237"/>
  <c r="F111" i="237"/>
  <c r="G111" i="237"/>
  <c r="F112" i="237"/>
  <c r="G112" i="237"/>
  <c r="F113" i="237"/>
  <c r="G113" i="237"/>
  <c r="F63" i="237"/>
  <c r="G63" i="237"/>
  <c r="F64" i="237"/>
  <c r="G64" i="237"/>
  <c r="F65" i="237"/>
  <c r="G65" i="237"/>
  <c r="F66" i="237"/>
  <c r="G66" i="237"/>
  <c r="F67" i="237"/>
  <c r="G67" i="237"/>
  <c r="F68" i="237"/>
  <c r="G68" i="237"/>
  <c r="F69" i="237"/>
  <c r="G69" i="237"/>
  <c r="F70" i="237"/>
  <c r="G70" i="237"/>
  <c r="F71" i="237"/>
  <c r="G71" i="237"/>
  <c r="F72" i="237"/>
  <c r="G72" i="237"/>
  <c r="F73" i="237"/>
  <c r="G73" i="237"/>
  <c r="F76" i="237"/>
  <c r="G76" i="237"/>
  <c r="F77" i="237"/>
  <c r="G77" i="237"/>
  <c r="F78" i="237"/>
  <c r="G78" i="237"/>
  <c r="F79" i="237"/>
  <c r="G79" i="237"/>
  <c r="F80" i="237"/>
  <c r="G80" i="237"/>
  <c r="F81" i="237"/>
  <c r="G81" i="237"/>
  <c r="F82" i="237"/>
  <c r="G82" i="237"/>
  <c r="F83" i="237"/>
  <c r="G83" i="237"/>
  <c r="F84" i="237"/>
  <c r="G84" i="237"/>
  <c r="F50" i="237"/>
  <c r="G50" i="237"/>
  <c r="F51" i="237"/>
  <c r="G51" i="237"/>
  <c r="F52" i="237"/>
  <c r="G52" i="237"/>
  <c r="F53" i="237"/>
  <c r="G53" i="237"/>
  <c r="F54" i="237"/>
  <c r="G54" i="237"/>
  <c r="F55" i="237"/>
  <c r="G55" i="237"/>
  <c r="F57" i="237"/>
  <c r="G57" i="237"/>
  <c r="F58" i="237"/>
  <c r="G58" i="237"/>
  <c r="F29" i="237"/>
  <c r="G29" i="237"/>
  <c r="F30" i="237"/>
  <c r="G30" i="237"/>
  <c r="F31" i="237"/>
  <c r="G31" i="237"/>
  <c r="F32" i="237"/>
  <c r="G32" i="237"/>
  <c r="F33" i="237"/>
  <c r="G33" i="237"/>
  <c r="F34" i="237"/>
  <c r="G34" i="237"/>
  <c r="F35" i="237"/>
  <c r="G35" i="237"/>
  <c r="F36" i="237"/>
  <c r="G36" i="237"/>
  <c r="F37" i="237"/>
  <c r="G37" i="237"/>
  <c r="F38" i="237"/>
  <c r="G38" i="237"/>
  <c r="F39" i="237"/>
  <c r="G39" i="237"/>
  <c r="F40" i="237"/>
  <c r="G40" i="237"/>
  <c r="F41" i="237"/>
  <c r="G41" i="237"/>
  <c r="F42" i="237"/>
  <c r="G42" i="237"/>
  <c r="F43" i="237"/>
  <c r="G43" i="237"/>
  <c r="F44" i="237"/>
  <c r="G44" i="237"/>
  <c r="F45" i="237"/>
  <c r="G45" i="237"/>
  <c r="F22" i="237"/>
  <c r="G22" i="237"/>
  <c r="F23" i="237"/>
  <c r="G23" i="237"/>
  <c r="F24" i="237"/>
  <c r="G24" i="237"/>
  <c r="G16" i="237"/>
  <c r="F17" i="237"/>
  <c r="G17" i="237"/>
  <c r="G124" i="213"/>
  <c r="G125" i="213"/>
  <c r="G130" i="213"/>
  <c r="L130" i="213" s="1"/>
  <c r="G131" i="213"/>
  <c r="L131" i="213" s="1"/>
  <c r="G132" i="213"/>
  <c r="L132" i="213" s="1"/>
  <c r="G133" i="213"/>
  <c r="L133" i="213" s="1"/>
  <c r="G134" i="213"/>
  <c r="L134" i="213" s="1"/>
  <c r="G136" i="213"/>
  <c r="L136" i="213" s="1"/>
  <c r="G135" i="213"/>
  <c r="L135" i="213" s="1"/>
  <c r="G137" i="213"/>
  <c r="L137" i="213" s="1"/>
  <c r="G138" i="213"/>
  <c r="L138" i="213" s="1"/>
  <c r="G139" i="213"/>
  <c r="L139" i="213" s="1"/>
  <c r="G140" i="213"/>
  <c r="L140" i="213" s="1"/>
  <c r="G141" i="213"/>
  <c r="L141" i="213" s="1"/>
  <c r="G142" i="213"/>
  <c r="L142" i="213" s="1"/>
  <c r="G143" i="213"/>
  <c r="L143" i="213" s="1"/>
  <c r="G144" i="213"/>
  <c r="L144" i="213" s="1"/>
  <c r="G145" i="213"/>
  <c r="L145" i="213" s="1"/>
  <c r="G146" i="213"/>
  <c r="L146" i="213" s="1"/>
  <c r="G147" i="213"/>
  <c r="L147" i="213" s="1"/>
  <c r="G148" i="213"/>
  <c r="L148" i="213" s="1"/>
  <c r="G149" i="213"/>
  <c r="L149" i="213" s="1"/>
  <c r="G150" i="213"/>
  <c r="L150" i="213" s="1"/>
  <c r="G155" i="213"/>
  <c r="G156" i="213"/>
  <c r="G157" i="213"/>
  <c r="G158" i="213"/>
  <c r="G170" i="213"/>
  <c r="L170" i="213" s="1"/>
  <c r="G171" i="213"/>
  <c r="G172" i="213"/>
  <c r="G173" i="213"/>
  <c r="G174" i="213"/>
  <c r="G175" i="213"/>
  <c r="L16" i="213"/>
  <c r="M16" i="213"/>
  <c r="L17" i="213"/>
  <c r="M17" i="213"/>
  <c r="L22" i="213"/>
  <c r="M22" i="213"/>
  <c r="L23" i="213"/>
  <c r="M23" i="213"/>
  <c r="L24" i="213"/>
  <c r="M24" i="213"/>
  <c r="L29" i="213"/>
  <c r="M29" i="213"/>
  <c r="L30" i="213"/>
  <c r="M30" i="213"/>
  <c r="L31" i="213"/>
  <c r="M31" i="213"/>
  <c r="L32" i="213"/>
  <c r="M32" i="213"/>
  <c r="L33" i="213"/>
  <c r="M33" i="213"/>
  <c r="L34" i="213"/>
  <c r="M34" i="213"/>
  <c r="L35" i="213"/>
  <c r="M35" i="213"/>
  <c r="L36" i="213"/>
  <c r="M36" i="213"/>
  <c r="L37" i="213"/>
  <c r="M37" i="213"/>
  <c r="L38" i="213"/>
  <c r="M38" i="213"/>
  <c r="L39" i="213"/>
  <c r="M39" i="213"/>
  <c r="L40" i="213"/>
  <c r="M40" i="213"/>
  <c r="L41" i="213"/>
  <c r="M41" i="213"/>
  <c r="L42" i="213"/>
  <c r="M42" i="213"/>
  <c r="L43" i="213"/>
  <c r="M43" i="213"/>
  <c r="L44" i="213"/>
  <c r="M44" i="213"/>
  <c r="L45" i="213"/>
  <c r="M45" i="213"/>
  <c r="L50" i="213"/>
  <c r="M50" i="213"/>
  <c r="L51" i="213"/>
  <c r="M51" i="213"/>
  <c r="L52" i="213"/>
  <c r="M52" i="213"/>
  <c r="L53" i="213"/>
  <c r="M53" i="213"/>
  <c r="L54" i="213"/>
  <c r="M54" i="213"/>
  <c r="L55" i="213"/>
  <c r="M55" i="213"/>
  <c r="L57" i="213"/>
  <c r="M57" i="213"/>
  <c r="L58" i="213"/>
  <c r="M58" i="213"/>
  <c r="L63" i="213"/>
  <c r="M63" i="213"/>
  <c r="L64" i="213"/>
  <c r="M64" i="213"/>
  <c r="L65" i="213"/>
  <c r="M65" i="213"/>
  <c r="L66" i="213"/>
  <c r="M66" i="213"/>
  <c r="L67" i="213"/>
  <c r="M67" i="213"/>
  <c r="L68" i="213"/>
  <c r="M68" i="213"/>
  <c r="L69" i="213"/>
  <c r="M69" i="213"/>
  <c r="L70" i="213"/>
  <c r="M70" i="213"/>
  <c r="L71" i="213"/>
  <c r="M71" i="213"/>
  <c r="L72" i="213"/>
  <c r="M72" i="213"/>
  <c r="L73" i="213"/>
  <c r="M73" i="213"/>
  <c r="L76" i="213"/>
  <c r="M76" i="213"/>
  <c r="L77" i="213"/>
  <c r="M77" i="213"/>
  <c r="L78" i="213"/>
  <c r="M78" i="213"/>
  <c r="L79" i="213"/>
  <c r="M79" i="213"/>
  <c r="L80" i="213"/>
  <c r="M80" i="213"/>
  <c r="L81" i="213"/>
  <c r="M81" i="213"/>
  <c r="L82" i="213"/>
  <c r="M82" i="213"/>
  <c r="L83" i="213"/>
  <c r="M83" i="213"/>
  <c r="L84" i="213"/>
  <c r="M84" i="213"/>
  <c r="L89" i="213"/>
  <c r="M89" i="213"/>
  <c r="L90" i="213"/>
  <c r="M90" i="213"/>
  <c r="L91" i="213"/>
  <c r="M91" i="213"/>
  <c r="L92" i="213"/>
  <c r="M92" i="213"/>
  <c r="L93" i="213"/>
  <c r="M93" i="213"/>
  <c r="L94" i="213"/>
  <c r="M94" i="213"/>
  <c r="L95" i="213"/>
  <c r="M95" i="213"/>
  <c r="L113" i="213"/>
  <c r="M113" i="213"/>
  <c r="G125" i="209"/>
  <c r="L125" i="209" s="1"/>
  <c r="G126" i="209"/>
  <c r="G131" i="209"/>
  <c r="G132" i="209"/>
  <c r="L132" i="209" s="1"/>
  <c r="G133" i="209"/>
  <c r="L133" i="209" s="1"/>
  <c r="G134" i="209"/>
  <c r="L134" i="209" s="1"/>
  <c r="G135" i="209"/>
  <c r="L135" i="209" s="1"/>
  <c r="G136" i="209"/>
  <c r="G137" i="209"/>
  <c r="L137" i="209" s="1"/>
  <c r="G138" i="209"/>
  <c r="L138" i="209" s="1"/>
  <c r="G139" i="209"/>
  <c r="L139" i="209" s="1"/>
  <c r="G140" i="209"/>
  <c r="L140" i="209" s="1"/>
  <c r="G141" i="209"/>
  <c r="L141" i="209" s="1"/>
  <c r="G142" i="209"/>
  <c r="L142" i="209" s="1"/>
  <c r="G143" i="209"/>
  <c r="L143" i="209" s="1"/>
  <c r="G144" i="209"/>
  <c r="L144" i="209" s="1"/>
  <c r="G145" i="209"/>
  <c r="L145" i="209" s="1"/>
  <c r="G146" i="209"/>
  <c r="L146" i="209" s="1"/>
  <c r="G147" i="209"/>
  <c r="L147" i="209" s="1"/>
  <c r="G148" i="209"/>
  <c r="L148" i="209" s="1"/>
  <c r="G149" i="209"/>
  <c r="L149" i="209" s="1"/>
  <c r="G150" i="209"/>
  <c r="L150" i="209" s="1"/>
  <c r="G151" i="209"/>
  <c r="L151" i="209" s="1"/>
  <c r="G156" i="209"/>
  <c r="L156" i="209" s="1"/>
  <c r="G157" i="209"/>
  <c r="L157" i="209" s="1"/>
  <c r="G158" i="209"/>
  <c r="L158" i="209" s="1"/>
  <c r="G159" i="209"/>
  <c r="L159" i="209" s="1"/>
  <c r="G160" i="209"/>
  <c r="L160" i="209" s="1"/>
  <c r="G167" i="209"/>
  <c r="L167" i="209" s="1"/>
  <c r="G168" i="209"/>
  <c r="L168" i="209" s="1"/>
  <c r="G169" i="209"/>
  <c r="L169" i="209" s="1"/>
  <c r="G170" i="209"/>
  <c r="L170" i="209" s="1"/>
  <c r="G171" i="209"/>
  <c r="L171" i="209" s="1"/>
  <c r="G172" i="209"/>
  <c r="L172" i="209" s="1"/>
  <c r="G173" i="209"/>
  <c r="L173" i="209" s="1"/>
  <c r="G174" i="209"/>
  <c r="L174" i="209" s="1"/>
  <c r="G175" i="209"/>
  <c r="L175" i="209" s="1"/>
  <c r="G176" i="209"/>
  <c r="L176" i="209" s="1"/>
  <c r="G177" i="209"/>
  <c r="L177" i="209" s="1"/>
  <c r="L89" i="209"/>
  <c r="M89" i="209"/>
  <c r="L90" i="209"/>
  <c r="M90" i="209"/>
  <c r="L91" i="209"/>
  <c r="M91" i="209"/>
  <c r="L92" i="209"/>
  <c r="M92" i="209"/>
  <c r="L93" i="209"/>
  <c r="M93" i="209"/>
  <c r="L94" i="209"/>
  <c r="M94" i="209"/>
  <c r="L95" i="209"/>
  <c r="M95" i="209"/>
  <c r="L103" i="209"/>
  <c r="M103" i="209"/>
  <c r="L104" i="209"/>
  <c r="M104" i="209"/>
  <c r="L105" i="209"/>
  <c r="M105" i="209"/>
  <c r="L106" i="209"/>
  <c r="M106" i="209"/>
  <c r="L107" i="209"/>
  <c r="M107" i="209"/>
  <c r="L108" i="209"/>
  <c r="M108" i="209"/>
  <c r="L109" i="209"/>
  <c r="M109" i="209"/>
  <c r="L110" i="209"/>
  <c r="M110" i="209"/>
  <c r="L111" i="209"/>
  <c r="M111" i="209"/>
  <c r="L112" i="209"/>
  <c r="M112" i="209"/>
  <c r="L113" i="209"/>
  <c r="M113" i="209"/>
  <c r="L114" i="209"/>
  <c r="M114" i="209"/>
  <c r="L63" i="209"/>
  <c r="M63" i="209"/>
  <c r="L64" i="209"/>
  <c r="M64" i="209"/>
  <c r="L65" i="209"/>
  <c r="M65" i="209"/>
  <c r="L66" i="209"/>
  <c r="M66" i="209"/>
  <c r="L67" i="209"/>
  <c r="M67" i="209"/>
  <c r="L68" i="209"/>
  <c r="M68" i="209"/>
  <c r="L69" i="209"/>
  <c r="M69" i="209"/>
  <c r="L70" i="209"/>
  <c r="M70" i="209"/>
  <c r="L71" i="209"/>
  <c r="M71" i="209"/>
  <c r="L72" i="209"/>
  <c r="M72" i="209"/>
  <c r="L73" i="209"/>
  <c r="M73" i="209"/>
  <c r="L76" i="209"/>
  <c r="M76" i="209"/>
  <c r="L77" i="209"/>
  <c r="M77" i="209"/>
  <c r="L78" i="209"/>
  <c r="M78" i="209"/>
  <c r="L79" i="209"/>
  <c r="M79" i="209"/>
  <c r="L80" i="209"/>
  <c r="M80" i="209"/>
  <c r="L81" i="209"/>
  <c r="M81" i="209"/>
  <c r="L82" i="209"/>
  <c r="M82" i="209"/>
  <c r="L83" i="209"/>
  <c r="M83" i="209"/>
  <c r="L84" i="209"/>
  <c r="M84" i="209"/>
  <c r="L50" i="209"/>
  <c r="M50" i="209"/>
  <c r="L51" i="209"/>
  <c r="M51" i="209"/>
  <c r="L52" i="209"/>
  <c r="M52" i="209"/>
  <c r="L53" i="209"/>
  <c r="M53" i="209"/>
  <c r="L54" i="209"/>
  <c r="M54" i="209"/>
  <c r="L55" i="209"/>
  <c r="M55" i="209"/>
  <c r="L57" i="209"/>
  <c r="M57" i="209"/>
  <c r="L58" i="209"/>
  <c r="M58" i="209"/>
  <c r="L29" i="209"/>
  <c r="M29" i="209"/>
  <c r="L30" i="209"/>
  <c r="M30" i="209"/>
  <c r="L31" i="209"/>
  <c r="M31" i="209"/>
  <c r="L32" i="209"/>
  <c r="M32" i="209"/>
  <c r="L33" i="209"/>
  <c r="M33" i="209"/>
  <c r="L34" i="209"/>
  <c r="M34" i="209"/>
  <c r="L35" i="209"/>
  <c r="M35" i="209"/>
  <c r="L36" i="209"/>
  <c r="M36" i="209"/>
  <c r="L37" i="209"/>
  <c r="M37" i="209"/>
  <c r="L38" i="209"/>
  <c r="M38" i="209"/>
  <c r="L39" i="209"/>
  <c r="M39" i="209"/>
  <c r="L40" i="209"/>
  <c r="M40" i="209"/>
  <c r="L41" i="209"/>
  <c r="M41" i="209"/>
  <c r="L42" i="209"/>
  <c r="M42" i="209"/>
  <c r="L43" i="209"/>
  <c r="M43" i="209"/>
  <c r="L44" i="209"/>
  <c r="M44" i="209"/>
  <c r="L45" i="209"/>
  <c r="M45" i="209"/>
  <c r="L22" i="209"/>
  <c r="M22" i="209"/>
  <c r="L23" i="209"/>
  <c r="M23" i="209"/>
  <c r="L24" i="209"/>
  <c r="M24" i="209"/>
  <c r="L16" i="209"/>
  <c r="M16" i="209"/>
  <c r="L17" i="209"/>
  <c r="M17" i="209"/>
  <c r="C18" i="215"/>
  <c r="I18" i="215"/>
  <c r="I32" i="215"/>
  <c r="C19" i="215"/>
  <c r="H20" i="215"/>
  <c r="C17" i="215"/>
  <c r="F17" i="215" s="1"/>
  <c r="I17" i="215"/>
  <c r="I24" i="215" s="1"/>
  <c r="J17" i="215"/>
  <c r="J24" i="215" s="1"/>
  <c r="P43" i="216"/>
  <c r="H25" i="215" s="1"/>
  <c r="P45" i="216"/>
  <c r="H26" i="215" s="1"/>
  <c r="P47" i="216"/>
  <c r="H27" i="215" s="1"/>
  <c r="J31" i="215"/>
  <c r="C33" i="215"/>
  <c r="C34" i="215"/>
  <c r="D22" i="244"/>
  <c r="I19" i="244"/>
  <c r="I16" i="244"/>
  <c r="I13" i="244"/>
  <c r="J13" i="244"/>
  <c r="F13" i="244"/>
  <c r="K13" i="244" s="1"/>
  <c r="J38" i="232"/>
  <c r="J13" i="232"/>
  <c r="K13" i="232"/>
  <c r="G124" i="207"/>
  <c r="G125" i="207"/>
  <c r="G130" i="207"/>
  <c r="L130" i="207" s="1"/>
  <c r="G131" i="207"/>
  <c r="L131" i="207" s="1"/>
  <c r="G132" i="207"/>
  <c r="L132" i="207" s="1"/>
  <c r="G133" i="207"/>
  <c r="L133" i="207" s="1"/>
  <c r="G134" i="207"/>
  <c r="L134" i="207" s="1"/>
  <c r="G136" i="207"/>
  <c r="L136" i="207" s="1"/>
  <c r="G135" i="207"/>
  <c r="L135" i="207" s="1"/>
  <c r="G137" i="207"/>
  <c r="L137" i="207" s="1"/>
  <c r="G138" i="207"/>
  <c r="L138" i="207" s="1"/>
  <c r="G139" i="207"/>
  <c r="L139" i="207" s="1"/>
  <c r="G140" i="207"/>
  <c r="L140" i="207" s="1"/>
  <c r="G141" i="207"/>
  <c r="L141" i="207" s="1"/>
  <c r="G142" i="207"/>
  <c r="L142" i="207" s="1"/>
  <c r="G143" i="207"/>
  <c r="L143" i="207" s="1"/>
  <c r="G144" i="207"/>
  <c r="L144" i="207" s="1"/>
  <c r="G145" i="207"/>
  <c r="L145" i="207" s="1"/>
  <c r="G146" i="207"/>
  <c r="L146" i="207" s="1"/>
  <c r="G147" i="207"/>
  <c r="L147" i="207" s="1"/>
  <c r="G148" i="207"/>
  <c r="L148" i="207" s="1"/>
  <c r="G149" i="207"/>
  <c r="L149" i="207" s="1"/>
  <c r="G150" i="207"/>
  <c r="L150" i="207" s="1"/>
  <c r="G155" i="207"/>
  <c r="G156" i="207"/>
  <c r="G157" i="207"/>
  <c r="G158" i="207"/>
  <c r="L16" i="207"/>
  <c r="M16" i="207"/>
  <c r="L17" i="207"/>
  <c r="M17" i="207"/>
  <c r="L22" i="207"/>
  <c r="M22" i="207"/>
  <c r="L23" i="207"/>
  <c r="M23" i="207"/>
  <c r="L24" i="207"/>
  <c r="M24" i="207"/>
  <c r="L29" i="207"/>
  <c r="M29" i="207"/>
  <c r="L30" i="207"/>
  <c r="M30" i="207"/>
  <c r="L31" i="207"/>
  <c r="M31" i="207"/>
  <c r="L32" i="207"/>
  <c r="M32" i="207"/>
  <c r="L33" i="207"/>
  <c r="M33" i="207"/>
  <c r="L34" i="207"/>
  <c r="M34" i="207"/>
  <c r="L35" i="207"/>
  <c r="M35" i="207"/>
  <c r="L36" i="207"/>
  <c r="M36" i="207"/>
  <c r="L37" i="207"/>
  <c r="M37" i="207"/>
  <c r="L38" i="207"/>
  <c r="M38" i="207"/>
  <c r="L39" i="207"/>
  <c r="M39" i="207"/>
  <c r="L40" i="207"/>
  <c r="M40" i="207"/>
  <c r="L41" i="207"/>
  <c r="M41" i="207"/>
  <c r="L42" i="207"/>
  <c r="M42" i="207"/>
  <c r="L43" i="207"/>
  <c r="M43" i="207"/>
  <c r="L44" i="207"/>
  <c r="M44" i="207"/>
  <c r="L45" i="207"/>
  <c r="M45" i="207"/>
  <c r="L50" i="207"/>
  <c r="M50" i="207"/>
  <c r="L51" i="207"/>
  <c r="M51" i="207"/>
  <c r="L52" i="207"/>
  <c r="M52" i="207"/>
  <c r="L53" i="207"/>
  <c r="M53" i="207"/>
  <c r="L54" i="207"/>
  <c r="M54" i="207"/>
  <c r="L55" i="207"/>
  <c r="M55" i="207"/>
  <c r="L57" i="207"/>
  <c r="M57" i="207"/>
  <c r="L58" i="207"/>
  <c r="M58" i="207"/>
  <c r="L63" i="207"/>
  <c r="M63" i="207"/>
  <c r="L64" i="207"/>
  <c r="M64" i="207"/>
  <c r="L65" i="207"/>
  <c r="M65" i="207"/>
  <c r="L66" i="207"/>
  <c r="M66" i="207"/>
  <c r="L67" i="207"/>
  <c r="M67" i="207"/>
  <c r="L68" i="207"/>
  <c r="M68" i="207"/>
  <c r="L69" i="207"/>
  <c r="M69" i="207"/>
  <c r="L70" i="207"/>
  <c r="M70" i="207"/>
  <c r="L71" i="207"/>
  <c r="M71" i="207"/>
  <c r="L72" i="207"/>
  <c r="M72" i="207"/>
  <c r="L73" i="207"/>
  <c r="M73" i="207"/>
  <c r="L76" i="207"/>
  <c r="M76" i="207"/>
  <c r="L77" i="207"/>
  <c r="M77" i="207"/>
  <c r="L78" i="207"/>
  <c r="M78" i="207"/>
  <c r="L79" i="207"/>
  <c r="M79" i="207"/>
  <c r="L80" i="207"/>
  <c r="M80" i="207"/>
  <c r="L81" i="207"/>
  <c r="M81" i="207"/>
  <c r="L82" i="207"/>
  <c r="M82" i="207"/>
  <c r="L83" i="207"/>
  <c r="M83" i="207"/>
  <c r="L84" i="207"/>
  <c r="M84" i="207"/>
  <c r="L89" i="207"/>
  <c r="M89" i="207"/>
  <c r="L90" i="207"/>
  <c r="M90" i="207"/>
  <c r="L91" i="207"/>
  <c r="M91" i="207"/>
  <c r="L92" i="207"/>
  <c r="M92" i="207"/>
  <c r="L93" i="207"/>
  <c r="M93" i="207"/>
  <c r="L94" i="207"/>
  <c r="M94" i="207"/>
  <c r="G123" i="236"/>
  <c r="L123" i="236" s="1"/>
  <c r="G124" i="236"/>
  <c r="L124" i="236" s="1"/>
  <c r="G129" i="236"/>
  <c r="L129" i="236" s="1"/>
  <c r="G130" i="236"/>
  <c r="L130" i="236" s="1"/>
  <c r="G131" i="236"/>
  <c r="L131" i="236" s="1"/>
  <c r="G132" i="236"/>
  <c r="L132" i="236" s="1"/>
  <c r="G133" i="236"/>
  <c r="L133" i="236" s="1"/>
  <c r="G134" i="236"/>
  <c r="L134" i="236" s="1"/>
  <c r="G135" i="236"/>
  <c r="L135" i="236" s="1"/>
  <c r="G136" i="236"/>
  <c r="L136" i="236" s="1"/>
  <c r="G137" i="236"/>
  <c r="L137" i="236" s="1"/>
  <c r="G138" i="236"/>
  <c r="L138" i="236" s="1"/>
  <c r="G139" i="236"/>
  <c r="L139" i="236" s="1"/>
  <c r="G140" i="236"/>
  <c r="L140" i="236" s="1"/>
  <c r="G141" i="236"/>
  <c r="L141" i="236" s="1"/>
  <c r="G142" i="236"/>
  <c r="L142" i="236" s="1"/>
  <c r="G143" i="236"/>
  <c r="L143" i="236" s="1"/>
  <c r="G144" i="236"/>
  <c r="L144" i="236" s="1"/>
  <c r="G145" i="236"/>
  <c r="L145" i="236" s="1"/>
  <c r="G146" i="236"/>
  <c r="L146" i="236" s="1"/>
  <c r="G147" i="236"/>
  <c r="L147" i="236" s="1"/>
  <c r="G148" i="236"/>
  <c r="L148" i="236" s="1"/>
  <c r="G149" i="236"/>
  <c r="L149" i="236" s="1"/>
  <c r="G154" i="236"/>
  <c r="L154" i="236" s="1"/>
  <c r="G155" i="236"/>
  <c r="L155" i="236" s="1"/>
  <c r="G156" i="236"/>
  <c r="L156" i="236" s="1"/>
  <c r="G162" i="236"/>
  <c r="G163" i="236"/>
  <c r="G164" i="236"/>
  <c r="L164" i="236" s="1"/>
  <c r="G165" i="236"/>
  <c r="L165" i="236" s="1"/>
  <c r="G166" i="236"/>
  <c r="L166" i="236" s="1"/>
  <c r="G167" i="236"/>
  <c r="L167" i="236" s="1"/>
  <c r="G168" i="236"/>
  <c r="L168" i="236" s="1"/>
  <c r="G169" i="236"/>
  <c r="L169" i="236" s="1"/>
  <c r="G170" i="236"/>
  <c r="L170" i="236" s="1"/>
  <c r="G171" i="236"/>
  <c r="L171" i="236" s="1"/>
  <c r="G172" i="236"/>
  <c r="L172" i="236" s="1"/>
  <c r="G173" i="236"/>
  <c r="L173" i="236" s="1"/>
  <c r="G174" i="236"/>
  <c r="L174" i="236" s="1"/>
  <c r="G175" i="236"/>
  <c r="L175" i="236" s="1"/>
  <c r="L89" i="236"/>
  <c r="M89" i="236"/>
  <c r="L90" i="236"/>
  <c r="M90" i="236"/>
  <c r="L91" i="236"/>
  <c r="M91" i="236"/>
  <c r="L92" i="236"/>
  <c r="M92" i="236"/>
  <c r="L93" i="236"/>
  <c r="M93" i="236"/>
  <c r="L94" i="236"/>
  <c r="M94" i="236"/>
  <c r="L95" i="236"/>
  <c r="M95" i="236"/>
  <c r="L96" i="236"/>
  <c r="M96" i="236"/>
  <c r="L97" i="236"/>
  <c r="M97" i="236"/>
  <c r="L98" i="236"/>
  <c r="M98" i="236"/>
  <c r="L99" i="236"/>
  <c r="M99" i="236"/>
  <c r="L100" i="236"/>
  <c r="M100" i="236"/>
  <c r="L101" i="236"/>
  <c r="M101" i="236"/>
  <c r="L102" i="236"/>
  <c r="M102" i="236"/>
  <c r="L103" i="236"/>
  <c r="M103" i="236"/>
  <c r="L104" i="236"/>
  <c r="M104" i="236"/>
  <c r="L105" i="236"/>
  <c r="M105" i="236"/>
  <c r="L112" i="236"/>
  <c r="M112" i="236"/>
  <c r="L113" i="236"/>
  <c r="M113" i="236"/>
  <c r="L114" i="236"/>
  <c r="M114" i="236"/>
  <c r="L63" i="236"/>
  <c r="M63" i="236"/>
  <c r="L64" i="236"/>
  <c r="M64" i="236"/>
  <c r="L65" i="236"/>
  <c r="M65" i="236"/>
  <c r="L66" i="236"/>
  <c r="M66" i="236"/>
  <c r="L67" i="236"/>
  <c r="M67" i="236"/>
  <c r="L68" i="236"/>
  <c r="M68" i="236"/>
  <c r="L69" i="236"/>
  <c r="M69" i="236"/>
  <c r="L70" i="236"/>
  <c r="M70" i="236"/>
  <c r="L71" i="236"/>
  <c r="M71" i="236"/>
  <c r="L72" i="236"/>
  <c r="M72" i="236"/>
  <c r="L73" i="236"/>
  <c r="M73" i="236"/>
  <c r="L76" i="236"/>
  <c r="M76" i="236"/>
  <c r="L77" i="236"/>
  <c r="M77" i="236"/>
  <c r="L78" i="236"/>
  <c r="M78" i="236"/>
  <c r="L79" i="236"/>
  <c r="M79" i="236"/>
  <c r="L80" i="236"/>
  <c r="M80" i="236"/>
  <c r="L81" i="236"/>
  <c r="M81" i="236"/>
  <c r="L82" i="236"/>
  <c r="M82" i="236"/>
  <c r="L83" i="236"/>
  <c r="M83" i="236"/>
  <c r="L84" i="236"/>
  <c r="M84" i="236"/>
  <c r="L50" i="236"/>
  <c r="M50" i="236"/>
  <c r="L51" i="236"/>
  <c r="M51" i="236"/>
  <c r="L52" i="236"/>
  <c r="M52" i="236"/>
  <c r="L53" i="236"/>
  <c r="M53" i="236"/>
  <c r="L54" i="236"/>
  <c r="M54" i="236"/>
  <c r="L55" i="236"/>
  <c r="M55" i="236"/>
  <c r="L57" i="236"/>
  <c r="M57" i="236"/>
  <c r="L58" i="236"/>
  <c r="M58" i="236"/>
  <c r="L29" i="236"/>
  <c r="M29" i="236"/>
  <c r="L30" i="236"/>
  <c r="M30" i="236"/>
  <c r="L31" i="236"/>
  <c r="M31" i="236"/>
  <c r="L32" i="236"/>
  <c r="M32" i="236"/>
  <c r="L33" i="236"/>
  <c r="M33" i="236"/>
  <c r="L34" i="236"/>
  <c r="M34" i="236"/>
  <c r="L35" i="236"/>
  <c r="M35" i="236"/>
  <c r="L36" i="236"/>
  <c r="M36" i="236"/>
  <c r="L37" i="236"/>
  <c r="M37" i="236"/>
  <c r="L38" i="236"/>
  <c r="M38" i="236"/>
  <c r="L39" i="236"/>
  <c r="M39" i="236"/>
  <c r="L40" i="236"/>
  <c r="M40" i="236"/>
  <c r="L41" i="236"/>
  <c r="M41" i="236"/>
  <c r="L42" i="236"/>
  <c r="M42" i="236"/>
  <c r="L43" i="236"/>
  <c r="M43" i="236"/>
  <c r="L44" i="236"/>
  <c r="M44" i="236"/>
  <c r="L45" i="236"/>
  <c r="M45" i="236"/>
  <c r="L22" i="236"/>
  <c r="M22" i="236"/>
  <c r="L23" i="236"/>
  <c r="M23" i="236"/>
  <c r="L24" i="236"/>
  <c r="M24" i="236"/>
  <c r="L16" i="236"/>
  <c r="M16" i="236"/>
  <c r="L17" i="236"/>
  <c r="M17" i="236"/>
  <c r="C31" i="30"/>
  <c r="I17" i="30"/>
  <c r="I31" i="30" s="1"/>
  <c r="J17" i="30"/>
  <c r="J31" i="30" s="1"/>
  <c r="C32" i="30"/>
  <c r="I18" i="30"/>
  <c r="I25" i="30" s="1"/>
  <c r="C33" i="30"/>
  <c r="C34" i="30"/>
  <c r="P42" i="214"/>
  <c r="H25" i="30" s="1"/>
  <c r="P44" i="214"/>
  <c r="H26" i="30" s="1"/>
  <c r="P46" i="214"/>
  <c r="H27" i="30" s="1"/>
  <c r="C18" i="30"/>
  <c r="C19" i="30"/>
  <c r="H36" i="214"/>
  <c r="C20" i="30"/>
  <c r="C17" i="30"/>
  <c r="F17" i="30" s="1"/>
  <c r="D22" i="243"/>
  <c r="Q19" i="241"/>
  <c r="I19" i="243" s="1"/>
  <c r="Q16" i="241"/>
  <c r="I16" i="243" s="1"/>
  <c r="I13" i="243"/>
  <c r="J13" i="243"/>
  <c r="F13" i="243"/>
  <c r="K13" i="243" s="1"/>
  <c r="J41" i="231"/>
  <c r="J15" i="231"/>
  <c r="K15" i="231"/>
  <c r="J17" i="231"/>
  <c r="K17" i="231"/>
  <c r="O49" i="35"/>
  <c r="O17" i="35" s="1"/>
  <c r="M49" i="35"/>
  <c r="L49" i="35" s="1"/>
  <c r="H16" i="207"/>
  <c r="P8" i="228"/>
  <c r="P8" i="227"/>
  <c r="P8" i="226"/>
  <c r="P8" i="192"/>
  <c r="P8" i="193"/>
  <c r="P8" i="190"/>
  <c r="P8" i="44"/>
  <c r="P8" i="222" s="1"/>
  <c r="D8" i="79"/>
  <c r="D8" i="45"/>
  <c r="O9" i="46"/>
  <c r="J19" i="34"/>
  <c r="F15" i="107"/>
  <c r="D35" i="107"/>
  <c r="F35" i="107" s="1"/>
  <c r="F33" i="107"/>
  <c r="F32" i="107"/>
  <c r="F31" i="107"/>
  <c r="F30" i="107"/>
  <c r="F29" i="107"/>
  <c r="F28" i="107"/>
  <c r="F27" i="107"/>
  <c r="D23" i="107"/>
  <c r="F23" i="107" s="1"/>
  <c r="F21" i="107"/>
  <c r="F20" i="107"/>
  <c r="F19" i="107"/>
  <c r="F18" i="107"/>
  <c r="F17" i="107"/>
  <c r="A5" i="107"/>
  <c r="A4" i="107"/>
  <c r="A2" i="107"/>
  <c r="A1" i="107"/>
  <c r="J128" i="10"/>
  <c r="K128" i="10"/>
  <c r="L128" i="10"/>
  <c r="F66" i="248"/>
  <c r="F67" i="248"/>
  <c r="I67" i="248" s="1"/>
  <c r="I68" i="248"/>
  <c r="I69" i="248"/>
  <c r="I71" i="248"/>
  <c r="I72" i="248"/>
  <c r="I73" i="248"/>
  <c r="I75" i="248"/>
  <c r="I76" i="248"/>
  <c r="I77" i="248"/>
  <c r="I78" i="248"/>
  <c r="I79" i="248"/>
  <c r="I80" i="248"/>
  <c r="I81" i="248"/>
  <c r="I82" i="248"/>
  <c r="I83" i="248"/>
  <c r="I84" i="248"/>
  <c r="I85" i="248"/>
  <c r="I86" i="248"/>
  <c r="I87" i="248"/>
  <c r="I88" i="248"/>
  <c r="I89" i="248"/>
  <c r="I90" i="248"/>
  <c r="I91" i="248"/>
  <c r="I92" i="248"/>
  <c r="I93" i="248"/>
  <c r="I94" i="248"/>
  <c r="I95" i="248"/>
  <c r="I96" i="248"/>
  <c r="I97" i="248"/>
  <c r="I100" i="248"/>
  <c r="I101" i="248"/>
  <c r="D113" i="248"/>
  <c r="A5" i="248"/>
  <c r="A4" i="248"/>
  <c r="A2" i="248"/>
  <c r="A1" i="248"/>
  <c r="A67" i="248"/>
  <c r="A68" i="248" s="1"/>
  <c r="A69" i="248" s="1"/>
  <c r="A70" i="248" s="1"/>
  <c r="A71" i="248" s="1"/>
  <c r="A72" i="248" s="1"/>
  <c r="A73" i="248" s="1"/>
  <c r="A74" i="248" s="1"/>
  <c r="A75" i="248" s="1"/>
  <c r="A76" i="248" s="1"/>
  <c r="A77" i="248" s="1"/>
  <c r="A78" i="248" s="1"/>
  <c r="A79" i="248" s="1"/>
  <c r="A80" i="248" s="1"/>
  <c r="A81" i="248" s="1"/>
  <c r="A82" i="248" s="1"/>
  <c r="A83" i="248" s="1"/>
  <c r="A84" i="248" s="1"/>
  <c r="A85" i="248" s="1"/>
  <c r="A86" i="248" s="1"/>
  <c r="A87" i="248" s="1"/>
  <c r="A88" i="248" s="1"/>
  <c r="A89" i="248" s="1"/>
  <c r="A90" i="248" s="1"/>
  <c r="A91" i="248" s="1"/>
  <c r="A92" i="248" s="1"/>
  <c r="A93" i="248" s="1"/>
  <c r="A94" i="248" s="1"/>
  <c r="A95" i="248" s="1"/>
  <c r="A96" i="248" s="1"/>
  <c r="A97" i="248" s="1"/>
  <c r="A98" i="248" s="1"/>
  <c r="A99" i="248" s="1"/>
  <c r="A100" i="248" s="1"/>
  <c r="A101" i="248" s="1"/>
  <c r="A102" i="248" s="1"/>
  <c r="A103" i="248" s="1"/>
  <c r="A104" i="248" s="1"/>
  <c r="A105" i="248" s="1"/>
  <c r="A106" i="248" s="1"/>
  <c r="A107" i="248" s="1"/>
  <c r="A108" i="248" s="1"/>
  <c r="A109" i="248" s="1"/>
  <c r="A110" i="248" s="1"/>
  <c r="A111" i="248" s="1"/>
  <c r="G34" i="103"/>
  <c r="G27" i="103"/>
  <c r="G20" i="103"/>
  <c r="A1" i="247"/>
  <c r="A2" i="247"/>
  <c r="J13" i="247"/>
  <c r="J14" i="247"/>
  <c r="H16" i="213"/>
  <c r="G17" i="213"/>
  <c r="H17" i="213"/>
  <c r="H17" i="207"/>
  <c r="G22" i="213"/>
  <c r="H22" i="213"/>
  <c r="G23" i="213"/>
  <c r="H23" i="213"/>
  <c r="G24" i="213"/>
  <c r="H24" i="213"/>
  <c r="G22" i="207"/>
  <c r="H22" i="207"/>
  <c r="G23" i="207"/>
  <c r="H23" i="207"/>
  <c r="G24" i="207"/>
  <c r="H24" i="207"/>
  <c r="G29" i="213"/>
  <c r="H29" i="213"/>
  <c r="G30" i="213"/>
  <c r="H30" i="213"/>
  <c r="G31" i="213"/>
  <c r="H31" i="213"/>
  <c r="G32" i="213"/>
  <c r="H32" i="213"/>
  <c r="G33" i="213"/>
  <c r="H33" i="213"/>
  <c r="G34" i="213"/>
  <c r="H34" i="213"/>
  <c r="G35" i="213"/>
  <c r="H35" i="213"/>
  <c r="G36" i="213"/>
  <c r="H36" i="213"/>
  <c r="G37" i="213"/>
  <c r="H37" i="213"/>
  <c r="G38" i="213"/>
  <c r="H38" i="213"/>
  <c r="G39" i="213"/>
  <c r="H39" i="213"/>
  <c r="G40" i="213"/>
  <c r="H40" i="213"/>
  <c r="G41" i="213"/>
  <c r="H41" i="213"/>
  <c r="G42" i="213"/>
  <c r="H42" i="213"/>
  <c r="G43" i="213"/>
  <c r="H43" i="213"/>
  <c r="G44" i="213"/>
  <c r="H44" i="213"/>
  <c r="G45" i="213"/>
  <c r="H45" i="213"/>
  <c r="G29" i="207"/>
  <c r="H29" i="207"/>
  <c r="G30" i="207"/>
  <c r="H30" i="207"/>
  <c r="G31" i="207"/>
  <c r="H31" i="207"/>
  <c r="G32" i="207"/>
  <c r="H32" i="207"/>
  <c r="G33" i="207"/>
  <c r="H33" i="207"/>
  <c r="G34" i="207"/>
  <c r="H34" i="207"/>
  <c r="G35" i="207"/>
  <c r="H35" i="207"/>
  <c r="G36" i="207"/>
  <c r="H36" i="207"/>
  <c r="G37" i="207"/>
  <c r="H37" i="207"/>
  <c r="G38" i="207"/>
  <c r="H38" i="207"/>
  <c r="G39" i="207"/>
  <c r="H39" i="207"/>
  <c r="G40" i="207"/>
  <c r="H40" i="207"/>
  <c r="G41" i="207"/>
  <c r="H41" i="207"/>
  <c r="G42" i="207"/>
  <c r="H42" i="207"/>
  <c r="G43" i="207"/>
  <c r="H43" i="207"/>
  <c r="G44" i="207"/>
  <c r="H44" i="207"/>
  <c r="G45" i="207"/>
  <c r="H45" i="207"/>
  <c r="G50" i="213"/>
  <c r="H50" i="213"/>
  <c r="G51" i="213"/>
  <c r="H51" i="213"/>
  <c r="G52" i="213"/>
  <c r="H52" i="213"/>
  <c r="G53" i="213"/>
  <c r="H53" i="213"/>
  <c r="G54" i="213"/>
  <c r="H54" i="213"/>
  <c r="G55" i="213"/>
  <c r="H55" i="213"/>
  <c r="G57" i="213"/>
  <c r="H57" i="213"/>
  <c r="G58" i="213"/>
  <c r="H58" i="213"/>
  <c r="G50" i="207"/>
  <c r="H50" i="207"/>
  <c r="G51" i="207"/>
  <c r="H51" i="207"/>
  <c r="G52" i="207"/>
  <c r="H52" i="207"/>
  <c r="G53" i="207"/>
  <c r="H53" i="207"/>
  <c r="G54" i="207"/>
  <c r="H54" i="207"/>
  <c r="G55" i="207"/>
  <c r="H55" i="207"/>
  <c r="G57" i="207"/>
  <c r="H57" i="207"/>
  <c r="G58" i="207"/>
  <c r="H58" i="207"/>
  <c r="G63" i="213"/>
  <c r="H63" i="213"/>
  <c r="G64" i="213"/>
  <c r="H64" i="213"/>
  <c r="G65" i="213"/>
  <c r="H65" i="213"/>
  <c r="G66" i="213"/>
  <c r="H66" i="213"/>
  <c r="G67" i="213"/>
  <c r="H67" i="213"/>
  <c r="G68" i="213"/>
  <c r="H68" i="213"/>
  <c r="G69" i="213"/>
  <c r="H69" i="213"/>
  <c r="G70" i="213"/>
  <c r="H70" i="213"/>
  <c r="G71" i="213"/>
  <c r="H71" i="213"/>
  <c r="G72" i="213"/>
  <c r="H72" i="213"/>
  <c r="G73" i="213"/>
  <c r="H73" i="213"/>
  <c r="G76" i="213"/>
  <c r="H76" i="213"/>
  <c r="G77" i="213"/>
  <c r="H77" i="213"/>
  <c r="G78" i="213"/>
  <c r="H78" i="213"/>
  <c r="G79" i="213"/>
  <c r="H79" i="213"/>
  <c r="G80" i="213"/>
  <c r="H80" i="213"/>
  <c r="G81" i="213"/>
  <c r="H81" i="213"/>
  <c r="G82" i="213"/>
  <c r="H82" i="213"/>
  <c r="G83" i="213"/>
  <c r="H83" i="213"/>
  <c r="G84" i="213"/>
  <c r="H84" i="213"/>
  <c r="G63" i="207"/>
  <c r="H63" i="207"/>
  <c r="G64" i="207"/>
  <c r="H64" i="207"/>
  <c r="G65" i="207"/>
  <c r="H65" i="207"/>
  <c r="G66" i="207"/>
  <c r="H66" i="207"/>
  <c r="G67" i="207"/>
  <c r="H67" i="207"/>
  <c r="G68" i="207"/>
  <c r="H68" i="207"/>
  <c r="G69" i="207"/>
  <c r="H69" i="207"/>
  <c r="G70" i="207"/>
  <c r="H70" i="207"/>
  <c r="G71" i="207"/>
  <c r="H71" i="207"/>
  <c r="G72" i="207"/>
  <c r="H72" i="207"/>
  <c r="G73" i="207"/>
  <c r="H73" i="207"/>
  <c r="G76" i="207"/>
  <c r="H76" i="207"/>
  <c r="G77" i="207"/>
  <c r="H77" i="207"/>
  <c r="G78" i="207"/>
  <c r="H78" i="207"/>
  <c r="G79" i="207"/>
  <c r="H79" i="207"/>
  <c r="G80" i="207"/>
  <c r="H80" i="207"/>
  <c r="G81" i="207"/>
  <c r="H81" i="207"/>
  <c r="G82" i="207"/>
  <c r="H82" i="207"/>
  <c r="G83" i="207"/>
  <c r="H83" i="207"/>
  <c r="G84" i="207"/>
  <c r="H84" i="207"/>
  <c r="F130" i="207"/>
  <c r="F131" i="207"/>
  <c r="F132" i="207"/>
  <c r="F133" i="207"/>
  <c r="F134" i="207"/>
  <c r="F136" i="207"/>
  <c r="F135" i="207"/>
  <c r="F137" i="207"/>
  <c r="F138" i="207"/>
  <c r="F139" i="207"/>
  <c r="F140" i="207"/>
  <c r="F141" i="207"/>
  <c r="F142" i="207"/>
  <c r="F143" i="207"/>
  <c r="F144" i="207"/>
  <c r="F145" i="207"/>
  <c r="F146" i="207"/>
  <c r="F147" i="207"/>
  <c r="F148" i="207"/>
  <c r="F149" i="207"/>
  <c r="F150" i="207"/>
  <c r="G89" i="213"/>
  <c r="H89" i="213"/>
  <c r="G90" i="213"/>
  <c r="H90" i="213"/>
  <c r="G91" i="213"/>
  <c r="H91" i="213"/>
  <c r="G92" i="213"/>
  <c r="H92" i="213"/>
  <c r="G93" i="213"/>
  <c r="H93" i="213"/>
  <c r="G94" i="213"/>
  <c r="H94" i="213"/>
  <c r="G95" i="213"/>
  <c r="H95" i="213"/>
  <c r="G110" i="213"/>
  <c r="H110" i="213"/>
  <c r="G111" i="213"/>
  <c r="H111" i="213"/>
  <c r="G112" i="213"/>
  <c r="H112" i="213"/>
  <c r="G113" i="213"/>
  <c r="H113" i="213"/>
  <c r="G89" i="207"/>
  <c r="H89" i="207"/>
  <c r="G90" i="207"/>
  <c r="H90" i="207"/>
  <c r="G91" i="207"/>
  <c r="H91" i="207"/>
  <c r="G92" i="207"/>
  <c r="H92" i="207"/>
  <c r="G93" i="207"/>
  <c r="H93" i="207"/>
  <c r="G94" i="207"/>
  <c r="H94" i="207"/>
  <c r="G95" i="207"/>
  <c r="H112" i="207"/>
  <c r="G113" i="207"/>
  <c r="H113" i="207"/>
  <c r="G89" i="209"/>
  <c r="H89" i="209"/>
  <c r="G90" i="209"/>
  <c r="H90" i="209"/>
  <c r="G91" i="209"/>
  <c r="H91" i="209"/>
  <c r="G92" i="209"/>
  <c r="H92" i="209"/>
  <c r="G93" i="209"/>
  <c r="H93" i="209"/>
  <c r="G94" i="209"/>
  <c r="H94" i="209"/>
  <c r="G95" i="209"/>
  <c r="H95" i="209"/>
  <c r="G101" i="209"/>
  <c r="H101" i="209"/>
  <c r="G102" i="209"/>
  <c r="H102" i="209"/>
  <c r="G103" i="209"/>
  <c r="H103" i="209"/>
  <c r="G104" i="209"/>
  <c r="H104" i="209"/>
  <c r="G105" i="209"/>
  <c r="H105" i="209"/>
  <c r="G106" i="209"/>
  <c r="H106" i="209"/>
  <c r="G107" i="209"/>
  <c r="H107" i="209"/>
  <c r="G108" i="209"/>
  <c r="H108" i="209"/>
  <c r="G109" i="209"/>
  <c r="H109" i="209"/>
  <c r="G110" i="209"/>
  <c r="H110" i="209"/>
  <c r="G111" i="209"/>
  <c r="H111" i="209"/>
  <c r="G112" i="209"/>
  <c r="H112" i="209"/>
  <c r="G113" i="209"/>
  <c r="H113" i="209"/>
  <c r="G114" i="209"/>
  <c r="H114" i="209"/>
  <c r="G63" i="209"/>
  <c r="H63" i="209"/>
  <c r="G64" i="209"/>
  <c r="H64" i="209"/>
  <c r="G65" i="209"/>
  <c r="H65" i="209"/>
  <c r="G66" i="209"/>
  <c r="H66" i="209"/>
  <c r="G67" i="209"/>
  <c r="H67" i="209"/>
  <c r="G68" i="209"/>
  <c r="H68" i="209"/>
  <c r="G69" i="209"/>
  <c r="H69" i="209"/>
  <c r="G70" i="209"/>
  <c r="H70" i="209"/>
  <c r="G71" i="209"/>
  <c r="H71" i="209"/>
  <c r="G72" i="209"/>
  <c r="H72" i="209"/>
  <c r="G73" i="209"/>
  <c r="H73" i="209"/>
  <c r="G76" i="209"/>
  <c r="H76" i="209"/>
  <c r="G77" i="209"/>
  <c r="H77" i="209"/>
  <c r="G78" i="209"/>
  <c r="H78" i="209"/>
  <c r="G79" i="209"/>
  <c r="H79" i="209"/>
  <c r="G80" i="209"/>
  <c r="H80" i="209"/>
  <c r="G81" i="209"/>
  <c r="H81" i="209"/>
  <c r="G82" i="209"/>
  <c r="H82" i="209"/>
  <c r="G83" i="209"/>
  <c r="H83" i="209"/>
  <c r="G84" i="209"/>
  <c r="H84" i="209"/>
  <c r="G50" i="209"/>
  <c r="H50" i="209"/>
  <c r="G51" i="209"/>
  <c r="H51" i="209"/>
  <c r="G52" i="209"/>
  <c r="H52" i="209"/>
  <c r="G53" i="209"/>
  <c r="H53" i="209"/>
  <c r="G54" i="209"/>
  <c r="H54" i="209"/>
  <c r="G55" i="209"/>
  <c r="H55" i="209"/>
  <c r="G57" i="209"/>
  <c r="H57" i="209"/>
  <c r="G58" i="209"/>
  <c r="H58" i="209"/>
  <c r="G29" i="209"/>
  <c r="H29" i="209"/>
  <c r="G30" i="209"/>
  <c r="H30" i="209"/>
  <c r="G31" i="209"/>
  <c r="H31" i="209"/>
  <c r="G32" i="209"/>
  <c r="H32" i="209"/>
  <c r="G33" i="209"/>
  <c r="H33" i="209"/>
  <c r="G34" i="209"/>
  <c r="H34" i="209"/>
  <c r="G35" i="209"/>
  <c r="H35" i="209"/>
  <c r="G36" i="209"/>
  <c r="H36" i="209"/>
  <c r="G37" i="209"/>
  <c r="H37" i="209"/>
  <c r="G38" i="209"/>
  <c r="H38" i="209"/>
  <c r="G39" i="209"/>
  <c r="H39" i="209"/>
  <c r="G40" i="209"/>
  <c r="H40" i="209"/>
  <c r="G41" i="209"/>
  <c r="H41" i="209"/>
  <c r="G42" i="209"/>
  <c r="H42" i="209"/>
  <c r="G43" i="209"/>
  <c r="H43" i="209"/>
  <c r="G44" i="209"/>
  <c r="H44" i="209"/>
  <c r="G45" i="209"/>
  <c r="H45" i="209"/>
  <c r="G22" i="209"/>
  <c r="H22" i="209"/>
  <c r="G23" i="209"/>
  <c r="H23" i="209"/>
  <c r="G24" i="209"/>
  <c r="H24" i="209"/>
  <c r="H16" i="209"/>
  <c r="G17" i="209"/>
  <c r="H17" i="209"/>
  <c r="F129" i="236"/>
  <c r="F130" i="236"/>
  <c r="F131" i="236"/>
  <c r="F132" i="236"/>
  <c r="F133" i="236"/>
  <c r="F134" i="236"/>
  <c r="F135" i="236"/>
  <c r="F136" i="236"/>
  <c r="F137" i="236"/>
  <c r="F138" i="236"/>
  <c r="F139" i="236"/>
  <c r="F140" i="236"/>
  <c r="F141" i="236"/>
  <c r="F142" i="236"/>
  <c r="F143" i="236"/>
  <c r="F144" i="236"/>
  <c r="F145" i="236"/>
  <c r="F146" i="236"/>
  <c r="F147" i="236"/>
  <c r="F148" i="236"/>
  <c r="F149" i="236"/>
  <c r="G89" i="236"/>
  <c r="H89" i="236"/>
  <c r="G90" i="236"/>
  <c r="H90" i="236"/>
  <c r="G91" i="236"/>
  <c r="H91" i="236"/>
  <c r="G92" i="236"/>
  <c r="H92" i="236"/>
  <c r="G93" i="236"/>
  <c r="H93" i="236"/>
  <c r="G94" i="236"/>
  <c r="H94" i="236"/>
  <c r="G95" i="236"/>
  <c r="H95" i="236"/>
  <c r="G96" i="236"/>
  <c r="H96" i="236"/>
  <c r="G97" i="236"/>
  <c r="H97" i="236"/>
  <c r="G98" i="236"/>
  <c r="H98" i="236"/>
  <c r="G99" i="236"/>
  <c r="H99" i="236"/>
  <c r="G100" i="236"/>
  <c r="H100" i="236"/>
  <c r="G101" i="236"/>
  <c r="H101" i="236"/>
  <c r="G102" i="236"/>
  <c r="H102" i="236"/>
  <c r="G103" i="236"/>
  <c r="H103" i="236"/>
  <c r="G104" i="236"/>
  <c r="H104" i="236"/>
  <c r="G105" i="236"/>
  <c r="H105" i="236"/>
  <c r="G111" i="236"/>
  <c r="H111" i="236"/>
  <c r="G112" i="236"/>
  <c r="H112" i="236"/>
  <c r="G113" i="236"/>
  <c r="H113" i="236"/>
  <c r="G114" i="236"/>
  <c r="H114" i="236"/>
  <c r="G63" i="236"/>
  <c r="H63" i="236"/>
  <c r="G64" i="236"/>
  <c r="H64" i="236"/>
  <c r="G65" i="236"/>
  <c r="H65" i="236"/>
  <c r="G66" i="236"/>
  <c r="H66" i="236"/>
  <c r="G67" i="236"/>
  <c r="H67" i="236"/>
  <c r="G68" i="236"/>
  <c r="H68" i="236"/>
  <c r="G69" i="236"/>
  <c r="H69" i="236"/>
  <c r="G70" i="236"/>
  <c r="H70" i="236"/>
  <c r="G71" i="236"/>
  <c r="H71" i="236"/>
  <c r="G72" i="236"/>
  <c r="H72" i="236"/>
  <c r="G73" i="236"/>
  <c r="H73" i="236"/>
  <c r="G76" i="236"/>
  <c r="H76" i="236"/>
  <c r="G77" i="236"/>
  <c r="H77" i="236"/>
  <c r="G78" i="236"/>
  <c r="H78" i="236"/>
  <c r="G79" i="236"/>
  <c r="H79" i="236"/>
  <c r="G80" i="236"/>
  <c r="H80" i="236"/>
  <c r="G81" i="236"/>
  <c r="H81" i="236"/>
  <c r="G82" i="236"/>
  <c r="H82" i="236"/>
  <c r="G83" i="236"/>
  <c r="H83" i="236"/>
  <c r="G84" i="236"/>
  <c r="H84" i="236"/>
  <c r="G50" i="236"/>
  <c r="H50" i="236"/>
  <c r="G51" i="236"/>
  <c r="H51" i="236"/>
  <c r="G52" i="236"/>
  <c r="H52" i="236"/>
  <c r="G53" i="236"/>
  <c r="H53" i="236"/>
  <c r="G54" i="236"/>
  <c r="H54" i="236"/>
  <c r="G55" i="236"/>
  <c r="H55" i="236"/>
  <c r="G57" i="236"/>
  <c r="H57" i="236"/>
  <c r="G58" i="236"/>
  <c r="H58" i="236"/>
  <c r="G29" i="236"/>
  <c r="H29" i="236"/>
  <c r="G30" i="236"/>
  <c r="H30" i="236"/>
  <c r="G31" i="236"/>
  <c r="H31" i="236"/>
  <c r="G32" i="236"/>
  <c r="H32" i="236"/>
  <c r="G33" i="236"/>
  <c r="H33" i="236"/>
  <c r="G34" i="236"/>
  <c r="H34" i="236"/>
  <c r="G35" i="236"/>
  <c r="H35" i="236"/>
  <c r="G36" i="236"/>
  <c r="H36" i="236"/>
  <c r="G37" i="236"/>
  <c r="H37" i="236"/>
  <c r="G38" i="236"/>
  <c r="H38" i="236"/>
  <c r="G39" i="236"/>
  <c r="H39" i="236"/>
  <c r="G40" i="236"/>
  <c r="H40" i="236"/>
  <c r="G41" i="236"/>
  <c r="H41" i="236"/>
  <c r="G42" i="236"/>
  <c r="H42" i="236"/>
  <c r="G43" i="236"/>
  <c r="H43" i="236"/>
  <c r="G44" i="236"/>
  <c r="H44" i="236"/>
  <c r="G45" i="236"/>
  <c r="H45" i="236"/>
  <c r="G22" i="236"/>
  <c r="H22" i="236"/>
  <c r="G23" i="236"/>
  <c r="H23" i="236"/>
  <c r="G24" i="236"/>
  <c r="H24" i="236"/>
  <c r="H16" i="236"/>
  <c r="G17" i="236"/>
  <c r="H17" i="236"/>
  <c r="L98" i="10"/>
  <c r="K98" i="10"/>
  <c r="J98" i="10"/>
  <c r="D13" i="244"/>
  <c r="M98" i="10"/>
  <c r="N98" i="10"/>
  <c r="O98" i="10"/>
  <c r="P98" i="10"/>
  <c r="Q98" i="10"/>
  <c r="R98" i="10"/>
  <c r="A2" i="212"/>
  <c r="A2" i="244" s="1"/>
  <c r="D40" i="51"/>
  <c r="D146" i="51" s="1"/>
  <c r="A1" i="245"/>
  <c r="A2" i="245"/>
  <c r="A3" i="245"/>
  <c r="A4" i="245"/>
  <c r="H18" i="102"/>
  <c r="E45" i="231"/>
  <c r="J45" i="231" s="1"/>
  <c r="E43" i="231"/>
  <c r="J43" i="231" s="1"/>
  <c r="J39" i="231"/>
  <c r="D19" i="244"/>
  <c r="D16" i="244"/>
  <c r="A1" i="212"/>
  <c r="A1" i="244" s="1"/>
  <c r="A3" i="212"/>
  <c r="A4" i="242" s="1"/>
  <c r="J22" i="244"/>
  <c r="D19" i="243"/>
  <c r="D16" i="243"/>
  <c r="J22" i="243"/>
  <c r="A7" i="137"/>
  <c r="A7" i="237" s="1"/>
  <c r="A8" i="242"/>
  <c r="A6" i="242"/>
  <c r="A8" i="233"/>
  <c r="A6" i="233"/>
  <c r="A7" i="3"/>
  <c r="A7" i="241" s="1"/>
  <c r="A6" i="241"/>
  <c r="A8" i="241"/>
  <c r="A2" i="34"/>
  <c r="A1" i="34"/>
  <c r="A5" i="34"/>
  <c r="A4" i="34"/>
  <c r="J33" i="39"/>
  <c r="I34" i="39"/>
  <c r="J34" i="41"/>
  <c r="J36" i="41"/>
  <c r="I34" i="41"/>
  <c r="I36" i="41"/>
  <c r="H34" i="41"/>
  <c r="H36" i="41"/>
  <c r="H33" i="41"/>
  <c r="H16" i="103"/>
  <c r="I16" i="103" s="1"/>
  <c r="D17" i="103"/>
  <c r="H17" i="103" s="1"/>
  <c r="I17" i="103" s="1"/>
  <c r="D18" i="103"/>
  <c r="H18" i="103" s="1"/>
  <c r="D19" i="103"/>
  <c r="E19" i="103" s="1"/>
  <c r="G41" i="103"/>
  <c r="E16" i="103"/>
  <c r="C41" i="103"/>
  <c r="A5" i="103"/>
  <c r="A4" i="103"/>
  <c r="A2" i="103"/>
  <c r="A1" i="103"/>
  <c r="H13" i="103"/>
  <c r="H12" i="103"/>
  <c r="A1" i="239"/>
  <c r="A2" i="239"/>
  <c r="H11" i="239"/>
  <c r="H12" i="239"/>
  <c r="H15" i="239"/>
  <c r="A5" i="37"/>
  <c r="A4" i="37"/>
  <c r="A2" i="37"/>
  <c r="A1" i="37"/>
  <c r="A2" i="98"/>
  <c r="A1" i="98"/>
  <c r="A2" i="95"/>
  <c r="A1" i="95"/>
  <c r="A5" i="202"/>
  <c r="A4" i="202"/>
  <c r="A2" i="202"/>
  <c r="A1" i="202"/>
  <c r="A2" i="99"/>
  <c r="A1" i="99"/>
  <c r="A2" i="106"/>
  <c r="A1" i="106"/>
  <c r="I16" i="105"/>
  <c r="J16" i="105" s="1"/>
  <c r="J18" i="105" s="1"/>
  <c r="A5" i="105"/>
  <c r="A4" i="105"/>
  <c r="A2" i="105"/>
  <c r="A1" i="105"/>
  <c r="H12" i="102"/>
  <c r="H11" i="102"/>
  <c r="A5" i="102"/>
  <c r="A4" i="102"/>
  <c r="A2" i="102"/>
  <c r="A1" i="102"/>
  <c r="A5" i="100"/>
  <c r="A4" i="100"/>
  <c r="A2" i="100"/>
  <c r="A1" i="100"/>
  <c r="H73" i="100"/>
  <c r="D73" i="100"/>
  <c r="E48" i="100"/>
  <c r="E19" i="100"/>
  <c r="E49" i="100" s="1"/>
  <c r="E20" i="100"/>
  <c r="I20" i="100" s="1"/>
  <c r="E21" i="100"/>
  <c r="E51" i="100" s="1"/>
  <c r="I18" i="100"/>
  <c r="I48" i="100" s="1"/>
  <c r="I13" i="100"/>
  <c r="I12" i="100"/>
  <c r="A5" i="10"/>
  <c r="A4" i="10"/>
  <c r="A2" i="10"/>
  <c r="A1" i="10"/>
  <c r="A5" i="36"/>
  <c r="A4" i="36"/>
  <c r="A2" i="36"/>
  <c r="A1" i="36"/>
  <c r="A4" i="8"/>
  <c r="A2" i="8"/>
  <c r="A1" i="8"/>
  <c r="A8" i="5"/>
  <c r="A9" i="5"/>
  <c r="A7" i="5"/>
  <c r="A2" i="5"/>
  <c r="A1" i="5"/>
  <c r="A5" i="84"/>
  <c r="A4" i="84"/>
  <c r="A1" i="84"/>
  <c r="D9" i="238"/>
  <c r="E9" i="238"/>
  <c r="F9" i="238"/>
  <c r="G9" i="238"/>
  <c r="H9" i="238"/>
  <c r="I9" i="238"/>
  <c r="J9" i="238"/>
  <c r="K9" i="238"/>
  <c r="L9" i="238"/>
  <c r="M9" i="238"/>
  <c r="N9" i="238"/>
  <c r="D10" i="238"/>
  <c r="E10" i="238"/>
  <c r="F10" i="238"/>
  <c r="G10" i="238"/>
  <c r="H10" i="238"/>
  <c r="I10" i="238"/>
  <c r="J10" i="238"/>
  <c r="K10" i="238"/>
  <c r="L10" i="238"/>
  <c r="M10" i="238"/>
  <c r="N10" i="238"/>
  <c r="C10" i="238"/>
  <c r="C9" i="238"/>
  <c r="A7" i="79"/>
  <c r="A7" i="238" s="1"/>
  <c r="A8" i="238"/>
  <c r="A6" i="238"/>
  <c r="A4" i="238"/>
  <c r="A1" i="238"/>
  <c r="A2" i="238"/>
  <c r="O10" i="238"/>
  <c r="A1" i="237"/>
  <c r="A2" i="237"/>
  <c r="A6" i="237"/>
  <c r="A8" i="237"/>
  <c r="A8" i="236"/>
  <c r="A6" i="236"/>
  <c r="A4" i="236"/>
  <c r="A1" i="236"/>
  <c r="A2" i="236"/>
  <c r="E19" i="236"/>
  <c r="E26" i="236"/>
  <c r="E47" i="236"/>
  <c r="E60" i="236"/>
  <c r="E86" i="236"/>
  <c r="E116" i="236"/>
  <c r="E126" i="236"/>
  <c r="D151" i="236"/>
  <c r="E151" i="236"/>
  <c r="K151" i="236"/>
  <c r="E177" i="236"/>
  <c r="E261" i="236"/>
  <c r="K152" i="213"/>
  <c r="E179" i="209"/>
  <c r="E60" i="209"/>
  <c r="K153" i="209"/>
  <c r="E116" i="209"/>
  <c r="E86" i="209"/>
  <c r="E47" i="209"/>
  <c r="E26" i="209"/>
  <c r="E19" i="209"/>
  <c r="E128" i="209"/>
  <c r="E153" i="209"/>
  <c r="D153" i="209"/>
  <c r="A8" i="209"/>
  <c r="A6" i="209"/>
  <c r="A4" i="209"/>
  <c r="H27" i="102"/>
  <c r="A1" i="235"/>
  <c r="A2" i="235"/>
  <c r="A3" i="235"/>
  <c r="A4" i="235"/>
  <c r="A8" i="230"/>
  <c r="A6" i="230"/>
  <c r="C61" i="228"/>
  <c r="B61" i="228"/>
  <c r="C36" i="227"/>
  <c r="B36" i="227"/>
  <c r="C45" i="226"/>
  <c r="B45" i="226"/>
  <c r="C61" i="192"/>
  <c r="B61" i="192"/>
  <c r="C36" i="193"/>
  <c r="B36" i="193"/>
  <c r="C45" i="190"/>
  <c r="B45" i="190"/>
  <c r="P10" i="228"/>
  <c r="A8" i="228"/>
  <c r="A6" i="228"/>
  <c r="A4" i="228"/>
  <c r="A1" i="228"/>
  <c r="A2" i="228"/>
  <c r="P12" i="228"/>
  <c r="P14" i="228"/>
  <c r="A8" i="227"/>
  <c r="A6" i="227"/>
  <c r="A4" i="227"/>
  <c r="A4" i="226"/>
  <c r="A1" i="227"/>
  <c r="A2" i="227"/>
  <c r="P10" i="227"/>
  <c r="P12" i="227"/>
  <c r="P13" i="227"/>
  <c r="P12" i="226"/>
  <c r="P13" i="226"/>
  <c r="A8" i="226"/>
  <c r="A6" i="226"/>
  <c r="A1" i="226"/>
  <c r="A2" i="226"/>
  <c r="P10" i="226"/>
  <c r="A4" i="222"/>
  <c r="A8" i="222"/>
  <c r="A6" i="222"/>
  <c r="A1" i="222"/>
  <c r="A2" i="222"/>
  <c r="A2" i="221"/>
  <c r="A3" i="221"/>
  <c r="A4" i="221"/>
  <c r="A1" i="221"/>
  <c r="A4" i="48"/>
  <c r="A2" i="48"/>
  <c r="A1" i="48"/>
  <c r="A4" i="49"/>
  <c r="A2" i="49"/>
  <c r="A1" i="49"/>
  <c r="A4" i="212"/>
  <c r="A4" i="50" s="1"/>
  <c r="A2" i="50"/>
  <c r="A1" i="50"/>
  <c r="A2" i="51"/>
  <c r="A1" i="51"/>
  <c r="C31" i="215"/>
  <c r="D31" i="215"/>
  <c r="E31" i="215"/>
  <c r="C32" i="215"/>
  <c r="D32" i="215"/>
  <c r="E33" i="30"/>
  <c r="D32" i="30"/>
  <c r="D31" i="30"/>
  <c r="E31" i="30"/>
  <c r="D152" i="213"/>
  <c r="A3" i="216"/>
  <c r="A4" i="233" s="1"/>
  <c r="C27" i="215"/>
  <c r="C26" i="215"/>
  <c r="C25" i="215"/>
  <c r="D25" i="215"/>
  <c r="D24" i="215"/>
  <c r="E24" i="215"/>
  <c r="O37" i="216"/>
  <c r="C20" i="215" s="1"/>
  <c r="C27" i="30"/>
  <c r="C26" i="30"/>
  <c r="C25" i="30"/>
  <c r="D25" i="30"/>
  <c r="D24" i="30"/>
  <c r="E24" i="30"/>
  <c r="A1" i="216"/>
  <c r="A2" i="216"/>
  <c r="D37" i="216"/>
  <c r="E37" i="216"/>
  <c r="F37" i="216"/>
  <c r="G37" i="216"/>
  <c r="H37" i="216"/>
  <c r="I37" i="216"/>
  <c r="J37" i="216"/>
  <c r="K37" i="216"/>
  <c r="L37" i="216"/>
  <c r="M37" i="216"/>
  <c r="N37" i="216"/>
  <c r="A9" i="215"/>
  <c r="A7" i="215"/>
  <c r="H12" i="215"/>
  <c r="A3" i="214"/>
  <c r="A2" i="214"/>
  <c r="A1" i="214"/>
  <c r="A9" i="30"/>
  <c r="A7" i="30"/>
  <c r="A8" i="67"/>
  <c r="A6" i="67"/>
  <c r="A9" i="69"/>
  <c r="A7" i="69"/>
  <c r="A2" i="69"/>
  <c r="A1" i="69"/>
  <c r="A9" i="24"/>
  <c r="A7" i="24"/>
  <c r="A2" i="24"/>
  <c r="A1" i="24"/>
  <c r="A8" i="213"/>
  <c r="A6" i="213"/>
  <c r="A4" i="213"/>
  <c r="A1" i="213"/>
  <c r="A2" i="213"/>
  <c r="E19" i="213"/>
  <c r="E26" i="213"/>
  <c r="E47" i="213"/>
  <c r="E60" i="213"/>
  <c r="E86" i="213"/>
  <c r="E115" i="213"/>
  <c r="E127" i="213"/>
  <c r="E152" i="213"/>
  <c r="E177" i="213"/>
  <c r="K152" i="207"/>
  <c r="E127" i="207"/>
  <c r="E152" i="207"/>
  <c r="E177" i="207"/>
  <c r="E19" i="207"/>
  <c r="E26" i="207"/>
  <c r="E47" i="207"/>
  <c r="E60" i="207"/>
  <c r="E86" i="207"/>
  <c r="E115" i="207"/>
  <c r="D152" i="207"/>
  <c r="A7" i="171"/>
  <c r="A8" i="171"/>
  <c r="A6" i="171"/>
  <c r="A4" i="171"/>
  <c r="A2" i="171"/>
  <c r="A1" i="171"/>
  <c r="O10" i="171"/>
  <c r="N10" i="171"/>
  <c r="M10" i="171"/>
  <c r="L10" i="171"/>
  <c r="K10" i="171"/>
  <c r="J10" i="171"/>
  <c r="I10" i="171"/>
  <c r="H10" i="171"/>
  <c r="G10" i="171"/>
  <c r="F10" i="171"/>
  <c r="E10" i="171"/>
  <c r="D10" i="171"/>
  <c r="C10" i="171"/>
  <c r="N9" i="171"/>
  <c r="M9" i="171"/>
  <c r="L9" i="171"/>
  <c r="K9" i="171"/>
  <c r="H9" i="171"/>
  <c r="G9" i="171"/>
  <c r="F9" i="171"/>
  <c r="E9" i="171"/>
  <c r="D9" i="171"/>
  <c r="C9" i="171"/>
  <c r="A4" i="192"/>
  <c r="A2" i="192"/>
  <c r="A1" i="192"/>
  <c r="P10" i="192"/>
  <c r="O10" i="192"/>
  <c r="N10" i="192"/>
  <c r="M10" i="192"/>
  <c r="L10" i="192"/>
  <c r="K10" i="192"/>
  <c r="J10" i="192"/>
  <c r="I10" i="192"/>
  <c r="H10" i="192"/>
  <c r="G10" i="192"/>
  <c r="F10" i="192"/>
  <c r="D10" i="192"/>
  <c r="O9" i="192"/>
  <c r="N9" i="192"/>
  <c r="M9" i="192"/>
  <c r="L9" i="192"/>
  <c r="K9" i="192"/>
  <c r="J9" i="192"/>
  <c r="I9" i="192"/>
  <c r="H9" i="192"/>
  <c r="G9" i="192"/>
  <c r="F9" i="192"/>
  <c r="D9" i="192"/>
  <c r="A7" i="44"/>
  <c r="A7" i="192" s="1"/>
  <c r="A8" i="44"/>
  <c r="A8" i="192" s="1"/>
  <c r="A6" i="44"/>
  <c r="A6" i="192" s="1"/>
  <c r="A4" i="193"/>
  <c r="A2" i="193"/>
  <c r="A1" i="193"/>
  <c r="P10" i="193"/>
  <c r="O10" i="193"/>
  <c r="N10" i="193"/>
  <c r="M10" i="193"/>
  <c r="L10" i="193"/>
  <c r="K10" i="193"/>
  <c r="J10" i="193"/>
  <c r="I10" i="193"/>
  <c r="H10" i="193"/>
  <c r="G10" i="193"/>
  <c r="F10" i="193"/>
  <c r="D10" i="193"/>
  <c r="O9" i="193"/>
  <c r="N9" i="193"/>
  <c r="M9" i="193"/>
  <c r="L9" i="193"/>
  <c r="K9" i="193"/>
  <c r="J9" i="193"/>
  <c r="I9" i="193"/>
  <c r="H9" i="193"/>
  <c r="G9" i="193"/>
  <c r="F9" i="193"/>
  <c r="D9" i="193"/>
  <c r="A4" i="190"/>
  <c r="A2" i="190"/>
  <c r="A1" i="190"/>
  <c r="P13" i="190"/>
  <c r="F9" i="190"/>
  <c r="G9" i="190"/>
  <c r="H9" i="190"/>
  <c r="I9" i="190"/>
  <c r="J9" i="190"/>
  <c r="K9" i="190"/>
  <c r="L9" i="190"/>
  <c r="M9" i="190"/>
  <c r="N9" i="190"/>
  <c r="O9" i="190"/>
  <c r="F10" i="190"/>
  <c r="G10" i="190"/>
  <c r="H10" i="190"/>
  <c r="I10" i="190"/>
  <c r="J10" i="190"/>
  <c r="K10" i="190"/>
  <c r="L10" i="190"/>
  <c r="M10" i="190"/>
  <c r="N10" i="190"/>
  <c r="O10" i="190"/>
  <c r="P10" i="190"/>
  <c r="D10" i="190"/>
  <c r="D9" i="190"/>
  <c r="A4" i="44"/>
  <c r="A2" i="44"/>
  <c r="A1" i="44"/>
  <c r="A4" i="4"/>
  <c r="A2" i="4"/>
  <c r="A1" i="4"/>
  <c r="G36" i="39"/>
  <c r="G35" i="39"/>
  <c r="G34" i="39"/>
  <c r="G33" i="39"/>
  <c r="G30" i="39"/>
  <c r="H35" i="39"/>
  <c r="A5" i="39"/>
  <c r="A4" i="39"/>
  <c r="A2" i="39"/>
  <c r="A1" i="39"/>
  <c r="A2" i="41"/>
  <c r="A4" i="41"/>
  <c r="A5" i="41"/>
  <c r="A1" i="41"/>
  <c r="G36" i="41"/>
  <c r="G35" i="41"/>
  <c r="G34" i="41"/>
  <c r="G33" i="41"/>
  <c r="G30" i="41"/>
  <c r="G22" i="41"/>
  <c r="H35" i="41"/>
  <c r="A5" i="42"/>
  <c r="A4" i="42"/>
  <c r="A2" i="42"/>
  <c r="A1" i="42"/>
  <c r="D19" i="42"/>
  <c r="A5" i="35"/>
  <c r="A4" i="35"/>
  <c r="A2" i="35"/>
  <c r="A1" i="35"/>
  <c r="A4" i="79"/>
  <c r="A2" i="79"/>
  <c r="A1" i="79"/>
  <c r="A4" i="45"/>
  <c r="A2" i="45"/>
  <c r="A1" i="211"/>
  <c r="A2" i="211"/>
  <c r="A3" i="211"/>
  <c r="A4" i="211"/>
  <c r="A8" i="46"/>
  <c r="A9" i="46"/>
  <c r="A7" i="46"/>
  <c r="A5" i="46"/>
  <c r="A4" i="46"/>
  <c r="A2" i="46"/>
  <c r="A1" i="46"/>
  <c r="A4" i="47"/>
  <c r="A2" i="47"/>
  <c r="A1" i="47"/>
  <c r="A4" i="67"/>
  <c r="A2" i="67"/>
  <c r="A1" i="67"/>
  <c r="A8" i="31"/>
  <c r="A6" i="31"/>
  <c r="A2" i="31"/>
  <c r="A1" i="31"/>
  <c r="A1" i="209"/>
  <c r="A2" i="209"/>
  <c r="A2" i="137"/>
  <c r="A1" i="137"/>
  <c r="A2" i="3"/>
  <c r="A1" i="3"/>
  <c r="A8" i="207"/>
  <c r="A6" i="207"/>
  <c r="A4" i="207"/>
  <c r="A2" i="207"/>
  <c r="A1" i="207"/>
  <c r="A4" i="1"/>
  <c r="A2" i="1"/>
  <c r="A1" i="1"/>
  <c r="A4" i="206"/>
  <c r="A2" i="206"/>
  <c r="A3" i="206"/>
  <c r="A1" i="206"/>
  <c r="A4" i="205"/>
  <c r="A3" i="205"/>
  <c r="A2" i="205"/>
  <c r="A1" i="205"/>
  <c r="J25" i="10"/>
  <c r="J27" i="10" s="1"/>
  <c r="K25" i="10"/>
  <c r="K27" i="10" s="1"/>
  <c r="L25" i="10"/>
  <c r="L27" i="10" s="1"/>
  <c r="M25" i="10"/>
  <c r="M27" i="10" s="1"/>
  <c r="N25" i="10"/>
  <c r="N27" i="10" s="1"/>
  <c r="O25" i="10"/>
  <c r="O27" i="10" s="1"/>
  <c r="P25" i="10"/>
  <c r="P27" i="10" s="1"/>
  <c r="Q25" i="10"/>
  <c r="Q27" i="10" s="1"/>
  <c r="R25" i="10"/>
  <c r="R27" i="10" s="1"/>
  <c r="J31" i="10"/>
  <c r="K31" i="10"/>
  <c r="L31" i="10"/>
  <c r="M31" i="10"/>
  <c r="N31" i="10"/>
  <c r="O31" i="10"/>
  <c r="P31" i="10"/>
  <c r="Q31" i="10"/>
  <c r="R31" i="10"/>
  <c r="J45" i="10"/>
  <c r="K45" i="10"/>
  <c r="L45" i="10"/>
  <c r="M45" i="10"/>
  <c r="N45" i="10"/>
  <c r="P45" i="10"/>
  <c r="Q45" i="10"/>
  <c r="R45" i="10"/>
  <c r="O55" i="10"/>
  <c r="O58" i="10" s="1"/>
  <c r="O60" i="10" s="1"/>
  <c r="O62" i="10" s="1"/>
  <c r="Q55" i="10"/>
  <c r="Q58" i="10" s="1"/>
  <c r="Q60" i="10" s="1"/>
  <c r="Q62" i="10" s="1"/>
  <c r="R55" i="10"/>
  <c r="R58" i="10" s="1"/>
  <c r="R60" i="10" s="1"/>
  <c r="R62" i="10" s="1"/>
  <c r="P55" i="10"/>
  <c r="P58" i="10" s="1"/>
  <c r="P60" i="10" s="1"/>
  <c r="P62" i="10" s="1"/>
  <c r="G123" i="10"/>
  <c r="H123" i="10"/>
  <c r="M124" i="10"/>
  <c r="N124" i="10"/>
  <c r="O124" i="10"/>
  <c r="P124" i="10"/>
  <c r="Q124" i="10"/>
  <c r="R124" i="10"/>
  <c r="M128" i="10"/>
  <c r="N128" i="10"/>
  <c r="O128" i="10"/>
  <c r="P128" i="10"/>
  <c r="Q128" i="10"/>
  <c r="R128" i="10"/>
  <c r="G24" i="95"/>
  <c r="I35" i="41"/>
  <c r="J35" i="41"/>
  <c r="A17" i="35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17" i="107"/>
  <c r="A18" i="107" s="1"/>
  <c r="A19" i="107" s="1"/>
  <c r="A20" i="107" s="1"/>
  <c r="A21" i="107" s="1"/>
  <c r="A22" i="107" s="1"/>
  <c r="A28" i="107"/>
  <c r="A29" i="107" s="1"/>
  <c r="A30" i="107" s="1"/>
  <c r="A31" i="107" s="1"/>
  <c r="A32" i="107" s="1"/>
  <c r="A33" i="107" s="1"/>
  <c r="A34" i="107" s="1"/>
  <c r="D8" i="48"/>
  <c r="D8" i="49"/>
  <c r="D9" i="50"/>
  <c r="D35" i="50"/>
  <c r="D36" i="50"/>
  <c r="H21" i="51"/>
  <c r="J21" i="51"/>
  <c r="L21" i="51"/>
  <c r="N21" i="51"/>
  <c r="F29" i="51"/>
  <c r="J29" i="51"/>
  <c r="L29" i="51"/>
  <c r="N29" i="51"/>
  <c r="F36" i="51"/>
  <c r="H36" i="51"/>
  <c r="L36" i="51"/>
  <c r="N36" i="51"/>
  <c r="A138" i="51"/>
  <c r="A139" i="51" s="1"/>
  <c r="A140" i="51" s="1"/>
  <c r="A141" i="51" s="1"/>
  <c r="A142" i="51" s="1"/>
  <c r="A144" i="51" s="1"/>
  <c r="A146" i="51" s="1"/>
  <c r="A148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P156" i="51"/>
  <c r="P157" i="51"/>
  <c r="P12" i="193"/>
  <c r="H31" i="46"/>
  <c r="H33" i="46" s="1"/>
  <c r="A16" i="69"/>
  <c r="A18" i="69" s="1"/>
  <c r="A20" i="69" s="1"/>
  <c r="A22" i="69" s="1"/>
  <c r="A24" i="69" s="1"/>
  <c r="A26" i="69" s="1"/>
  <c r="A28" i="69" s="1"/>
  <c r="A30" i="69" s="1"/>
  <c r="A32" i="69" s="1"/>
  <c r="B16" i="69"/>
  <c r="B18" i="69"/>
  <c r="B20" i="69"/>
  <c r="B22" i="69"/>
  <c r="B24" i="69"/>
  <c r="B26" i="69"/>
  <c r="B28" i="69"/>
  <c r="B30" i="69"/>
  <c r="A16" i="24"/>
  <c r="A18" i="24" s="1"/>
  <c r="A20" i="24" s="1"/>
  <c r="A22" i="24" s="1"/>
  <c r="A24" i="24" s="1"/>
  <c r="A26" i="24" s="1"/>
  <c r="A28" i="24" s="1"/>
  <c r="A30" i="24" s="1"/>
  <c r="A32" i="24" s="1"/>
  <c r="B16" i="24"/>
  <c r="B18" i="24"/>
  <c r="B20" i="24"/>
  <c r="B22" i="24"/>
  <c r="B24" i="24"/>
  <c r="B26" i="24"/>
  <c r="B28" i="24"/>
  <c r="B30" i="24"/>
  <c r="A16" i="137"/>
  <c r="A17" i="137" s="1"/>
  <c r="A19" i="137" s="1"/>
  <c r="A21" i="137" s="1"/>
  <c r="A22" i="137" s="1"/>
  <c r="A23" i="137" s="1"/>
  <c r="A16" i="3"/>
  <c r="A17" i="3" s="1"/>
  <c r="A19" i="3" s="1"/>
  <c r="A21" i="3" s="1"/>
  <c r="A22" i="3" s="1"/>
  <c r="A23" i="3" s="1"/>
  <c r="A24" i="3" s="1"/>
  <c r="A25" i="3" s="1"/>
  <c r="A27" i="3" s="1"/>
  <c r="N50" i="35"/>
  <c r="I21" i="100"/>
  <c r="I51" i="100" s="1"/>
  <c r="I22" i="243"/>
  <c r="I25" i="215"/>
  <c r="E34" i="231"/>
  <c r="E24" i="231"/>
  <c r="J30" i="231"/>
  <c r="M184" i="236"/>
  <c r="M174" i="207"/>
  <c r="M172" i="207"/>
  <c r="H158" i="207"/>
  <c r="M158" i="207" s="1"/>
  <c r="H168" i="209"/>
  <c r="H138" i="209"/>
  <c r="M138" i="209" s="1"/>
  <c r="M224" i="209"/>
  <c r="M212" i="209"/>
  <c r="G133" i="237"/>
  <c r="G137" i="237"/>
  <c r="G141" i="237"/>
  <c r="G145" i="237"/>
  <c r="G149" i="237"/>
  <c r="G156" i="237"/>
  <c r="G158" i="237"/>
  <c r="G160" i="237"/>
  <c r="G161" i="237"/>
  <c r="G172" i="237"/>
  <c r="G174" i="237"/>
  <c r="G126" i="237"/>
  <c r="G134" i="237"/>
  <c r="G138" i="237"/>
  <c r="G142" i="237"/>
  <c r="G146" i="237"/>
  <c r="G150" i="237"/>
  <c r="G159" i="237"/>
  <c r="G162" i="237"/>
  <c r="G169" i="237"/>
  <c r="G173" i="237"/>
  <c r="G175" i="237"/>
  <c r="G131" i="237"/>
  <c r="G135" i="237"/>
  <c r="G139" i="237"/>
  <c r="G143" i="237"/>
  <c r="G147" i="237"/>
  <c r="G151" i="237"/>
  <c r="G170" i="237"/>
  <c r="G176" i="237"/>
  <c r="G132" i="237"/>
  <c r="G136" i="237"/>
  <c r="G140" i="237"/>
  <c r="G144" i="237"/>
  <c r="G148" i="237"/>
  <c r="G157" i="237"/>
  <c r="G171" i="237"/>
  <c r="G213" i="237"/>
  <c r="G211" i="237"/>
  <c r="G218" i="237"/>
  <c r="G214" i="237"/>
  <c r="G212" i="237"/>
  <c r="G210" i="237"/>
  <c r="E18" i="103" l="1"/>
  <c r="L222" i="236"/>
  <c r="E31" i="106"/>
  <c r="M17" i="35"/>
  <c r="L17" i="35" s="1"/>
  <c r="O18" i="35"/>
  <c r="A7" i="207"/>
  <c r="H66" i="248"/>
  <c r="I70" i="248"/>
  <c r="A7" i="67"/>
  <c r="A7" i="213"/>
  <c r="E50" i="100"/>
  <c r="A8" i="69"/>
  <c r="A1" i="30"/>
  <c r="A1" i="231"/>
  <c r="I19" i="100"/>
  <c r="I49" i="100" s="1"/>
  <c r="A1" i="232"/>
  <c r="I31" i="215"/>
  <c r="A1" i="215"/>
  <c r="A8" i="215"/>
  <c r="A2" i="231"/>
  <c r="A1" i="230"/>
  <c r="A1" i="233"/>
  <c r="H191" i="207"/>
  <c r="M190" i="207"/>
  <c r="A4" i="241"/>
  <c r="A4" i="230"/>
  <c r="L190" i="207"/>
  <c r="L163" i="236"/>
  <c r="L162" i="236"/>
  <c r="A2" i="232"/>
  <c r="A2" i="230"/>
  <c r="A2" i="233"/>
  <c r="G21" i="84"/>
  <c r="D68" i="232"/>
  <c r="D70" i="232" s="1"/>
  <c r="E17" i="103"/>
  <c r="J24" i="30"/>
  <c r="A24" i="137"/>
  <c r="A25" i="137" s="1"/>
  <c r="A27" i="137" s="1"/>
  <c r="T25" i="202"/>
  <c r="K25" i="4"/>
  <c r="A7" i="31"/>
  <c r="A8" i="24"/>
  <c r="A8" i="30"/>
  <c r="N138" i="209"/>
  <c r="M168" i="209"/>
  <c r="F42" i="232"/>
  <c r="J24" i="231"/>
  <c r="M154" i="236"/>
  <c r="J30" i="232"/>
  <c r="J34" i="231"/>
  <c r="J22" i="232"/>
  <c r="A7" i="230"/>
  <c r="A7" i="209"/>
  <c r="H19" i="103"/>
  <c r="I19" i="103" s="1"/>
  <c r="L174" i="207"/>
  <c r="L157" i="207"/>
  <c r="L125" i="207"/>
  <c r="L172" i="213"/>
  <c r="L155" i="213"/>
  <c r="F31" i="30"/>
  <c r="L173" i="207"/>
  <c r="L156" i="207"/>
  <c r="L124" i="207"/>
  <c r="L175" i="213"/>
  <c r="L171" i="213"/>
  <c r="L158" i="213"/>
  <c r="L172" i="207"/>
  <c r="L155" i="207"/>
  <c r="L174" i="213"/>
  <c r="L157" i="213"/>
  <c r="L125" i="213"/>
  <c r="I16" i="239"/>
  <c r="L175" i="207"/>
  <c r="L158" i="207"/>
  <c r="L173" i="213"/>
  <c r="L156" i="213"/>
  <c r="L124" i="213"/>
  <c r="G191" i="207"/>
  <c r="A7" i="236"/>
  <c r="A7" i="233"/>
  <c r="A6" i="190"/>
  <c r="D26" i="30"/>
  <c r="N49" i="35"/>
  <c r="A7" i="242"/>
  <c r="H50" i="202"/>
  <c r="J33" i="30"/>
  <c r="F19" i="215"/>
  <c r="D26" i="215"/>
  <c r="E23" i="37"/>
  <c r="E25" i="37" s="1"/>
  <c r="E27" i="37" s="1"/>
  <c r="K22" i="231"/>
  <c r="F26" i="231"/>
  <c r="K26" i="231" s="1"/>
  <c r="D33" i="30"/>
  <c r="F33" i="30" s="1"/>
  <c r="L22" i="243"/>
  <c r="D33" i="215"/>
  <c r="G22" i="244"/>
  <c r="L255" i="213"/>
  <c r="D161" i="51"/>
  <c r="K38" i="232"/>
  <c r="E26" i="30"/>
  <c r="G22" i="243"/>
  <c r="F19" i="30"/>
  <c r="E32" i="215"/>
  <c r="F32" i="215" s="1"/>
  <c r="F32" i="231"/>
  <c r="K32" i="231" s="1"/>
  <c r="J27" i="30"/>
  <c r="H28" i="102"/>
  <c r="N33" i="10"/>
  <c r="M33" i="10"/>
  <c r="L33" i="10"/>
  <c r="K33" i="10"/>
  <c r="J33" i="10"/>
  <c r="P33" i="10"/>
  <c r="O33" i="10"/>
  <c r="R33" i="10"/>
  <c r="Q33" i="10"/>
  <c r="H30" i="41"/>
  <c r="H34" i="39"/>
  <c r="J34" i="39"/>
  <c r="I24" i="30"/>
  <c r="I32" i="30"/>
  <c r="H20" i="239"/>
  <c r="D46" i="226"/>
  <c r="E46" i="226" s="1"/>
  <c r="F46" i="226" s="1"/>
  <c r="G46" i="226" s="1"/>
  <c r="H46" i="226" s="1"/>
  <c r="I46" i="226" s="1"/>
  <c r="J46" i="226" s="1"/>
  <c r="K46" i="226" s="1"/>
  <c r="L46" i="226" s="1"/>
  <c r="M46" i="226" s="1"/>
  <c r="N46" i="226" s="1"/>
  <c r="O46" i="226" s="1"/>
  <c r="J24" i="247"/>
  <c r="H30" i="103"/>
  <c r="I26" i="105"/>
  <c r="I32" i="100"/>
  <c r="F113" i="248"/>
  <c r="J21" i="247"/>
  <c r="I21" i="105"/>
  <c r="D62" i="228"/>
  <c r="E62" i="228" s="1"/>
  <c r="F62" i="228" s="1"/>
  <c r="G62" i="228" s="1"/>
  <c r="H62" i="228" s="1"/>
  <c r="I62" i="228" s="1"/>
  <c r="J62" i="228" s="1"/>
  <c r="K62" i="228" s="1"/>
  <c r="L62" i="228" s="1"/>
  <c r="M62" i="228" s="1"/>
  <c r="N62" i="228" s="1"/>
  <c r="O62" i="228" s="1"/>
  <c r="H22" i="102"/>
  <c r="I25" i="100"/>
  <c r="H18" i="239"/>
  <c r="H23" i="103"/>
  <c r="I23" i="103" s="1"/>
  <c r="I31" i="105"/>
  <c r="J27" i="247"/>
  <c r="I39" i="100"/>
  <c r="D37" i="227"/>
  <c r="H22" i="239"/>
  <c r="H32" i="102"/>
  <c r="H33" i="102" s="1"/>
  <c r="N31" i="51"/>
  <c r="N38" i="51" s="1"/>
  <c r="N40" i="51" s="1"/>
  <c r="N42" i="51" s="1"/>
  <c r="L31" i="51"/>
  <c r="L38" i="51" s="1"/>
  <c r="J31" i="51"/>
  <c r="J36" i="39"/>
  <c r="H36" i="39"/>
  <c r="J18" i="34"/>
  <c r="J20" i="34" s="1"/>
  <c r="H22" i="39"/>
  <c r="C20" i="103"/>
  <c r="C21" i="215"/>
  <c r="P37" i="216"/>
  <c r="P31" i="216"/>
  <c r="H19" i="215" s="1"/>
  <c r="K19" i="215" s="1"/>
  <c r="H18" i="215"/>
  <c r="K18" i="215" s="1"/>
  <c r="H17" i="215"/>
  <c r="P36" i="214"/>
  <c r="H20" i="30" s="1"/>
  <c r="P30" i="214"/>
  <c r="H19" i="30" s="1"/>
  <c r="K19" i="30" s="1"/>
  <c r="C21" i="30"/>
  <c r="P18" i="214"/>
  <c r="H17" i="30" s="1"/>
  <c r="K17" i="30" s="1"/>
  <c r="P24" i="214"/>
  <c r="H18" i="30" s="1"/>
  <c r="K18" i="30" s="1"/>
  <c r="J30" i="39"/>
  <c r="H30" i="34"/>
  <c r="J35" i="39"/>
  <c r="I22" i="39"/>
  <c r="I22" i="41"/>
  <c r="I30" i="41"/>
  <c r="J22" i="41"/>
  <c r="J30" i="41"/>
  <c r="H30" i="39"/>
  <c r="I30" i="39"/>
  <c r="N55" i="10"/>
  <c r="D29" i="42"/>
  <c r="I18" i="103"/>
  <c r="I20" i="103" s="1"/>
  <c r="D170" i="51"/>
  <c r="K25" i="215"/>
  <c r="F31" i="215"/>
  <c r="A1" i="241"/>
  <c r="A1" i="243"/>
  <c r="A1" i="242"/>
  <c r="E26" i="232"/>
  <c r="I33" i="41"/>
  <c r="I35" i="39"/>
  <c r="I33" i="39"/>
  <c r="J22" i="39"/>
  <c r="D23" i="37"/>
  <c r="D25" i="37" s="1"/>
  <c r="D27" i="37" s="1"/>
  <c r="D29" i="37" s="1"/>
  <c r="D31" i="37" s="1"/>
  <c r="D34" i="37" s="1"/>
  <c r="E28" i="1" s="1"/>
  <c r="H22" i="41"/>
  <c r="H33" i="39"/>
  <c r="G24" i="239"/>
  <c r="I36" i="39"/>
  <c r="J33" i="41"/>
  <c r="D22" i="42"/>
  <c r="C24" i="239"/>
  <c r="L187" i="207"/>
  <c r="G250" i="236"/>
  <c r="L250" i="236" s="1"/>
  <c r="A7" i="226"/>
  <c r="A7" i="222"/>
  <c r="A6" i="193"/>
  <c r="E25" i="215"/>
  <c r="F25" i="215" s="1"/>
  <c r="F20" i="215"/>
  <c r="F18" i="215"/>
  <c r="G16" i="244"/>
  <c r="A8" i="190"/>
  <c r="A8" i="193"/>
  <c r="A7" i="190"/>
  <c r="A7" i="193"/>
  <c r="A7" i="227"/>
  <c r="D15" i="222"/>
  <c r="E15" i="222" s="1"/>
  <c r="A7" i="228"/>
  <c r="J33" i="215"/>
  <c r="H146" i="209"/>
  <c r="M146" i="209" s="1"/>
  <c r="N146" i="209" s="1"/>
  <c r="D24" i="103"/>
  <c r="D26" i="103"/>
  <c r="E25" i="30"/>
  <c r="F25" i="30" s="1"/>
  <c r="I138" i="209"/>
  <c r="H135" i="209"/>
  <c r="M135" i="209" s="1"/>
  <c r="N135" i="209" s="1"/>
  <c r="H151" i="209"/>
  <c r="M151" i="209" s="1"/>
  <c r="N151" i="209" s="1"/>
  <c r="E23" i="103"/>
  <c r="D25" i="103"/>
  <c r="G16" i="243"/>
  <c r="G259" i="236"/>
  <c r="G252" i="236"/>
  <c r="L252" i="236" s="1"/>
  <c r="L230" i="236"/>
  <c r="H143" i="209"/>
  <c r="M143" i="209" s="1"/>
  <c r="N143" i="209" s="1"/>
  <c r="F40" i="232"/>
  <c r="E26" i="215"/>
  <c r="E32" i="30"/>
  <c r="F32" i="30" s="1"/>
  <c r="E33" i="215"/>
  <c r="G249" i="236"/>
  <c r="L249" i="236" s="1"/>
  <c r="P50" i="202"/>
  <c r="G26" i="95"/>
  <c r="G43" i="10" s="1"/>
  <c r="H26" i="34"/>
  <c r="P13" i="193"/>
  <c r="D24" i="244"/>
  <c r="C34" i="103"/>
  <c r="F45" i="233"/>
  <c r="D18" i="105"/>
  <c r="F203" i="237"/>
  <c r="F207" i="237"/>
  <c r="F205" i="237"/>
  <c r="F209" i="237"/>
  <c r="F208" i="237"/>
  <c r="G208" i="237"/>
  <c r="G203" i="237"/>
  <c r="G207" i="237"/>
  <c r="G205" i="237"/>
  <c r="G209" i="237"/>
  <c r="F153" i="209"/>
  <c r="M211" i="209"/>
  <c r="H188" i="209"/>
  <c r="M188" i="209" s="1"/>
  <c r="E118" i="209"/>
  <c r="E181" i="209"/>
  <c r="H191" i="209"/>
  <c r="M191" i="209" s="1"/>
  <c r="I24" i="243"/>
  <c r="L13" i="243"/>
  <c r="G29" i="42"/>
  <c r="D13" i="243"/>
  <c r="G13" i="243" s="1"/>
  <c r="D41" i="231"/>
  <c r="I26" i="99"/>
  <c r="I16" i="99"/>
  <c r="C27" i="103"/>
  <c r="G13" i="244"/>
  <c r="H142" i="236"/>
  <c r="M142" i="236" s="1"/>
  <c r="N142" i="236" s="1"/>
  <c r="H166" i="236"/>
  <c r="M230" i="236"/>
  <c r="G232" i="236"/>
  <c r="H134" i="236"/>
  <c r="M134" i="236" s="1"/>
  <c r="N134" i="236" s="1"/>
  <c r="H146" i="236"/>
  <c r="M146" i="236" s="1"/>
  <c r="N146" i="236" s="1"/>
  <c r="H130" i="236"/>
  <c r="M130" i="236" s="1"/>
  <c r="N130" i="236" s="1"/>
  <c r="H138" i="236"/>
  <c r="M138" i="236" s="1"/>
  <c r="N138" i="236" s="1"/>
  <c r="H155" i="236"/>
  <c r="H148" i="236"/>
  <c r="M148" i="236" s="1"/>
  <c r="N148" i="236" s="1"/>
  <c r="H144" i="236"/>
  <c r="M144" i="236" s="1"/>
  <c r="N144" i="236" s="1"/>
  <c r="H140" i="236"/>
  <c r="M140" i="236" s="1"/>
  <c r="N140" i="236" s="1"/>
  <c r="H136" i="236"/>
  <c r="M136" i="236" s="1"/>
  <c r="N136" i="236" s="1"/>
  <c r="H132" i="236"/>
  <c r="M132" i="236" s="1"/>
  <c r="N132" i="236" s="1"/>
  <c r="M123" i="236"/>
  <c r="H171" i="236"/>
  <c r="H173" i="236"/>
  <c r="H147" i="236"/>
  <c r="M147" i="236" s="1"/>
  <c r="N147" i="236" s="1"/>
  <c r="H143" i="236"/>
  <c r="M143" i="236" s="1"/>
  <c r="N143" i="236" s="1"/>
  <c r="H139" i="236"/>
  <c r="M139" i="236" s="1"/>
  <c r="N139" i="236" s="1"/>
  <c r="H135" i="236"/>
  <c r="M135" i="236" s="1"/>
  <c r="N135" i="236" s="1"/>
  <c r="H131" i="236"/>
  <c r="M131" i="236" s="1"/>
  <c r="N131" i="236" s="1"/>
  <c r="H165" i="236"/>
  <c r="H174" i="236"/>
  <c r="H149" i="236"/>
  <c r="M149" i="236" s="1"/>
  <c r="N149" i="236" s="1"/>
  <c r="H145" i="236"/>
  <c r="M145" i="236" s="1"/>
  <c r="N145" i="236" s="1"/>
  <c r="H141" i="236"/>
  <c r="M141" i="236" s="1"/>
  <c r="N141" i="236" s="1"/>
  <c r="H137" i="236"/>
  <c r="M137" i="236" s="1"/>
  <c r="N137" i="236" s="1"/>
  <c r="H133" i="236"/>
  <c r="M133" i="236" s="1"/>
  <c r="N133" i="236" s="1"/>
  <c r="H129" i="236"/>
  <c r="M129" i="236" s="1"/>
  <c r="N129" i="236" s="1"/>
  <c r="H169" i="236"/>
  <c r="H162" i="236"/>
  <c r="H167" i="236"/>
  <c r="H172" i="236"/>
  <c r="E179" i="236"/>
  <c r="E118" i="236"/>
  <c r="H142" i="213"/>
  <c r="M142" i="213" s="1"/>
  <c r="N142" i="213" s="1"/>
  <c r="M124" i="213"/>
  <c r="H175" i="213"/>
  <c r="M175" i="213" s="1"/>
  <c r="H150" i="213"/>
  <c r="M150" i="213" s="1"/>
  <c r="N150" i="213" s="1"/>
  <c r="H145" i="213"/>
  <c r="M145" i="213" s="1"/>
  <c r="N145" i="213" s="1"/>
  <c r="H134" i="213"/>
  <c r="M134" i="213" s="1"/>
  <c r="N134" i="213" s="1"/>
  <c r="H172" i="213"/>
  <c r="M172" i="213" s="1"/>
  <c r="H146" i="213"/>
  <c r="M146" i="213" s="1"/>
  <c r="N146" i="213" s="1"/>
  <c r="H138" i="213"/>
  <c r="M138" i="213" s="1"/>
  <c r="N138" i="213" s="1"/>
  <c r="H130" i="213"/>
  <c r="M130" i="213" s="1"/>
  <c r="N130" i="213" s="1"/>
  <c r="H137" i="213"/>
  <c r="M137" i="213" s="1"/>
  <c r="N137" i="213" s="1"/>
  <c r="H171" i="213"/>
  <c r="M171" i="213" s="1"/>
  <c r="H155" i="213"/>
  <c r="M155" i="213" s="1"/>
  <c r="H144" i="213"/>
  <c r="M144" i="213" s="1"/>
  <c r="N144" i="213" s="1"/>
  <c r="H135" i="213"/>
  <c r="M135" i="213" s="1"/>
  <c r="N135" i="213" s="1"/>
  <c r="H141" i="213"/>
  <c r="M141" i="213" s="1"/>
  <c r="N141" i="213" s="1"/>
  <c r="H158" i="213"/>
  <c r="M158" i="213" s="1"/>
  <c r="H173" i="213"/>
  <c r="M173" i="213" s="1"/>
  <c r="H157" i="213"/>
  <c r="M157" i="213" s="1"/>
  <c r="H148" i="213"/>
  <c r="M148" i="213" s="1"/>
  <c r="N148" i="213" s="1"/>
  <c r="H140" i="213"/>
  <c r="M140" i="213" s="1"/>
  <c r="N140" i="213" s="1"/>
  <c r="H132" i="213"/>
  <c r="M132" i="213" s="1"/>
  <c r="N132" i="213" s="1"/>
  <c r="H133" i="213"/>
  <c r="M133" i="213" s="1"/>
  <c r="N133" i="213" s="1"/>
  <c r="H149" i="213"/>
  <c r="M149" i="213" s="1"/>
  <c r="N149" i="213" s="1"/>
  <c r="H174" i="213"/>
  <c r="M174" i="213" s="1"/>
  <c r="L246" i="213"/>
  <c r="L257" i="213"/>
  <c r="L233" i="213"/>
  <c r="L256" i="213"/>
  <c r="E179" i="213"/>
  <c r="L258" i="213"/>
  <c r="L236" i="213"/>
  <c r="L210" i="209"/>
  <c r="L224" i="209"/>
  <c r="I20" i="30"/>
  <c r="I34" i="30" s="1"/>
  <c r="D34" i="30"/>
  <c r="D27" i="30"/>
  <c r="I20" i="215"/>
  <c r="I27" i="215" s="1"/>
  <c r="D27" i="215"/>
  <c r="D34" i="215"/>
  <c r="M257" i="213"/>
  <c r="F152" i="213"/>
  <c r="L194" i="207"/>
  <c r="F20" i="30"/>
  <c r="H174" i="209"/>
  <c r="H141" i="209"/>
  <c r="H261" i="209"/>
  <c r="M261" i="209" s="1"/>
  <c r="H209" i="213"/>
  <c r="M209" i="213" s="1"/>
  <c r="H237" i="213"/>
  <c r="M237" i="213" s="1"/>
  <c r="H253" i="213"/>
  <c r="M253" i="213" s="1"/>
  <c r="L232" i="213"/>
  <c r="G253" i="213"/>
  <c r="G254" i="213"/>
  <c r="H212" i="213"/>
  <c r="M212" i="213" s="1"/>
  <c r="G252" i="213"/>
  <c r="H207" i="213"/>
  <c r="M207" i="213" s="1"/>
  <c r="G251" i="213"/>
  <c r="H213" i="213"/>
  <c r="M213" i="213" s="1"/>
  <c r="H206" i="213"/>
  <c r="M206" i="213" s="1"/>
  <c r="G250" i="213"/>
  <c r="G249" i="213"/>
  <c r="G247" i="213"/>
  <c r="E117" i="213"/>
  <c r="H208" i="213"/>
  <c r="M208" i="213" s="1"/>
  <c r="H197" i="213"/>
  <c r="M197" i="213" s="1"/>
  <c r="G245" i="213"/>
  <c r="G235" i="213"/>
  <c r="H205" i="213"/>
  <c r="M205" i="213" s="1"/>
  <c r="M257" i="207"/>
  <c r="M258" i="207"/>
  <c r="M175" i="207"/>
  <c r="N136" i="207"/>
  <c r="H156" i="207"/>
  <c r="M156" i="207" s="1"/>
  <c r="I136" i="207"/>
  <c r="H155" i="207"/>
  <c r="M155" i="207" s="1"/>
  <c r="H157" i="207"/>
  <c r="M157" i="207" s="1"/>
  <c r="M173" i="207"/>
  <c r="M233" i="207"/>
  <c r="M236" i="207"/>
  <c r="L233" i="207"/>
  <c r="E117" i="207"/>
  <c r="H150" i="207"/>
  <c r="M150" i="207" s="1"/>
  <c r="N150" i="207" s="1"/>
  <c r="H149" i="207"/>
  <c r="M149" i="207" s="1"/>
  <c r="N149" i="207" s="1"/>
  <c r="E179" i="207"/>
  <c r="H147" i="207"/>
  <c r="M147" i="207" s="1"/>
  <c r="N147" i="207" s="1"/>
  <c r="H133" i="207"/>
  <c r="M133" i="207" s="1"/>
  <c r="N133" i="207" s="1"/>
  <c r="G255" i="207"/>
  <c r="L188" i="207"/>
  <c r="G253" i="207"/>
  <c r="G249" i="207"/>
  <c r="G252" i="207"/>
  <c r="L246" i="207"/>
  <c r="L256" i="207"/>
  <c r="G251" i="207"/>
  <c r="G245" i="207"/>
  <c r="F41" i="231"/>
  <c r="H253" i="236"/>
  <c r="M253" i="236" s="1"/>
  <c r="H146" i="207"/>
  <c r="M146" i="207" s="1"/>
  <c r="N146" i="207" s="1"/>
  <c r="G247" i="207"/>
  <c r="L232" i="209"/>
  <c r="G207" i="213"/>
  <c r="H250" i="236"/>
  <c r="M250" i="236" s="1"/>
  <c r="H232" i="236"/>
  <c r="M232" i="236" s="1"/>
  <c r="H139" i="207"/>
  <c r="M139" i="207" s="1"/>
  <c r="N139" i="207" s="1"/>
  <c r="J32" i="30"/>
  <c r="J25" i="30"/>
  <c r="K25" i="30" s="1"/>
  <c r="M186" i="207"/>
  <c r="G237" i="207"/>
  <c r="F26" i="232"/>
  <c r="K26" i="232" s="1"/>
  <c r="E32" i="232"/>
  <c r="H177" i="209"/>
  <c r="H176" i="209"/>
  <c r="H170" i="209"/>
  <c r="H144" i="209"/>
  <c r="H131" i="209"/>
  <c r="M131" i="209" s="1"/>
  <c r="L211" i="209"/>
  <c r="G261" i="209"/>
  <c r="L261" i="209" s="1"/>
  <c r="H210" i="213"/>
  <c r="M210" i="213" s="1"/>
  <c r="H200" i="213"/>
  <c r="M200" i="213" s="1"/>
  <c r="G237" i="213"/>
  <c r="D23" i="102"/>
  <c r="H175" i="236"/>
  <c r="H149" i="209"/>
  <c r="H139" i="209"/>
  <c r="M213" i="209"/>
  <c r="F34" i="231"/>
  <c r="H124" i="236"/>
  <c r="M124" i="236" s="1"/>
  <c r="G251" i="236"/>
  <c r="L251" i="236" s="1"/>
  <c r="G248" i="236"/>
  <c r="L248" i="236" s="1"/>
  <c r="G233" i="236"/>
  <c r="L231" i="236"/>
  <c r="H130" i="207"/>
  <c r="M130" i="207" s="1"/>
  <c r="N130" i="207" s="1"/>
  <c r="H254" i="207"/>
  <c r="M254" i="207" s="1"/>
  <c r="H251" i="207"/>
  <c r="M251" i="207" s="1"/>
  <c r="H172" i="209"/>
  <c r="H158" i="209"/>
  <c r="H147" i="209"/>
  <c r="H136" i="209"/>
  <c r="M136" i="209" s="1"/>
  <c r="L212" i="209"/>
  <c r="H211" i="213"/>
  <c r="M211" i="213" s="1"/>
  <c r="H255" i="213"/>
  <c r="G188" i="209"/>
  <c r="L188" i="209" s="1"/>
  <c r="K39" i="231"/>
  <c r="H198" i="213"/>
  <c r="M198" i="213" s="1"/>
  <c r="H193" i="213"/>
  <c r="M193" i="213" s="1"/>
  <c r="H191" i="213"/>
  <c r="M191" i="213" s="1"/>
  <c r="H234" i="213"/>
  <c r="M234" i="213" s="1"/>
  <c r="H141" i="207"/>
  <c r="M141" i="207" s="1"/>
  <c r="N141" i="207" s="1"/>
  <c r="H188" i="213"/>
  <c r="M188" i="213" s="1"/>
  <c r="H138" i="207"/>
  <c r="M138" i="207" s="1"/>
  <c r="N138" i="207" s="1"/>
  <c r="F44" i="232"/>
  <c r="H175" i="209"/>
  <c r="H173" i="209"/>
  <c r="H171" i="209"/>
  <c r="H169" i="209"/>
  <c r="H167" i="209"/>
  <c r="H160" i="209"/>
  <c r="H159" i="209"/>
  <c r="H157" i="209"/>
  <c r="H156" i="209"/>
  <c r="H150" i="209"/>
  <c r="H148" i="209"/>
  <c r="M148" i="209" s="1"/>
  <c r="N148" i="209" s="1"/>
  <c r="H145" i="209"/>
  <c r="H142" i="209"/>
  <c r="H140" i="209"/>
  <c r="H137" i="209"/>
  <c r="M218" i="209"/>
  <c r="M214" i="209"/>
  <c r="M210" i="209"/>
  <c r="H201" i="213"/>
  <c r="M201" i="213" s="1"/>
  <c r="H196" i="213"/>
  <c r="M196" i="213" s="1"/>
  <c r="H192" i="213"/>
  <c r="M192" i="213" s="1"/>
  <c r="F152" i="207"/>
  <c r="L30" i="34"/>
  <c r="J30" i="34"/>
  <c r="I19" i="99"/>
  <c r="I17" i="99"/>
  <c r="C35" i="30"/>
  <c r="F29" i="42"/>
  <c r="F19" i="42"/>
  <c r="H20" i="34"/>
  <c r="J124" i="10"/>
  <c r="P14" i="192"/>
  <c r="C35" i="215"/>
  <c r="H18" i="105"/>
  <c r="G19" i="42"/>
  <c r="E29" i="42"/>
  <c r="E20" i="103"/>
  <c r="G43" i="103"/>
  <c r="E19" i="42"/>
  <c r="P57" i="216"/>
  <c r="H34" i="215" s="1"/>
  <c r="P52" i="214"/>
  <c r="H32" i="30" s="1"/>
  <c r="P50" i="214"/>
  <c r="H31" i="30" s="1"/>
  <c r="K31" i="30" s="1"/>
  <c r="P55" i="216"/>
  <c r="H33" i="215" s="1"/>
  <c r="P53" i="216"/>
  <c r="H32" i="215" s="1"/>
  <c r="I18" i="99"/>
  <c r="H57" i="10"/>
  <c r="I25" i="99"/>
  <c r="P56" i="214"/>
  <c r="H34" i="30" s="1"/>
  <c r="I22" i="244"/>
  <c r="I24" i="244" s="1"/>
  <c r="P51" i="216"/>
  <c r="H31" i="215" s="1"/>
  <c r="H133" i="209"/>
  <c r="H126" i="209"/>
  <c r="M126" i="209" s="1"/>
  <c r="H134" i="209"/>
  <c r="H132" i="209"/>
  <c r="E27" i="30"/>
  <c r="E34" i="30"/>
  <c r="H249" i="236"/>
  <c r="M249" i="236" s="1"/>
  <c r="H233" i="236"/>
  <c r="M233" i="236" s="1"/>
  <c r="H255" i="207"/>
  <c r="H252" i="207"/>
  <c r="M252" i="207" s="1"/>
  <c r="F32" i="232"/>
  <c r="H254" i="213"/>
  <c r="E27" i="215"/>
  <c r="E34" i="215"/>
  <c r="G19" i="243"/>
  <c r="H252" i="236"/>
  <c r="M252" i="236" s="1"/>
  <c r="H249" i="207"/>
  <c r="M249" i="207" s="1"/>
  <c r="H235" i="207"/>
  <c r="M235" i="207" s="1"/>
  <c r="G19" i="244"/>
  <c r="H250" i="207"/>
  <c r="M250" i="207" s="1"/>
  <c r="H245" i="207"/>
  <c r="M245" i="207" s="1"/>
  <c r="M232" i="207"/>
  <c r="F34" i="232"/>
  <c r="K34" i="232" s="1"/>
  <c r="K24" i="231"/>
  <c r="K22" i="232"/>
  <c r="L16" i="243"/>
  <c r="J32" i="231"/>
  <c r="L19" i="243"/>
  <c r="L19" i="244"/>
  <c r="E34" i="232"/>
  <c r="G234" i="207"/>
  <c r="G234" i="213"/>
  <c r="L186" i="207"/>
  <c r="L213" i="209"/>
  <c r="G191" i="209"/>
  <c r="L191" i="209" s="1"/>
  <c r="E24" i="232"/>
  <c r="L218" i="209"/>
  <c r="L214" i="209"/>
  <c r="G192" i="209"/>
  <c r="L192" i="209" s="1"/>
  <c r="I26" i="215"/>
  <c r="K26" i="215" s="1"/>
  <c r="I33" i="215"/>
  <c r="G208" i="213"/>
  <c r="G188" i="213"/>
  <c r="L16" i="244"/>
  <c r="L40" i="51"/>
  <c r="L42" i="51" s="1"/>
  <c r="R66" i="10"/>
  <c r="R64" i="10"/>
  <c r="I50" i="100"/>
  <c r="K124" i="10"/>
  <c r="F151" i="236"/>
  <c r="P64" i="10"/>
  <c r="P66" i="10"/>
  <c r="Q66" i="10"/>
  <c r="Q64" i="10"/>
  <c r="O66" i="10"/>
  <c r="O64" i="10"/>
  <c r="L124" i="10"/>
  <c r="A5" i="51"/>
  <c r="A2" i="241"/>
  <c r="A2" i="242"/>
  <c r="A2" i="243"/>
  <c r="A2" i="215"/>
  <c r="F18" i="30"/>
  <c r="A2" i="30"/>
  <c r="I33" i="30"/>
  <c r="I26" i="30"/>
  <c r="K26" i="30" s="1"/>
  <c r="G57" i="10"/>
  <c r="P54" i="214"/>
  <c r="H33" i="30" s="1"/>
  <c r="L13" i="244"/>
  <c r="K43" i="231"/>
  <c r="L136" i="209"/>
  <c r="L131" i="209"/>
  <c r="L126" i="209"/>
  <c r="E26" i="231"/>
  <c r="H251" i="236"/>
  <c r="M251" i="236" s="1"/>
  <c r="H248" i="236"/>
  <c r="M248" i="236" s="1"/>
  <c r="M231" i="236"/>
  <c r="H145" i="207"/>
  <c r="M145" i="207" s="1"/>
  <c r="N145" i="207" s="1"/>
  <c r="H142" i="207"/>
  <c r="M142" i="207" s="1"/>
  <c r="N142" i="207" s="1"/>
  <c r="H137" i="207"/>
  <c r="M137" i="207" s="1"/>
  <c r="N137" i="207" s="1"/>
  <c r="H134" i="207"/>
  <c r="M134" i="207" s="1"/>
  <c r="N134" i="207" s="1"/>
  <c r="H125" i="207"/>
  <c r="M125" i="207" s="1"/>
  <c r="M124" i="207"/>
  <c r="F45" i="231"/>
  <c r="H170" i="236"/>
  <c r="H168" i="236"/>
  <c r="H164" i="236"/>
  <c r="H163" i="236"/>
  <c r="H156" i="236"/>
  <c r="H143" i="207"/>
  <c r="M143" i="207" s="1"/>
  <c r="N143" i="207" s="1"/>
  <c r="H132" i="207"/>
  <c r="M132" i="207" s="1"/>
  <c r="N132" i="207" s="1"/>
  <c r="H135" i="207"/>
  <c r="M135" i="207" s="1"/>
  <c r="N135" i="207" s="1"/>
  <c r="H140" i="207"/>
  <c r="M140" i="207" s="1"/>
  <c r="N140" i="207" s="1"/>
  <c r="H144" i="207"/>
  <c r="M144" i="207" s="1"/>
  <c r="N144" i="207" s="1"/>
  <c r="H148" i="207"/>
  <c r="M148" i="207" s="1"/>
  <c r="N148" i="207" s="1"/>
  <c r="J27" i="215"/>
  <c r="J34" i="215"/>
  <c r="H131" i="207"/>
  <c r="M131" i="207" s="1"/>
  <c r="N131" i="207" s="1"/>
  <c r="G235" i="207"/>
  <c r="H234" i="207"/>
  <c r="L232" i="207"/>
  <c r="J32" i="215"/>
  <c r="H156" i="213"/>
  <c r="H147" i="213"/>
  <c r="H139" i="213"/>
  <c r="H131" i="213"/>
  <c r="G213" i="213"/>
  <c r="G206" i="213"/>
  <c r="G205" i="213"/>
  <c r="G203" i="213"/>
  <c r="H235" i="213"/>
  <c r="M256" i="207"/>
  <c r="G254" i="207"/>
  <c r="H253" i="207"/>
  <c r="G250" i="207"/>
  <c r="H247" i="207"/>
  <c r="M247" i="207" s="1"/>
  <c r="M246" i="207"/>
  <c r="H237" i="207"/>
  <c r="M237" i="207" s="1"/>
  <c r="H192" i="209"/>
  <c r="M192" i="209" s="1"/>
  <c r="G212" i="213"/>
  <c r="G211" i="213"/>
  <c r="G210" i="213"/>
  <c r="G209" i="213"/>
  <c r="G201" i="213"/>
  <c r="G200" i="213"/>
  <c r="G198" i="213"/>
  <c r="G197" i="213"/>
  <c r="H252" i="213"/>
  <c r="H170" i="213"/>
  <c r="M170" i="213" s="1"/>
  <c r="H143" i="213"/>
  <c r="H136" i="213"/>
  <c r="G196" i="213"/>
  <c r="G193" i="213"/>
  <c r="G192" i="213"/>
  <c r="G191" i="213"/>
  <c r="M232" i="213"/>
  <c r="H245" i="213"/>
  <c r="H247" i="213"/>
  <c r="H249" i="213"/>
  <c r="H251" i="213"/>
  <c r="H250" i="213"/>
  <c r="F212" i="237"/>
  <c r="F213" i="237"/>
  <c r="F210" i="237"/>
  <c r="F214" i="237"/>
  <c r="F218" i="237"/>
  <c r="F211" i="237"/>
  <c r="F22" i="42" l="1"/>
  <c r="G22" i="42"/>
  <c r="M55" i="10"/>
  <c r="M58" i="10" s="1"/>
  <c r="M60" i="10" s="1"/>
  <c r="E22" i="42"/>
  <c r="M162" i="236"/>
  <c r="N17" i="35"/>
  <c r="M18" i="35"/>
  <c r="L18" i="35" s="1"/>
  <c r="E266" i="207"/>
  <c r="I33" i="99"/>
  <c r="I41" i="99" s="1"/>
  <c r="K41" i="99" s="1"/>
  <c r="H113" i="248"/>
  <c r="I66" i="248"/>
  <c r="I113" i="248" s="1"/>
  <c r="E265" i="209"/>
  <c r="I41" i="8"/>
  <c r="K41" i="8" s="1"/>
  <c r="H192" i="207"/>
  <c r="M191" i="207"/>
  <c r="L233" i="236"/>
  <c r="L191" i="207"/>
  <c r="F33" i="215"/>
  <c r="F26" i="30"/>
  <c r="K40" i="232"/>
  <c r="M168" i="236"/>
  <c r="J32" i="232"/>
  <c r="M169" i="236"/>
  <c r="M171" i="236"/>
  <c r="M170" i="236"/>
  <c r="M172" i="236"/>
  <c r="J26" i="232"/>
  <c r="M174" i="236"/>
  <c r="M173" i="236"/>
  <c r="M165" i="236"/>
  <c r="M155" i="236"/>
  <c r="M166" i="236"/>
  <c r="K42" i="232"/>
  <c r="M163" i="236"/>
  <c r="K45" i="231"/>
  <c r="M174" i="209"/>
  <c r="M167" i="236"/>
  <c r="L237" i="207"/>
  <c r="L249" i="207"/>
  <c r="L255" i="207"/>
  <c r="L247" i="207"/>
  <c r="L245" i="207"/>
  <c r="G192" i="207"/>
  <c r="L251" i="207"/>
  <c r="L252" i="207"/>
  <c r="L253" i="207"/>
  <c r="L234" i="207"/>
  <c r="D37" i="193"/>
  <c r="E46" i="190"/>
  <c r="F46" i="190"/>
  <c r="G46" i="190"/>
  <c r="H46" i="190"/>
  <c r="I46" i="190"/>
  <c r="H37" i="193"/>
  <c r="G37" i="193"/>
  <c r="F37" i="193"/>
  <c r="E37" i="193"/>
  <c r="E263" i="236"/>
  <c r="K32" i="30"/>
  <c r="F27" i="215"/>
  <c r="F26" i="215"/>
  <c r="D31" i="42"/>
  <c r="F27" i="30"/>
  <c r="I144" i="236"/>
  <c r="N136" i="209"/>
  <c r="L250" i="213"/>
  <c r="L235" i="213"/>
  <c r="L252" i="213"/>
  <c r="L232" i="236"/>
  <c r="L259" i="236"/>
  <c r="L245" i="213"/>
  <c r="L247" i="213"/>
  <c r="L249" i="213"/>
  <c r="L251" i="213"/>
  <c r="L254" i="213"/>
  <c r="J55" i="10"/>
  <c r="J58" i="10" s="1"/>
  <c r="J60" i="10" s="1"/>
  <c r="J62" i="10" s="1"/>
  <c r="H32" i="34"/>
  <c r="I34" i="215"/>
  <c r="K34" i="215" s="1"/>
  <c r="G24" i="244"/>
  <c r="D23" i="137" s="1"/>
  <c r="F62" i="248"/>
  <c r="J25" i="34"/>
  <c r="J23" i="34"/>
  <c r="G31" i="42"/>
  <c r="G24" i="243"/>
  <c r="D23" i="3" s="1"/>
  <c r="H23" i="102"/>
  <c r="N58" i="10"/>
  <c r="N60" i="10" s="1"/>
  <c r="N62" i="10" s="1"/>
  <c r="M62" i="10"/>
  <c r="M66" i="10" s="1"/>
  <c r="E31" i="42"/>
  <c r="K55" i="10"/>
  <c r="K58" i="10" s="1"/>
  <c r="K60" i="10" s="1"/>
  <c r="L20" i="34"/>
  <c r="E37" i="227"/>
  <c r="F37" i="227" s="1"/>
  <c r="G37" i="227" s="1"/>
  <c r="H37" i="227" s="1"/>
  <c r="I37" i="227" s="1"/>
  <c r="J37" i="227" s="1"/>
  <c r="K37" i="227" s="1"/>
  <c r="L37" i="227" s="1"/>
  <c r="M37" i="227" s="1"/>
  <c r="N37" i="227" s="1"/>
  <c r="O37" i="227" s="1"/>
  <c r="H25" i="103"/>
  <c r="I25" i="103" s="1"/>
  <c r="H24" i="103"/>
  <c r="I24" i="103" s="1"/>
  <c r="H26" i="103"/>
  <c r="I26" i="103" s="1"/>
  <c r="I34" i="100"/>
  <c r="I33" i="100"/>
  <c r="I35" i="100"/>
  <c r="I41" i="100"/>
  <c r="I40" i="100"/>
  <c r="I42" i="100"/>
  <c r="I28" i="100"/>
  <c r="I27" i="100"/>
  <c r="I26" i="100"/>
  <c r="Q45" i="230"/>
  <c r="I41" i="231" s="1"/>
  <c r="G45" i="233"/>
  <c r="K33" i="215"/>
  <c r="H35" i="215"/>
  <c r="K17" i="215"/>
  <c r="H21" i="215"/>
  <c r="H21" i="30"/>
  <c r="K32" i="215"/>
  <c r="L55" i="10"/>
  <c r="L58" i="10" s="1"/>
  <c r="L60" i="10" s="1"/>
  <c r="I140" i="236"/>
  <c r="I27" i="30"/>
  <c r="K27" i="30" s="1"/>
  <c r="F21" i="215"/>
  <c r="F31" i="42"/>
  <c r="I146" i="209"/>
  <c r="I135" i="209"/>
  <c r="I151" i="209"/>
  <c r="I143" i="209"/>
  <c r="E266" i="213"/>
  <c r="I138" i="213"/>
  <c r="C43" i="103"/>
  <c r="P15" i="44"/>
  <c r="D60" i="51"/>
  <c r="D50" i="51"/>
  <c r="E28" i="100"/>
  <c r="E27" i="100"/>
  <c r="F34" i="215"/>
  <c r="F34" i="30"/>
  <c r="F35" i="30" s="1"/>
  <c r="I130" i="236"/>
  <c r="E26" i="100"/>
  <c r="E56" i="100" s="1"/>
  <c r="E18" i="239"/>
  <c r="I18" i="239"/>
  <c r="K27" i="215"/>
  <c r="K20" i="215"/>
  <c r="I131" i="209"/>
  <c r="I147" i="236"/>
  <c r="F25" i="100"/>
  <c r="E55" i="100"/>
  <c r="F15" i="222"/>
  <c r="G15" i="222" s="1"/>
  <c r="H15" i="222" s="1"/>
  <c r="I15" i="222" s="1"/>
  <c r="J15" i="222" s="1"/>
  <c r="K15" i="222" s="1"/>
  <c r="L15" i="222" s="1"/>
  <c r="M15" i="222" s="1"/>
  <c r="N15" i="222" s="1"/>
  <c r="O15" i="222" s="1"/>
  <c r="O19" i="35"/>
  <c r="O21" i="35"/>
  <c r="I55" i="100"/>
  <c r="J25" i="100"/>
  <c r="I141" i="213"/>
  <c r="E25" i="103"/>
  <c r="E26" i="103"/>
  <c r="E24" i="103"/>
  <c r="N131" i="209"/>
  <c r="D24" i="243"/>
  <c r="I142" i="236"/>
  <c r="I134" i="236"/>
  <c r="I138" i="236"/>
  <c r="I146" i="236"/>
  <c r="I131" i="236"/>
  <c r="I139" i="236"/>
  <c r="I148" i="236"/>
  <c r="I141" i="236"/>
  <c r="I149" i="236"/>
  <c r="I133" i="236"/>
  <c r="N151" i="236"/>
  <c r="I143" i="236"/>
  <c r="I137" i="236"/>
  <c r="I132" i="236"/>
  <c r="I135" i="236"/>
  <c r="I129" i="236"/>
  <c r="I145" i="236"/>
  <c r="I136" i="236"/>
  <c r="I149" i="213"/>
  <c r="I130" i="213"/>
  <c r="I145" i="213"/>
  <c r="I142" i="213"/>
  <c r="I135" i="213"/>
  <c r="I140" i="213"/>
  <c r="I134" i="213"/>
  <c r="I137" i="213"/>
  <c r="I150" i="213"/>
  <c r="I144" i="213"/>
  <c r="I146" i="213"/>
  <c r="I133" i="213"/>
  <c r="I148" i="213"/>
  <c r="I132" i="213"/>
  <c r="F21" i="30"/>
  <c r="L24" i="243"/>
  <c r="F23" i="3" s="1"/>
  <c r="K20" i="30"/>
  <c r="K21" i="30" s="1"/>
  <c r="E16" i="31" s="1"/>
  <c r="K34" i="30"/>
  <c r="M141" i="209"/>
  <c r="N141" i="209" s="1"/>
  <c r="I141" i="209"/>
  <c r="M236" i="213"/>
  <c r="L253" i="213"/>
  <c r="L258" i="207"/>
  <c r="L257" i="207"/>
  <c r="L236" i="207"/>
  <c r="I133" i="207"/>
  <c r="I149" i="207"/>
  <c r="I150" i="207"/>
  <c r="I147" i="207"/>
  <c r="I141" i="207"/>
  <c r="I139" i="207"/>
  <c r="K41" i="231"/>
  <c r="G41" i="231"/>
  <c r="L207" i="213"/>
  <c r="I146" i="207"/>
  <c r="M172" i="209"/>
  <c r="M139" i="209"/>
  <c r="N139" i="209" s="1"/>
  <c r="I139" i="209"/>
  <c r="I136" i="209"/>
  <c r="L237" i="213"/>
  <c r="M256" i="213"/>
  <c r="M144" i="209"/>
  <c r="N144" i="209" s="1"/>
  <c r="I144" i="209"/>
  <c r="M176" i="209"/>
  <c r="I138" i="207"/>
  <c r="M147" i="209"/>
  <c r="N147" i="209" s="1"/>
  <c r="I147" i="209"/>
  <c r="M149" i="209"/>
  <c r="N149" i="209" s="1"/>
  <c r="I149" i="209"/>
  <c r="M177" i="209"/>
  <c r="M255" i="213"/>
  <c r="M158" i="209"/>
  <c r="I130" i="207"/>
  <c r="M233" i="213"/>
  <c r="K34" i="231"/>
  <c r="M175" i="236"/>
  <c r="M170" i="209"/>
  <c r="M137" i="209"/>
  <c r="N137" i="209" s="1"/>
  <c r="I137" i="209"/>
  <c r="M159" i="209"/>
  <c r="M173" i="209"/>
  <c r="K44" i="232"/>
  <c r="I140" i="209"/>
  <c r="M140" i="209"/>
  <c r="N140" i="209" s="1"/>
  <c r="I150" i="209"/>
  <c r="M150" i="209"/>
  <c r="N150" i="209" s="1"/>
  <c r="M160" i="209"/>
  <c r="I148" i="209"/>
  <c r="M142" i="209"/>
  <c r="N142" i="209" s="1"/>
  <c r="I142" i="209"/>
  <c r="M156" i="209"/>
  <c r="M169" i="209"/>
  <c r="M175" i="209"/>
  <c r="M145" i="209"/>
  <c r="N145" i="209" s="1"/>
  <c r="I145" i="209"/>
  <c r="M157" i="209"/>
  <c r="M167" i="209"/>
  <c r="M171" i="209"/>
  <c r="L22" i="244"/>
  <c r="L24" i="244" s="1"/>
  <c r="F23" i="137" s="1"/>
  <c r="P44" i="202"/>
  <c r="K31" i="215"/>
  <c r="I132" i="209"/>
  <c r="M132" i="209"/>
  <c r="N132" i="209" s="1"/>
  <c r="I134" i="209"/>
  <c r="M134" i="209"/>
  <c r="N134" i="209" s="1"/>
  <c r="M133" i="209"/>
  <c r="N133" i="209" s="1"/>
  <c r="I133" i="209"/>
  <c r="M254" i="213"/>
  <c r="M259" i="236"/>
  <c r="K32" i="232"/>
  <c r="M246" i="213"/>
  <c r="M255" i="207"/>
  <c r="L234" i="213"/>
  <c r="J34" i="232"/>
  <c r="J24" i="232"/>
  <c r="L194" i="213"/>
  <c r="L208" i="213"/>
  <c r="L187" i="213"/>
  <c r="L188" i="213"/>
  <c r="E29" i="37"/>
  <c r="E31" i="37" s="1"/>
  <c r="E34" i="37" s="1"/>
  <c r="G28" i="1" s="1"/>
  <c r="L193" i="213"/>
  <c r="L197" i="213"/>
  <c r="L209" i="213"/>
  <c r="L254" i="207"/>
  <c r="M156" i="213"/>
  <c r="L235" i="207"/>
  <c r="M156" i="236"/>
  <c r="M164" i="236"/>
  <c r="H35" i="30"/>
  <c r="K33" i="30"/>
  <c r="I142" i="207"/>
  <c r="I140" i="207"/>
  <c r="I135" i="207"/>
  <c r="M250" i="213"/>
  <c r="M249" i="213"/>
  <c r="L196" i="213"/>
  <c r="M252" i="213"/>
  <c r="L198" i="213"/>
  <c r="L210" i="213"/>
  <c r="L250" i="207"/>
  <c r="M235" i="213"/>
  <c r="L203" i="213"/>
  <c r="L213" i="213"/>
  <c r="M131" i="213"/>
  <c r="N131" i="213" s="1"/>
  <c r="I131" i="213"/>
  <c r="I145" i="207"/>
  <c r="I144" i="207"/>
  <c r="M251" i="213"/>
  <c r="M247" i="213"/>
  <c r="L191" i="213"/>
  <c r="M136" i="213"/>
  <c r="N136" i="213" s="1"/>
  <c r="I136" i="213"/>
  <c r="M258" i="213"/>
  <c r="L200" i="213"/>
  <c r="L211" i="213"/>
  <c r="L205" i="213"/>
  <c r="M139" i="213"/>
  <c r="N139" i="213" s="1"/>
  <c r="I139" i="213"/>
  <c r="J26" i="231"/>
  <c r="H19" i="202"/>
  <c r="I131" i="207"/>
  <c r="I132" i="207"/>
  <c r="I148" i="207"/>
  <c r="I143" i="207"/>
  <c r="M245" i="213"/>
  <c r="L192" i="213"/>
  <c r="M143" i="213"/>
  <c r="N143" i="213" s="1"/>
  <c r="I143" i="213"/>
  <c r="L201" i="213"/>
  <c r="L212" i="213"/>
  <c r="M253" i="207"/>
  <c r="L206" i="213"/>
  <c r="M147" i="213"/>
  <c r="N147" i="213" s="1"/>
  <c r="I147" i="213"/>
  <c r="M234" i="207"/>
  <c r="N152" i="207"/>
  <c r="I134" i="207"/>
  <c r="I137" i="207"/>
  <c r="F42" i="42" l="1"/>
  <c r="E42" i="42"/>
  <c r="G42" i="42"/>
  <c r="D42" i="42"/>
  <c r="M21" i="35"/>
  <c r="N18" i="35"/>
  <c r="M19" i="35"/>
  <c r="J19" i="35"/>
  <c r="N19" i="35"/>
  <c r="D177" i="45"/>
  <c r="H193" i="207"/>
  <c r="M192" i="207"/>
  <c r="F35" i="215"/>
  <c r="G22" i="95"/>
  <c r="G41" i="10" s="1"/>
  <c r="G193" i="207"/>
  <c r="L192" i="207"/>
  <c r="K22" i="95"/>
  <c r="G72" i="10" s="1"/>
  <c r="T44" i="202"/>
  <c r="E31" i="212"/>
  <c r="T19" i="202"/>
  <c r="K35" i="30"/>
  <c r="E20" i="31" s="1"/>
  <c r="J66" i="10"/>
  <c r="J64" i="10"/>
  <c r="M64" i="10"/>
  <c r="L62" i="10"/>
  <c r="L66" i="10" s="1"/>
  <c r="K62" i="10"/>
  <c r="K64" i="10" s="1"/>
  <c r="N64" i="10"/>
  <c r="N66" i="10"/>
  <c r="J26" i="34"/>
  <c r="J32" i="34" s="1"/>
  <c r="L26" i="34"/>
  <c r="L32" i="34" s="1"/>
  <c r="L41" i="231"/>
  <c r="H45" i="233"/>
  <c r="K21" i="215"/>
  <c r="E16" i="67" s="1"/>
  <c r="K35" i="215"/>
  <c r="E20" i="67" s="1"/>
  <c r="D157" i="51"/>
  <c r="E27" i="103"/>
  <c r="E58" i="100"/>
  <c r="E57" i="100"/>
  <c r="P15" i="222"/>
  <c r="I27" i="103"/>
  <c r="I56" i="100"/>
  <c r="I151" i="236"/>
  <c r="I153" i="209"/>
  <c r="N153" i="209"/>
  <c r="I152" i="207"/>
  <c r="L44" i="202"/>
  <c r="L19" i="202"/>
  <c r="I152" i="213"/>
  <c r="N152" i="213"/>
  <c r="H44" i="202"/>
  <c r="D45" i="42" l="1"/>
  <c r="G45" i="42"/>
  <c r="E45" i="42"/>
  <c r="F45" i="42"/>
  <c r="L19" i="35"/>
  <c r="H196" i="207"/>
  <c r="M193" i="207"/>
  <c r="K21" i="4"/>
  <c r="G196" i="207"/>
  <c r="L193" i="207"/>
  <c r="L64" i="10"/>
  <c r="K66" i="10"/>
  <c r="I45" i="233"/>
  <c r="I57" i="100"/>
  <c r="I58" i="100"/>
  <c r="H197" i="207" l="1"/>
  <c r="M196" i="207"/>
  <c r="G197" i="207"/>
  <c r="L196" i="207"/>
  <c r="J45" i="233"/>
  <c r="H72" i="10"/>
  <c r="H198" i="207" l="1"/>
  <c r="M197" i="207"/>
  <c r="G198" i="207"/>
  <c r="L197" i="207"/>
  <c r="K45" i="233"/>
  <c r="H200" i="207" l="1"/>
  <c r="M198" i="207"/>
  <c r="G200" i="207"/>
  <c r="L198" i="207"/>
  <c r="L45" i="233"/>
  <c r="E22" i="239"/>
  <c r="H37" i="103"/>
  <c r="I37" i="103" s="1"/>
  <c r="D40" i="103"/>
  <c r="D38" i="103"/>
  <c r="E37" i="103"/>
  <c r="D39" i="103"/>
  <c r="D33" i="102"/>
  <c r="I22" i="239"/>
  <c r="E42" i="100"/>
  <c r="E41" i="100"/>
  <c r="E40" i="100"/>
  <c r="E69" i="100"/>
  <c r="F69" i="100" s="1"/>
  <c r="H201" i="207" l="1"/>
  <c r="M200" i="207"/>
  <c r="G201" i="207"/>
  <c r="L200" i="207"/>
  <c r="M45" i="233"/>
  <c r="E70" i="100"/>
  <c r="F70" i="100" s="1"/>
  <c r="I20" i="239"/>
  <c r="E20" i="239"/>
  <c r="E24" i="239" s="1"/>
  <c r="E33" i="100"/>
  <c r="F32" i="100"/>
  <c r="E62" i="100"/>
  <c r="E35" i="100"/>
  <c r="E34" i="100"/>
  <c r="E71" i="100"/>
  <c r="F71" i="100" s="1"/>
  <c r="H38" i="103"/>
  <c r="I38" i="103" s="1"/>
  <c r="E38" i="103"/>
  <c r="I69" i="100"/>
  <c r="J69" i="100" s="1"/>
  <c r="E72" i="100"/>
  <c r="F72" i="100" s="1"/>
  <c r="E40" i="103"/>
  <c r="H40" i="103"/>
  <c r="I40" i="103" s="1"/>
  <c r="I30" i="103"/>
  <c r="D32" i="103"/>
  <c r="D33" i="103"/>
  <c r="E30" i="103"/>
  <c r="D31" i="103"/>
  <c r="H39" i="103"/>
  <c r="I39" i="103" s="1"/>
  <c r="E39" i="103"/>
  <c r="H203" i="207" l="1"/>
  <c r="M201" i="207"/>
  <c r="G203" i="207"/>
  <c r="L201" i="207"/>
  <c r="I24" i="239"/>
  <c r="N45" i="233"/>
  <c r="M222" i="236"/>
  <c r="I41" i="103"/>
  <c r="E41" i="103"/>
  <c r="E33" i="103"/>
  <c r="H33" i="103"/>
  <c r="I33" i="103" s="1"/>
  <c r="E64" i="100"/>
  <c r="F34" i="100"/>
  <c r="E32" i="103"/>
  <c r="H32" i="103"/>
  <c r="I32" i="103" s="1"/>
  <c r="F73" i="100"/>
  <c r="I71" i="100"/>
  <c r="J71" i="100" s="1"/>
  <c r="E65" i="100"/>
  <c r="F65" i="100" s="1"/>
  <c r="E63" i="100"/>
  <c r="F33" i="100"/>
  <c r="I70" i="100"/>
  <c r="J70" i="100" s="1"/>
  <c r="E31" i="103"/>
  <c r="H31" i="103"/>
  <c r="I31" i="103" s="1"/>
  <c r="I72" i="100"/>
  <c r="J72" i="100" s="1"/>
  <c r="I62" i="100"/>
  <c r="J32" i="100"/>
  <c r="H205" i="207" l="1"/>
  <c r="M203" i="207"/>
  <c r="O45" i="233"/>
  <c r="G205" i="207"/>
  <c r="L203" i="207"/>
  <c r="J73" i="100"/>
  <c r="J34" i="100"/>
  <c r="I64" i="100"/>
  <c r="J64" i="100" s="1"/>
  <c r="I34" i="103"/>
  <c r="I43" i="103" s="1"/>
  <c r="J33" i="100"/>
  <c r="I63" i="100"/>
  <c r="I65" i="100"/>
  <c r="J65" i="100" s="1"/>
  <c r="E34" i="103"/>
  <c r="E43" i="103" s="1"/>
  <c r="H206" i="207" l="1"/>
  <c r="M205" i="207"/>
  <c r="P45" i="233"/>
  <c r="D40" i="232" s="1"/>
  <c r="G40" i="232" s="1"/>
  <c r="G206" i="207"/>
  <c r="L205" i="207"/>
  <c r="H207" i="207" l="1"/>
  <c r="M206" i="207"/>
  <c r="I40" i="232"/>
  <c r="L40" i="232" s="1"/>
  <c r="G207" i="207"/>
  <c r="L206" i="207"/>
  <c r="H208" i="207" l="1"/>
  <c r="M207" i="207"/>
  <c r="G208" i="207"/>
  <c r="L207" i="207"/>
  <c r="H209" i="207" l="1"/>
  <c r="M208" i="207"/>
  <c r="G209" i="207"/>
  <c r="L208" i="207"/>
  <c r="H210" i="207" l="1"/>
  <c r="M209" i="207"/>
  <c r="G210" i="207"/>
  <c r="L209" i="207"/>
  <c r="H211" i="207" l="1"/>
  <c r="M210" i="207"/>
  <c r="G211" i="207"/>
  <c r="L210" i="207"/>
  <c r="H212" i="207" l="1"/>
  <c r="M211" i="207"/>
  <c r="G212" i="207"/>
  <c r="L211" i="207"/>
  <c r="M212" i="207" l="1"/>
  <c r="H214" i="207"/>
  <c r="M214" i="207" s="1"/>
  <c r="H213" i="207"/>
  <c r="G214" i="207"/>
  <c r="G213" i="207"/>
  <c r="L212" i="207"/>
  <c r="H218" i="207" l="1"/>
  <c r="M213" i="207"/>
  <c r="L214" i="207"/>
  <c r="G218" i="207"/>
  <c r="L213" i="207"/>
  <c r="M218" i="207" l="1"/>
  <c r="L218" i="207"/>
  <c r="H136" i="237" l="1"/>
  <c r="H141" i="237"/>
  <c r="H138" i="237"/>
  <c r="H135" i="237"/>
  <c r="H149" i="237"/>
  <c r="H132" i="237"/>
  <c r="H133" i="237"/>
  <c r="H139" i="237"/>
  <c r="H151" i="237"/>
  <c r="H143" i="237"/>
  <c r="H150" i="237"/>
  <c r="H146" i="237"/>
  <c r="H137" i="237"/>
  <c r="H144" i="237"/>
  <c r="H131" i="237"/>
  <c r="H148" i="237"/>
  <c r="H147" i="237"/>
  <c r="H140" i="237"/>
  <c r="H145" i="237"/>
  <c r="H142" i="237"/>
  <c r="H134" i="237"/>
  <c r="H153" i="237" l="1"/>
  <c r="F40" i="100" l="1"/>
  <c r="F41" i="100"/>
  <c r="J41" i="100"/>
  <c r="J40" i="100"/>
  <c r="F58" i="100" l="1"/>
  <c r="F27" i="100"/>
  <c r="D79" i="51"/>
  <c r="J27" i="100"/>
  <c r="J58" i="100"/>
  <c r="F64" i="100" l="1"/>
  <c r="J21" i="100"/>
  <c r="F51" i="100"/>
  <c r="J18" i="100"/>
  <c r="D112" i="51"/>
  <c r="F19" i="100"/>
  <c r="F26" i="100"/>
  <c r="F21" i="100"/>
  <c r="F39" i="100"/>
  <c r="F62" i="100"/>
  <c r="J51" i="100"/>
  <c r="J26" i="100"/>
  <c r="J39" i="100"/>
  <c r="J19" i="100"/>
  <c r="J62" i="100"/>
  <c r="D111" i="51" l="1"/>
  <c r="F18" i="100"/>
  <c r="O52" i="238" l="1"/>
  <c r="F56" i="171" l="1"/>
  <c r="E56" i="171"/>
  <c r="H56" i="171"/>
  <c r="D56" i="171"/>
  <c r="G56" i="171"/>
  <c r="O54" i="171"/>
  <c r="O15" i="171" l="1"/>
  <c r="C24" i="171"/>
  <c r="C56" i="171" l="1"/>
  <c r="M43" i="35" l="1"/>
  <c r="L43" i="35" s="1"/>
  <c r="O43" i="35" l="1"/>
  <c r="O42" i="171"/>
  <c r="N43" i="35" l="1"/>
  <c r="O42" i="238" l="1"/>
  <c r="O53" i="238" l="1"/>
  <c r="D54" i="50" l="1"/>
  <c r="D27" i="51"/>
  <c r="D55" i="50" l="1"/>
  <c r="H27" i="51" s="1"/>
  <c r="P27" i="51" s="1"/>
  <c r="D56" i="50" l="1"/>
  <c r="H61" i="192" l="1"/>
  <c r="G61" i="192"/>
  <c r="F61" i="192"/>
  <c r="E61" i="192"/>
  <c r="H62" i="192" l="1"/>
  <c r="E62" i="192"/>
  <c r="F62" i="192"/>
  <c r="G62" i="192"/>
  <c r="D61" i="192"/>
  <c r="I62" i="192" l="1"/>
  <c r="D62" i="192" l="1"/>
  <c r="H43" i="100" l="1"/>
  <c r="J42" i="100"/>
  <c r="J43" i="100" s="1"/>
  <c r="F42" i="100"/>
  <c r="F43" i="100" s="1"/>
  <c r="D43" i="100"/>
  <c r="I27" i="247" l="1"/>
  <c r="K27" i="247" s="1"/>
  <c r="E27" i="247"/>
  <c r="G27" i="247" s="1"/>
  <c r="I21" i="247" l="1"/>
  <c r="E21" i="247"/>
  <c r="G21" i="247" s="1"/>
  <c r="K21" i="247" l="1"/>
  <c r="D29" i="247"/>
  <c r="I24" i="247" l="1"/>
  <c r="K24" i="247" s="1"/>
  <c r="E24" i="247"/>
  <c r="G24" i="247" s="1"/>
  <c r="I18" i="247"/>
  <c r="E18" i="247"/>
  <c r="C29" i="247"/>
  <c r="K18" i="247" l="1"/>
  <c r="I29" i="247"/>
  <c r="G18" i="247"/>
  <c r="G29" i="247" s="1"/>
  <c r="E29" i="247"/>
  <c r="K29" i="247" l="1"/>
  <c r="M24" i="46" s="1"/>
  <c r="F16" i="98" l="1"/>
  <c r="F20" i="98" s="1"/>
  <c r="F20" i="5"/>
  <c r="H16" i="98"/>
  <c r="J20" i="5"/>
  <c r="J16" i="98" l="1"/>
  <c r="J20" i="98" s="1"/>
  <c r="L20" i="98" s="1"/>
  <c r="E29" i="212" s="1"/>
  <c r="L20" i="5"/>
  <c r="L17" i="202" s="1"/>
  <c r="K19" i="4" s="1"/>
  <c r="H42" i="202"/>
  <c r="H17" i="202"/>
  <c r="P17" i="202"/>
  <c r="P42" i="202"/>
  <c r="T42" i="202" l="1"/>
  <c r="K20" i="95"/>
  <c r="G71" i="10" s="1"/>
  <c r="T17" i="202"/>
  <c r="L42" i="202"/>
  <c r="G20" i="95"/>
  <c r="G40" i="10" s="1"/>
  <c r="P21" i="202"/>
  <c r="P29" i="202" s="1"/>
  <c r="G19" i="4"/>
  <c r="H21" i="202"/>
  <c r="H29" i="202" s="1"/>
  <c r="J17" i="202" s="1"/>
  <c r="P46" i="202"/>
  <c r="P54" i="202" s="1"/>
  <c r="H46" i="202"/>
  <c r="H54" i="202" s="1"/>
  <c r="J42" i="202" s="1"/>
  <c r="H40" i="10" l="1"/>
  <c r="R42" i="202"/>
  <c r="V42" i="202" s="1"/>
  <c r="R50" i="202"/>
  <c r="R17" i="202"/>
  <c r="V17" i="202" s="1"/>
  <c r="R25" i="202"/>
  <c r="V25" i="202" s="1"/>
  <c r="G28" i="95"/>
  <c r="J44" i="202"/>
  <c r="N44" i="202" s="1"/>
  <c r="J50" i="202"/>
  <c r="J48" i="202"/>
  <c r="N48" i="202" s="1"/>
  <c r="R52" i="202"/>
  <c r="V52" i="202" s="1"/>
  <c r="G27" i="4"/>
  <c r="I19" i="4" s="1"/>
  <c r="N42" i="202"/>
  <c r="J19" i="202"/>
  <c r="R27" i="202"/>
  <c r="V27" i="202" s="1"/>
  <c r="J27" i="202"/>
  <c r="N27" i="202" s="1"/>
  <c r="J25" i="202"/>
  <c r="J23" i="202"/>
  <c r="N23" i="202" s="1"/>
  <c r="J52" i="202"/>
  <c r="N52" i="202" s="1"/>
  <c r="N17" i="202"/>
  <c r="R44" i="202"/>
  <c r="V44" i="202" s="1"/>
  <c r="R48" i="202"/>
  <c r="V48" i="202" s="1"/>
  <c r="R19" i="202"/>
  <c r="V19" i="202" s="1"/>
  <c r="R23" i="202"/>
  <c r="V23" i="202" s="1"/>
  <c r="H71" i="10"/>
  <c r="I23" i="4" l="1"/>
  <c r="M23" i="4" s="1"/>
  <c r="I21" i="4"/>
  <c r="M21" i="4" s="1"/>
  <c r="I25" i="4"/>
  <c r="M25" i="4" s="1"/>
  <c r="M19" i="4"/>
  <c r="H45" i="10"/>
  <c r="I20" i="95"/>
  <c r="M20" i="95" s="1"/>
  <c r="G45" i="10"/>
  <c r="N46" i="202"/>
  <c r="R21" i="202"/>
  <c r="R29" i="202" s="1"/>
  <c r="V21" i="202"/>
  <c r="N19" i="202"/>
  <c r="N21" i="202" s="1"/>
  <c r="I22" i="95"/>
  <c r="M22" i="95" s="1"/>
  <c r="I24" i="95"/>
  <c r="M24" i="95" s="1"/>
  <c r="I26" i="95"/>
  <c r="M26" i="95" s="1"/>
  <c r="V46" i="202"/>
  <c r="J46" i="202"/>
  <c r="J54" i="202" s="1"/>
  <c r="N25" i="202"/>
  <c r="J21" i="202"/>
  <c r="J29" i="202" s="1"/>
  <c r="R46" i="202"/>
  <c r="R54" i="202" s="1"/>
  <c r="V29" i="202" l="1"/>
  <c r="G30" i="84"/>
  <c r="N29" i="202"/>
  <c r="E30" i="84"/>
  <c r="M27" i="4"/>
  <c r="E22" i="1" s="1"/>
  <c r="M28" i="95"/>
  <c r="G22" i="1" s="1"/>
  <c r="I27" i="4"/>
  <c r="I28" i="95"/>
  <c r="J56" i="171" l="1"/>
  <c r="I56" i="171"/>
  <c r="K56" i="171"/>
  <c r="F19" i="250" l="1"/>
  <c r="F21" i="105" l="1"/>
  <c r="F23" i="105" s="1"/>
  <c r="E23" i="102"/>
  <c r="D23" i="105" l="1"/>
  <c r="E22" i="102"/>
  <c r="E24" i="102" s="1"/>
  <c r="C24" i="102"/>
  <c r="I23" i="102" l="1"/>
  <c r="G24" i="102" l="1"/>
  <c r="I22" i="102"/>
  <c r="I24" i="102" s="1"/>
  <c r="J21" i="105"/>
  <c r="J23" i="105" s="1"/>
  <c r="H23" i="105"/>
  <c r="E33" i="102" l="1"/>
  <c r="I33" i="102" l="1"/>
  <c r="N96" i="236" l="1"/>
  <c r="N96" i="209" l="1"/>
  <c r="O31" i="238" l="1"/>
  <c r="O32" i="238"/>
  <c r="D34" i="171"/>
  <c r="E34" i="171"/>
  <c r="F34" i="171"/>
  <c r="G34" i="171"/>
  <c r="O30" i="171" l="1"/>
  <c r="O32" i="171"/>
  <c r="C34" i="171"/>
  <c r="G44" i="171"/>
  <c r="O31" i="171"/>
  <c r="H34" i="171"/>
  <c r="F44" i="171" l="1"/>
  <c r="H44" i="171"/>
  <c r="E44" i="171"/>
  <c r="D44" i="171"/>
  <c r="I34" i="171"/>
  <c r="J34" i="171"/>
  <c r="K34" i="171"/>
  <c r="L34" i="171" l="1"/>
  <c r="M34" i="171"/>
  <c r="C44" i="171"/>
  <c r="O29" i="171"/>
  <c r="J44" i="171"/>
  <c r="J24" i="171" s="1"/>
  <c r="K44" i="171"/>
  <c r="I44" i="171"/>
  <c r="I24" i="171" s="1"/>
  <c r="L44" i="171"/>
  <c r="K24" i="171" l="1"/>
  <c r="K16" i="44"/>
  <c r="O18" i="171"/>
  <c r="O17" i="171"/>
  <c r="M44" i="171"/>
  <c r="N34" i="171"/>
  <c r="L16" i="44" l="1"/>
  <c r="J16" i="44"/>
  <c r="O34" i="171"/>
  <c r="L56" i="171"/>
  <c r="C34" i="238"/>
  <c r="O52" i="171"/>
  <c r="M56" i="171"/>
  <c r="M24" i="171" s="1"/>
  <c r="N44" i="171"/>
  <c r="O41" i="171"/>
  <c r="N16" i="44" l="1"/>
  <c r="L24" i="171"/>
  <c r="O20" i="171"/>
  <c r="O46" i="171" s="1"/>
  <c r="D34" i="238"/>
  <c r="N56" i="171"/>
  <c r="N24" i="171" s="1"/>
  <c r="O44" i="171"/>
  <c r="O21" i="171"/>
  <c r="O36" i="171" s="1"/>
  <c r="O19" i="171"/>
  <c r="O56" i="171" l="1"/>
  <c r="O16" i="44"/>
  <c r="D44" i="238"/>
  <c r="C56" i="238"/>
  <c r="E34" i="238"/>
  <c r="O22" i="171" l="1"/>
  <c r="O58" i="171" s="1"/>
  <c r="F34" i="238"/>
  <c r="D56" i="238"/>
  <c r="E44" i="238"/>
  <c r="M16" i="44" l="1"/>
  <c r="O24" i="171"/>
  <c r="G34" i="238"/>
  <c r="F44" i="238"/>
  <c r="E56" i="238"/>
  <c r="P16" i="44" l="1"/>
  <c r="F56" i="238"/>
  <c r="G44" i="238"/>
  <c r="H34" i="238"/>
  <c r="D168" i="51" l="1"/>
  <c r="D19" i="48"/>
  <c r="D178" i="45"/>
  <c r="H44" i="238"/>
  <c r="I34" i="238"/>
  <c r="G56" i="238"/>
  <c r="D27" i="46" l="1"/>
  <c r="J28" i="42"/>
  <c r="H56" i="238"/>
  <c r="J34" i="238"/>
  <c r="I44" i="238"/>
  <c r="D21" i="47" l="1"/>
  <c r="J44" i="238"/>
  <c r="K34" i="238"/>
  <c r="I56" i="238"/>
  <c r="J56" i="238" l="1"/>
  <c r="L34" i="238"/>
  <c r="K44" i="238"/>
  <c r="L44" i="238" l="1"/>
  <c r="M34" i="238"/>
  <c r="K56" i="238"/>
  <c r="L56" i="238" l="1"/>
  <c r="N34" i="238"/>
  <c r="M44" i="238"/>
  <c r="N44" i="238" l="1"/>
  <c r="O41" i="238"/>
  <c r="O34" i="238"/>
  <c r="M56" i="238"/>
  <c r="N56" i="238" l="1"/>
  <c r="O51" i="238"/>
  <c r="O21" i="238"/>
  <c r="O36" i="238" s="1"/>
  <c r="O44" i="238"/>
  <c r="O20" i="238" l="1"/>
  <c r="O46" i="238" s="1"/>
  <c r="O56" i="238"/>
  <c r="O22" i="238" l="1"/>
  <c r="O58" i="238" s="1"/>
  <c r="J275" i="251" l="1"/>
  <c r="J269" i="251"/>
  <c r="J227" i="251"/>
  <c r="J215" i="251"/>
  <c r="J209" i="251"/>
  <c r="J270" i="251"/>
  <c r="J258" i="251"/>
  <c r="J252" i="251"/>
  <c r="J253" i="251"/>
  <c r="J241" i="251"/>
  <c r="J193" i="251"/>
  <c r="J278" i="251"/>
  <c r="J272" i="251"/>
  <c r="J230" i="251"/>
  <c r="J218" i="251"/>
  <c r="J212" i="251"/>
  <c r="J167" i="251"/>
  <c r="J155" i="251"/>
  <c r="J149" i="251"/>
  <c r="J208" i="251"/>
  <c r="J174" i="251"/>
  <c r="J175" i="251"/>
  <c r="J133" i="251"/>
  <c r="J182" i="251"/>
  <c r="J140" i="251"/>
  <c r="J128" i="251"/>
  <c r="J120" i="251"/>
  <c r="J231" i="251"/>
  <c r="J207" i="251"/>
  <c r="J243" i="251"/>
  <c r="J189" i="251"/>
  <c r="J240" i="251"/>
  <c r="J171" i="251"/>
  <c r="J249" i="251"/>
  <c r="J210" i="251"/>
  <c r="J121" i="251"/>
  <c r="J117" i="251"/>
  <c r="J198" i="251"/>
  <c r="J136" i="251"/>
  <c r="J132" i="251"/>
  <c r="J118" i="251"/>
  <c r="J192" i="251"/>
  <c r="J126" i="251"/>
  <c r="J107" i="251"/>
  <c r="J214" i="251"/>
  <c r="J119" i="251"/>
  <c r="J190" i="251"/>
  <c r="J178" i="251"/>
  <c r="J122" i="251"/>
  <c r="J112" i="251"/>
  <c r="J213" i="251"/>
  <c r="J113" i="251"/>
  <c r="J129" i="251"/>
  <c r="J222" i="251"/>
  <c r="J111" i="251"/>
  <c r="D45" i="231"/>
  <c r="G45" i="231" s="1"/>
  <c r="H36" i="230" l="1"/>
  <c r="G47" i="230"/>
  <c r="I36" i="230"/>
  <c r="F36" i="230"/>
  <c r="F47" i="230"/>
  <c r="I47" i="230"/>
  <c r="G36" i="230"/>
  <c r="J28" i="230"/>
  <c r="J141" i="251"/>
  <c r="J181" i="251"/>
  <c r="J261" i="251"/>
  <c r="J223" i="251"/>
  <c r="J159" i="251"/>
  <c r="J235" i="251"/>
  <c r="J166" i="251"/>
  <c r="J147" i="251"/>
  <c r="J162" i="251"/>
  <c r="J200" i="251"/>
  <c r="J216" i="251"/>
  <c r="D39" i="231"/>
  <c r="J158" i="251"/>
  <c r="J228" i="251"/>
  <c r="J180" i="251"/>
  <c r="J172" i="251"/>
  <c r="J267" i="251"/>
  <c r="J260" i="251"/>
  <c r="J160" i="251"/>
  <c r="J244" i="251"/>
  <c r="J183" i="251"/>
  <c r="J151" i="251"/>
  <c r="J262" i="251"/>
  <c r="J204" i="251"/>
  <c r="J185" i="251"/>
  <c r="J130" i="251"/>
  <c r="J248" i="251"/>
  <c r="J279" i="251"/>
  <c r="J150" i="251"/>
  <c r="J197" i="251"/>
  <c r="J225" i="251"/>
  <c r="J273" i="251"/>
  <c r="J271" i="251"/>
  <c r="J274" i="251"/>
  <c r="J188" i="251"/>
  <c r="J237" i="251"/>
  <c r="J163" i="251"/>
  <c r="J153" i="251"/>
  <c r="J245" i="251"/>
  <c r="J255" i="251"/>
  <c r="J211" i="251"/>
  <c r="J125" i="251"/>
  <c r="J257" i="251"/>
  <c r="J154" i="251"/>
  <c r="J137" i="251"/>
  <c r="J170" i="251"/>
  <c r="E19" i="251"/>
  <c r="C20" i="251"/>
  <c r="J47" i="230"/>
  <c r="D36" i="230"/>
  <c r="D28" i="230"/>
  <c r="E47" i="230"/>
  <c r="G28" i="230"/>
  <c r="Q43" i="230"/>
  <c r="I45" i="231" s="1"/>
  <c r="L45" i="231" s="1"/>
  <c r="J36" i="230"/>
  <c r="H47" i="230"/>
  <c r="D47" i="230"/>
  <c r="E36" i="230"/>
  <c r="J134" i="251" l="1"/>
  <c r="J220" i="251"/>
  <c r="J265" i="251"/>
  <c r="J156" i="251"/>
  <c r="H28" i="230"/>
  <c r="F28" i="230"/>
  <c r="J173" i="251"/>
  <c r="J282" i="251"/>
  <c r="J131" i="251"/>
  <c r="J184" i="251"/>
  <c r="J236" i="251"/>
  <c r="J239" i="251"/>
  <c r="J194" i="251"/>
  <c r="J115" i="251"/>
  <c r="J196" i="251"/>
  <c r="J199" i="251"/>
  <c r="J256" i="251"/>
  <c r="J254" i="251"/>
  <c r="J146" i="251"/>
  <c r="J105" i="251"/>
  <c r="J219" i="251"/>
  <c r="J127" i="251"/>
  <c r="J124" i="251"/>
  <c r="J226" i="251"/>
  <c r="C21" i="251"/>
  <c r="J187" i="251"/>
  <c r="J233" i="251"/>
  <c r="J191" i="251"/>
  <c r="J106" i="251"/>
  <c r="J276" i="251"/>
  <c r="J247" i="251"/>
  <c r="J250" i="251"/>
  <c r="J251" i="251"/>
  <c r="J176" i="251"/>
  <c r="J232" i="251"/>
  <c r="J263" i="251"/>
  <c r="J110" i="251"/>
  <c r="J277" i="251"/>
  <c r="J264" i="251"/>
  <c r="J135" i="251"/>
  <c r="J268" i="251"/>
  <c r="J169" i="251"/>
  <c r="J280" i="251"/>
  <c r="J157" i="251"/>
  <c r="J224" i="251"/>
  <c r="J221" i="251"/>
  <c r="J165" i="251"/>
  <c r="J186" i="251"/>
  <c r="J168" i="251"/>
  <c r="J281" i="251"/>
  <c r="J238" i="251"/>
  <c r="J143" i="251"/>
  <c r="J259" i="251"/>
  <c r="J217" i="251"/>
  <c r="J206" i="251"/>
  <c r="J144" i="251"/>
  <c r="J108" i="251"/>
  <c r="J203" i="251"/>
  <c r="J266" i="251"/>
  <c r="J138" i="251"/>
  <c r="J177" i="251"/>
  <c r="J114" i="251"/>
  <c r="J152" i="251"/>
  <c r="J142" i="251"/>
  <c r="J229" i="251"/>
  <c r="E28" i="230"/>
  <c r="J109" i="251"/>
  <c r="J205" i="251"/>
  <c r="J161" i="251"/>
  <c r="J148" i="251"/>
  <c r="E13" i="251"/>
  <c r="G34" i="1" s="1"/>
  <c r="J202" i="251"/>
  <c r="J195" i="251"/>
  <c r="Q39" i="230"/>
  <c r="I39" i="231" s="1"/>
  <c r="J123" i="251"/>
  <c r="J145" i="251"/>
  <c r="J201" i="251"/>
  <c r="J246" i="251"/>
  <c r="I28" i="230"/>
  <c r="J179" i="251"/>
  <c r="J116" i="251"/>
  <c r="J139" i="251"/>
  <c r="J242" i="251"/>
  <c r="J164" i="251"/>
  <c r="J234" i="251"/>
  <c r="G39" i="231"/>
  <c r="J31" i="251" l="1"/>
  <c r="D17" i="231"/>
  <c r="G17" i="231" s="1"/>
  <c r="C22" i="251"/>
  <c r="Q30" i="230"/>
  <c r="I30" i="231" s="1"/>
  <c r="L39" i="231"/>
  <c r="J61" i="251" l="1"/>
  <c r="J47" i="251"/>
  <c r="J48" i="251"/>
  <c r="J59" i="251"/>
  <c r="J39" i="251"/>
  <c r="J44" i="251"/>
  <c r="J54" i="251"/>
  <c r="J42" i="251"/>
  <c r="J41" i="251"/>
  <c r="J30" i="251"/>
  <c r="J52" i="251"/>
  <c r="J22" i="251"/>
  <c r="J58" i="251"/>
  <c r="J45" i="251"/>
  <c r="J24" i="251"/>
  <c r="J51" i="251"/>
  <c r="J25" i="251"/>
  <c r="J49" i="251"/>
  <c r="J55" i="251"/>
  <c r="J29" i="251"/>
  <c r="J46" i="251"/>
  <c r="J35" i="251"/>
  <c r="J26" i="251"/>
  <c r="J53" i="251"/>
  <c r="J40" i="251"/>
  <c r="D30" i="231"/>
  <c r="J36" i="251"/>
  <c r="J32" i="251"/>
  <c r="J28" i="251"/>
  <c r="L30" i="231"/>
  <c r="J33" i="251"/>
  <c r="J38" i="251"/>
  <c r="C23" i="251"/>
  <c r="J34" i="251"/>
  <c r="J56" i="251"/>
  <c r="J21" i="251"/>
  <c r="J27" i="251"/>
  <c r="J50" i="251"/>
  <c r="J43" i="251"/>
  <c r="J23" i="251"/>
  <c r="Q17" i="230"/>
  <c r="I17" i="231" s="1"/>
  <c r="L17" i="231" s="1"/>
  <c r="J57" i="251"/>
  <c r="J37" i="251"/>
  <c r="D20" i="251"/>
  <c r="J20" i="251"/>
  <c r="J62" i="251"/>
  <c r="J60" i="251"/>
  <c r="J63" i="251" l="1"/>
  <c r="D13" i="231"/>
  <c r="Q13" i="230"/>
  <c r="I13" i="231" s="1"/>
  <c r="D21" i="251"/>
  <c r="E20" i="251"/>
  <c r="C24" i="251"/>
  <c r="G30" i="231"/>
  <c r="D26" i="231"/>
  <c r="G26" i="231" s="1"/>
  <c r="E23" i="255"/>
  <c r="E34" i="1" s="1"/>
  <c r="J64" i="251" l="1"/>
  <c r="L47" i="230"/>
  <c r="I26" i="231"/>
  <c r="L26" i="231" s="1"/>
  <c r="D22" i="251"/>
  <c r="E21" i="251"/>
  <c r="K47" i="230"/>
  <c r="C25" i="251"/>
  <c r="L13" i="231"/>
  <c r="D34" i="231"/>
  <c r="G34" i="231" s="1"/>
  <c r="Q34" i="230"/>
  <c r="I34" i="231" s="1"/>
  <c r="L34" i="231" s="1"/>
  <c r="G13" i="231"/>
  <c r="L36" i="230" l="1"/>
  <c r="D23" i="251"/>
  <c r="E22" i="251"/>
  <c r="K36" i="230"/>
  <c r="J65" i="251"/>
  <c r="C26" i="251"/>
  <c r="C27" i="251" l="1"/>
  <c r="N47" i="230"/>
  <c r="D22" i="231"/>
  <c r="I22" i="231"/>
  <c r="D24" i="251"/>
  <c r="E23" i="251"/>
  <c r="J66" i="251"/>
  <c r="D25" i="251" l="1"/>
  <c r="E24" i="251"/>
  <c r="J68" i="251"/>
  <c r="J67" i="251"/>
  <c r="G22" i="231"/>
  <c r="C28" i="251"/>
  <c r="M36" i="230"/>
  <c r="N36" i="230"/>
  <c r="M47" i="230"/>
  <c r="L22" i="231"/>
  <c r="C29" i="251" l="1"/>
  <c r="D26" i="251"/>
  <c r="E25" i="251"/>
  <c r="D27" i="251" l="1"/>
  <c r="E26" i="251"/>
  <c r="O36" i="230"/>
  <c r="Q32" i="230"/>
  <c r="I32" i="231" s="1"/>
  <c r="C30" i="251"/>
  <c r="K28" i="230"/>
  <c r="O47" i="230"/>
  <c r="L32" i="231" l="1"/>
  <c r="L36" i="231" s="1"/>
  <c r="I36" i="231"/>
  <c r="L28" i="230"/>
  <c r="D43" i="231"/>
  <c r="P47" i="230"/>
  <c r="Q47" i="230" s="1"/>
  <c r="C31" i="251"/>
  <c r="D32" i="231"/>
  <c r="P36" i="230"/>
  <c r="Q36" i="230" s="1"/>
  <c r="D28" i="251"/>
  <c r="E27" i="251"/>
  <c r="Q41" i="230"/>
  <c r="I43" i="231" s="1"/>
  <c r="G43" i="231" l="1"/>
  <c r="G47" i="231" s="1"/>
  <c r="D47" i="231"/>
  <c r="M28" i="230"/>
  <c r="C32" i="251"/>
  <c r="L43" i="231"/>
  <c r="L47" i="231" s="1"/>
  <c r="I47" i="231"/>
  <c r="D29" i="251"/>
  <c r="E28" i="251"/>
  <c r="G32" i="231"/>
  <c r="G36" i="231" s="1"/>
  <c r="D36" i="231"/>
  <c r="D36" i="233" l="1"/>
  <c r="N28" i="230"/>
  <c r="D47" i="233"/>
  <c r="E47" i="233"/>
  <c r="D30" i="251"/>
  <c r="E29" i="251"/>
  <c r="C33" i="251"/>
  <c r="Q43" i="233" l="1"/>
  <c r="I44" i="232" s="1"/>
  <c r="L44" i="232" s="1"/>
  <c r="D44" i="232"/>
  <c r="G44" i="232" s="1"/>
  <c r="C34" i="251"/>
  <c r="E36" i="233"/>
  <c r="D31" i="251"/>
  <c r="E30" i="251"/>
  <c r="O28" i="230"/>
  <c r="F47" i="233"/>
  <c r="D32" i="251" l="1"/>
  <c r="E31" i="251"/>
  <c r="C35" i="251"/>
  <c r="F36" i="233"/>
  <c r="G47" i="233"/>
  <c r="D24" i="231" l="1"/>
  <c r="P28" i="230"/>
  <c r="G36" i="233"/>
  <c r="I24" i="231"/>
  <c r="C36" i="251"/>
  <c r="D33" i="251"/>
  <c r="E32" i="251"/>
  <c r="Q39" i="233"/>
  <c r="I38" i="232" s="1"/>
  <c r="D38" i="232"/>
  <c r="L24" i="231" l="1"/>
  <c r="L28" i="231" s="1"/>
  <c r="I28" i="231"/>
  <c r="Q28" i="230"/>
  <c r="G38" i="232"/>
  <c r="G24" i="231"/>
  <c r="G28" i="231" s="1"/>
  <c r="D28" i="231"/>
  <c r="L38" i="232"/>
  <c r="H47" i="233"/>
  <c r="D34" i="251"/>
  <c r="E33" i="251"/>
  <c r="C37" i="251"/>
  <c r="H36" i="233"/>
  <c r="D35" i="251" l="1"/>
  <c r="E34" i="251"/>
  <c r="C38" i="251"/>
  <c r="I47" i="233"/>
  <c r="J47" i="233"/>
  <c r="I36" i="233"/>
  <c r="Q17" i="233"/>
  <c r="I17" i="232" s="1"/>
  <c r="L17" i="232" s="1"/>
  <c r="D17" i="232"/>
  <c r="G17" i="232" s="1"/>
  <c r="D28" i="233"/>
  <c r="Q30" i="233"/>
  <c r="I30" i="232" s="1"/>
  <c r="D30" i="232"/>
  <c r="Q26" i="233" l="1"/>
  <c r="I26" i="232" s="1"/>
  <c r="L26" i="232" s="1"/>
  <c r="D26" i="232"/>
  <c r="G26" i="232" s="1"/>
  <c r="L30" i="232"/>
  <c r="K47" i="233"/>
  <c r="D36" i="251"/>
  <c r="E35" i="251"/>
  <c r="C39" i="251"/>
  <c r="Q13" i="233"/>
  <c r="I13" i="232" s="1"/>
  <c r="D13" i="232"/>
  <c r="G30" i="232"/>
  <c r="J36" i="233"/>
  <c r="E28" i="233"/>
  <c r="C40" i="251" l="1"/>
  <c r="D37" i="251"/>
  <c r="E36" i="251"/>
  <c r="K36" i="233"/>
  <c r="Q34" i="233"/>
  <c r="I34" i="232" s="1"/>
  <c r="L34" i="232" s="1"/>
  <c r="D34" i="232"/>
  <c r="G34" i="232" s="1"/>
  <c r="L13" i="232"/>
  <c r="L47" i="233"/>
  <c r="F28" i="233"/>
  <c r="G13" i="232"/>
  <c r="C41" i="251" l="1"/>
  <c r="D38" i="251"/>
  <c r="E37" i="251"/>
  <c r="G28" i="233"/>
  <c r="M47" i="233"/>
  <c r="L36" i="233"/>
  <c r="H28" i="233" l="1"/>
  <c r="M36" i="233"/>
  <c r="C42" i="251"/>
  <c r="Q22" i="233"/>
  <c r="I22" i="232" s="1"/>
  <c r="D22" i="232"/>
  <c r="D39" i="251"/>
  <c r="E38" i="251"/>
  <c r="I28" i="233" l="1"/>
  <c r="C43" i="251"/>
  <c r="N47" i="233"/>
  <c r="D40" i="251"/>
  <c r="E39" i="251"/>
  <c r="N36" i="233"/>
  <c r="L22" i="232"/>
  <c r="G22" i="232"/>
  <c r="D41" i="251" l="1"/>
  <c r="E40" i="251"/>
  <c r="O47" i="233"/>
  <c r="J28" i="233"/>
  <c r="C44" i="251"/>
  <c r="O36" i="233"/>
  <c r="C45" i="251" l="1"/>
  <c r="D42" i="251"/>
  <c r="E41" i="251"/>
  <c r="Q41" i="233"/>
  <c r="I42" i="232" s="1"/>
  <c r="D42" i="232"/>
  <c r="P47" i="233"/>
  <c r="K28" i="233"/>
  <c r="D43" i="251" l="1"/>
  <c r="E42" i="251"/>
  <c r="L42" i="232"/>
  <c r="L46" i="232" s="1"/>
  <c r="I46" i="232"/>
  <c r="C46" i="251"/>
  <c r="Q32" i="233"/>
  <c r="I32" i="232" s="1"/>
  <c r="D32" i="232"/>
  <c r="P36" i="233"/>
  <c r="Q36" i="233" s="1"/>
  <c r="G42" i="232"/>
  <c r="G46" i="232" s="1"/>
  <c r="D46" i="232"/>
  <c r="L28" i="233"/>
  <c r="Q47" i="233"/>
  <c r="L32" i="232" l="1"/>
  <c r="L36" i="232" s="1"/>
  <c r="I36" i="232"/>
  <c r="C47" i="251"/>
  <c r="D44" i="251"/>
  <c r="E43" i="251"/>
  <c r="G32" i="232"/>
  <c r="G36" i="232" s="1"/>
  <c r="D36" i="232"/>
  <c r="M28" i="233"/>
  <c r="D45" i="251" l="1"/>
  <c r="E44" i="251"/>
  <c r="C48" i="251"/>
  <c r="N28" i="233"/>
  <c r="C49" i="251" l="1"/>
  <c r="D46" i="251"/>
  <c r="E45" i="251"/>
  <c r="O28" i="233"/>
  <c r="D47" i="251" l="1"/>
  <c r="E46" i="251"/>
  <c r="C50" i="251"/>
  <c r="C51" i="251" l="1"/>
  <c r="Q24" i="233"/>
  <c r="I24" i="232" s="1"/>
  <c r="D24" i="232"/>
  <c r="P28" i="233"/>
  <c r="D48" i="251"/>
  <c r="E47" i="251"/>
  <c r="D49" i="251" l="1"/>
  <c r="E48" i="251"/>
  <c r="Q28" i="233"/>
  <c r="G24" i="232"/>
  <c r="G28" i="232" s="1"/>
  <c r="D28" i="232"/>
  <c r="L24" i="232"/>
  <c r="L28" i="232" s="1"/>
  <c r="I28" i="232"/>
  <c r="C52" i="251"/>
  <c r="C53" i="251" l="1"/>
  <c r="D50" i="251"/>
  <c r="E49" i="251"/>
  <c r="D51" i="251" l="1"/>
  <c r="E50" i="251"/>
  <c r="C54" i="251"/>
  <c r="C55" i="251" l="1"/>
  <c r="D52" i="251"/>
  <c r="E51" i="251"/>
  <c r="D53" i="251" l="1"/>
  <c r="E52" i="251"/>
  <c r="C56" i="251"/>
  <c r="C57" i="251" l="1"/>
  <c r="D54" i="251"/>
  <c r="E53" i="251"/>
  <c r="D55" i="251" l="1"/>
  <c r="E54" i="251"/>
  <c r="C58" i="251"/>
  <c r="C59" i="251" l="1"/>
  <c r="D56" i="251"/>
  <c r="E55" i="251"/>
  <c r="D57" i="251" l="1"/>
  <c r="E56" i="251"/>
  <c r="C60" i="251"/>
  <c r="C61" i="251" l="1"/>
  <c r="D58" i="251"/>
  <c r="E57" i="251"/>
  <c r="D59" i="251" l="1"/>
  <c r="E58" i="251"/>
  <c r="C62" i="251"/>
  <c r="C63" i="251" l="1"/>
  <c r="D60" i="251"/>
  <c r="E59" i="251"/>
  <c r="D61" i="251" l="1"/>
  <c r="E60" i="251"/>
  <c r="C64" i="251"/>
  <c r="D24" i="3"/>
  <c r="C65" i="251" l="1"/>
  <c r="D62" i="251"/>
  <c r="E61" i="251"/>
  <c r="D23" i="255"/>
  <c r="F24" i="3" s="1"/>
  <c r="C66" i="251" l="1"/>
  <c r="D63" i="251"/>
  <c r="E62" i="251"/>
  <c r="D64" i="251" l="1"/>
  <c r="E63" i="251"/>
  <c r="C67" i="251"/>
  <c r="C68" i="251" l="1"/>
  <c r="D65" i="251"/>
  <c r="E64" i="251"/>
  <c r="D66" i="251" l="1"/>
  <c r="E65" i="251"/>
  <c r="C69" i="251"/>
  <c r="C70" i="251" l="1"/>
  <c r="D67" i="251"/>
  <c r="E66" i="251"/>
  <c r="D68" i="251" l="1"/>
  <c r="E67" i="251"/>
  <c r="C71" i="251"/>
  <c r="C72" i="251" l="1"/>
  <c r="D69" i="251"/>
  <c r="E68" i="251"/>
  <c r="E69" i="251" l="1"/>
  <c r="J69" i="251"/>
  <c r="C73" i="251"/>
  <c r="C74" i="251" l="1"/>
  <c r="J70" i="251"/>
  <c r="D70" i="251"/>
  <c r="D71" i="251" l="1"/>
  <c r="E70" i="251"/>
  <c r="J71" i="251"/>
  <c r="C75" i="251"/>
  <c r="C76" i="251" l="1"/>
  <c r="J72" i="251"/>
  <c r="D72" i="251"/>
  <c r="E71" i="251"/>
  <c r="D73" i="251" l="1"/>
  <c r="E72" i="251"/>
  <c r="C77" i="251"/>
  <c r="J73" i="251"/>
  <c r="J74" i="251" l="1"/>
  <c r="C78" i="251"/>
  <c r="D74" i="251"/>
  <c r="E73" i="251"/>
  <c r="J75" i="251" l="1"/>
  <c r="D75" i="251"/>
  <c r="E74" i="251"/>
  <c r="C79" i="251"/>
  <c r="C80" i="251" l="1"/>
  <c r="D76" i="251"/>
  <c r="E75" i="251"/>
  <c r="J76" i="251"/>
  <c r="J77" i="251" l="1"/>
  <c r="C81" i="251"/>
  <c r="D77" i="251"/>
  <c r="E76" i="251"/>
  <c r="D78" i="251" l="1"/>
  <c r="E77" i="251"/>
  <c r="C82" i="251"/>
  <c r="J78" i="251"/>
  <c r="J79" i="251" l="1"/>
  <c r="C83" i="251"/>
  <c r="D79" i="251"/>
  <c r="E78" i="251"/>
  <c r="D80" i="251" l="1"/>
  <c r="E79" i="251"/>
  <c r="C84" i="251"/>
  <c r="J80" i="251"/>
  <c r="C85" i="251" l="1"/>
  <c r="J81" i="251"/>
  <c r="D81" i="251"/>
  <c r="E80" i="251"/>
  <c r="D82" i="251" l="1"/>
  <c r="E81" i="251"/>
  <c r="J82" i="251"/>
  <c r="C86" i="251"/>
  <c r="C87" i="251" l="1"/>
  <c r="J83" i="251"/>
  <c r="D83" i="251"/>
  <c r="E82" i="251"/>
  <c r="D84" i="251" l="1"/>
  <c r="E83" i="251"/>
  <c r="J84" i="251"/>
  <c r="C88" i="251"/>
  <c r="C89" i="251" l="1"/>
  <c r="J85" i="251"/>
  <c r="D85" i="251"/>
  <c r="E84" i="251"/>
  <c r="D86" i="251" l="1"/>
  <c r="E85" i="251"/>
  <c r="J86" i="251"/>
  <c r="C90" i="251"/>
  <c r="C91" i="251" l="1"/>
  <c r="J87" i="251"/>
  <c r="D87" i="251"/>
  <c r="E86" i="251"/>
  <c r="D88" i="251" l="1"/>
  <c r="E87" i="251"/>
  <c r="J88" i="251"/>
  <c r="C92" i="251"/>
  <c r="C93" i="251" l="1"/>
  <c r="J89" i="251"/>
  <c r="D89" i="251"/>
  <c r="E88" i="251"/>
  <c r="D90" i="251" l="1"/>
  <c r="E89" i="251"/>
  <c r="J90" i="251"/>
  <c r="C94" i="251"/>
  <c r="C95" i="251" l="1"/>
  <c r="J91" i="251"/>
  <c r="D91" i="251"/>
  <c r="E90" i="251"/>
  <c r="D92" i="251" l="1"/>
  <c r="E91" i="251"/>
  <c r="J92" i="251"/>
  <c r="C96" i="251"/>
  <c r="C97" i="251" l="1"/>
  <c r="J93" i="251"/>
  <c r="D93" i="251"/>
  <c r="E92" i="251"/>
  <c r="D94" i="251" l="1"/>
  <c r="E93" i="251"/>
  <c r="J94" i="251"/>
  <c r="C98" i="251"/>
  <c r="C99" i="251" l="1"/>
  <c r="J95" i="251"/>
  <c r="D95" i="251"/>
  <c r="E94" i="251"/>
  <c r="D96" i="251" l="1"/>
  <c r="E95" i="251"/>
  <c r="J96" i="251"/>
  <c r="C100" i="251"/>
  <c r="C101" i="251" l="1"/>
  <c r="J97" i="251"/>
  <c r="D97" i="251"/>
  <c r="E96" i="251"/>
  <c r="D98" i="251" l="1"/>
  <c r="E97" i="251"/>
  <c r="J98" i="251"/>
  <c r="C102" i="251"/>
  <c r="C103" i="251" l="1"/>
  <c r="J99" i="251"/>
  <c r="D99" i="251"/>
  <c r="E98" i="251"/>
  <c r="D100" i="251" l="1"/>
  <c r="E99" i="251"/>
  <c r="J100" i="251"/>
  <c r="C104" i="251"/>
  <c r="C105" i="251" l="1"/>
  <c r="J101" i="251"/>
  <c r="D101" i="251"/>
  <c r="E100" i="251"/>
  <c r="D102" i="251" l="1"/>
  <c r="E101" i="251"/>
  <c r="J102" i="251"/>
  <c r="C106" i="251"/>
  <c r="C107" i="251" l="1"/>
  <c r="J104" i="251"/>
  <c r="J103" i="251"/>
  <c r="D103" i="251"/>
  <c r="E102" i="251"/>
  <c r="D104" i="251" l="1"/>
  <c r="E103" i="251"/>
  <c r="C108" i="251"/>
  <c r="C109" i="251" l="1"/>
  <c r="D105" i="251"/>
  <c r="E104" i="251"/>
  <c r="D106" i="251" l="1"/>
  <c r="E105" i="251"/>
  <c r="C110" i="251"/>
  <c r="C111" i="251" l="1"/>
  <c r="D107" i="251"/>
  <c r="E106" i="251"/>
  <c r="C112" i="251" l="1"/>
  <c r="D108" i="251"/>
  <c r="E107" i="251"/>
  <c r="D109" i="251" l="1"/>
  <c r="E108" i="251"/>
  <c r="C113" i="251"/>
  <c r="C114" i="251" l="1"/>
  <c r="D110" i="251"/>
  <c r="E109" i="251"/>
  <c r="C13" i="251" l="1"/>
  <c r="D13" i="251"/>
  <c r="D111" i="251"/>
  <c r="E110" i="251"/>
  <c r="C115" i="251"/>
  <c r="C116" i="251" l="1"/>
  <c r="D112" i="251"/>
  <c r="E111" i="251"/>
  <c r="D113" i="251" l="1"/>
  <c r="E112" i="251"/>
  <c r="C117" i="251"/>
  <c r="C118" i="251" l="1"/>
  <c r="D114" i="251"/>
  <c r="E113" i="251"/>
  <c r="D115" i="251" l="1"/>
  <c r="E114" i="251"/>
  <c r="F24" i="137" s="1"/>
  <c r="C119" i="251"/>
  <c r="C120" i="251" l="1"/>
  <c r="D24" i="137"/>
  <c r="D116" i="251"/>
  <c r="E115" i="251"/>
  <c r="D117" i="251" l="1"/>
  <c r="E116" i="251"/>
  <c r="C121" i="251"/>
  <c r="C122" i="251" l="1"/>
  <c r="D118" i="251"/>
  <c r="E117" i="251"/>
  <c r="C123" i="251" l="1"/>
  <c r="D119" i="251"/>
  <c r="E118" i="251"/>
  <c r="D120" i="251" l="1"/>
  <c r="E119" i="251"/>
  <c r="C124" i="251"/>
  <c r="C125" i="251" l="1"/>
  <c r="D121" i="251"/>
  <c r="E120" i="251"/>
  <c r="D122" i="251" l="1"/>
  <c r="E121" i="251"/>
  <c r="C126" i="251"/>
  <c r="C127" i="251" l="1"/>
  <c r="D123" i="251"/>
  <c r="E122" i="251"/>
  <c r="D124" i="251" l="1"/>
  <c r="E123" i="251"/>
  <c r="C128" i="251"/>
  <c r="D125" i="251" l="1"/>
  <c r="E124" i="251"/>
  <c r="C129" i="251"/>
  <c r="D126" i="251" l="1"/>
  <c r="E125" i="251"/>
  <c r="C130" i="251"/>
  <c r="C131" i="251" l="1"/>
  <c r="D127" i="251"/>
  <c r="E126" i="251"/>
  <c r="D128" i="251" l="1"/>
  <c r="E127" i="251"/>
  <c r="C132" i="251"/>
  <c r="C133" i="251" l="1"/>
  <c r="D129" i="251"/>
  <c r="E128" i="251"/>
  <c r="D130" i="251" l="1"/>
  <c r="E129" i="251"/>
  <c r="C134" i="251"/>
  <c r="C135" i="251" l="1"/>
  <c r="D131" i="251"/>
  <c r="E130" i="251"/>
  <c r="D132" i="251" l="1"/>
  <c r="E131" i="251"/>
  <c r="C136" i="251"/>
  <c r="C137" i="251" l="1"/>
  <c r="D133" i="251"/>
  <c r="E132" i="251"/>
  <c r="C138" i="251" l="1"/>
  <c r="D134" i="251"/>
  <c r="E133" i="251"/>
  <c r="D135" i="251" l="1"/>
  <c r="E134" i="251"/>
  <c r="C139" i="251"/>
  <c r="C140" i="251" l="1"/>
  <c r="D136" i="251"/>
  <c r="E135" i="251"/>
  <c r="D137" i="251" l="1"/>
  <c r="E136" i="251"/>
  <c r="C141" i="251"/>
  <c r="C142" i="251" l="1"/>
  <c r="D138" i="251"/>
  <c r="E137" i="251"/>
  <c r="D139" i="251" l="1"/>
  <c r="E138" i="251"/>
  <c r="C143" i="251"/>
  <c r="C144" i="251" l="1"/>
  <c r="D140" i="251"/>
  <c r="E139" i="251"/>
  <c r="D141" i="251" l="1"/>
  <c r="E140" i="251"/>
  <c r="C145" i="251"/>
  <c r="D142" i="251" l="1"/>
  <c r="E141" i="251"/>
  <c r="C146" i="251"/>
  <c r="C147" i="251" l="1"/>
  <c r="D143" i="251"/>
  <c r="E142" i="251"/>
  <c r="C148" i="251" l="1"/>
  <c r="D144" i="251"/>
  <c r="E143" i="251"/>
  <c r="D145" i="251" l="1"/>
  <c r="E144" i="251"/>
  <c r="C149" i="251"/>
  <c r="C150" i="251" l="1"/>
  <c r="D146" i="251"/>
  <c r="E145" i="251"/>
  <c r="D147" i="251" l="1"/>
  <c r="E146" i="251"/>
  <c r="C151" i="251"/>
  <c r="D148" i="251" l="1"/>
  <c r="E147" i="251"/>
  <c r="C152" i="251"/>
  <c r="C153" i="251" l="1"/>
  <c r="D149" i="251"/>
  <c r="E148" i="251"/>
  <c r="C154" i="251" l="1"/>
  <c r="D150" i="251"/>
  <c r="E149" i="251"/>
  <c r="D151" i="251" l="1"/>
  <c r="E150" i="251"/>
  <c r="C155" i="251"/>
  <c r="C156" i="251" l="1"/>
  <c r="D152" i="251"/>
  <c r="E151" i="251"/>
  <c r="D153" i="251" l="1"/>
  <c r="E152" i="251"/>
  <c r="C157" i="251"/>
  <c r="C158" i="251" l="1"/>
  <c r="D154" i="251"/>
  <c r="E153" i="251"/>
  <c r="D155" i="251" l="1"/>
  <c r="E154" i="251"/>
  <c r="C159" i="251"/>
  <c r="C160" i="251" l="1"/>
  <c r="D156" i="251"/>
  <c r="E155" i="251"/>
  <c r="D157" i="251" l="1"/>
  <c r="E156" i="251"/>
  <c r="C161" i="251"/>
  <c r="C162" i="251" l="1"/>
  <c r="D158" i="251"/>
  <c r="E157" i="251"/>
  <c r="D159" i="251" l="1"/>
  <c r="E158" i="251"/>
  <c r="C163" i="251"/>
  <c r="C164" i="251" l="1"/>
  <c r="D160" i="251"/>
  <c r="E159" i="251"/>
  <c r="C165" i="251" l="1"/>
  <c r="D161" i="251"/>
  <c r="E160" i="251"/>
  <c r="D162" i="251" l="1"/>
  <c r="E161" i="251"/>
  <c r="C166" i="251"/>
  <c r="C167" i="251" l="1"/>
  <c r="D163" i="251"/>
  <c r="E162" i="251"/>
  <c r="D164" i="251" l="1"/>
  <c r="E163" i="251"/>
  <c r="C168" i="251"/>
  <c r="C169" i="251" l="1"/>
  <c r="D165" i="251"/>
  <c r="E164" i="251"/>
  <c r="D166" i="251" l="1"/>
  <c r="E165" i="251"/>
  <c r="C170" i="251"/>
  <c r="C171" i="251" l="1"/>
  <c r="D167" i="251"/>
  <c r="E166" i="251"/>
  <c r="D168" i="251" l="1"/>
  <c r="E167" i="251"/>
  <c r="C172" i="251"/>
  <c r="C173" i="251" l="1"/>
  <c r="D169" i="251"/>
  <c r="E168" i="251"/>
  <c r="D170" i="251" l="1"/>
  <c r="E169" i="251"/>
  <c r="C174" i="251"/>
  <c r="C175" i="251" l="1"/>
  <c r="D171" i="251"/>
  <c r="E170" i="251"/>
  <c r="D172" i="251" l="1"/>
  <c r="E171" i="251"/>
  <c r="C176" i="251"/>
  <c r="C177" i="251" l="1"/>
  <c r="D173" i="251"/>
  <c r="E172" i="251"/>
  <c r="D174" i="251" l="1"/>
  <c r="E173" i="251"/>
  <c r="C178" i="251"/>
  <c r="C179" i="251" l="1"/>
  <c r="D175" i="251"/>
  <c r="E174" i="251"/>
  <c r="D176" i="251" l="1"/>
  <c r="E175" i="251"/>
  <c r="C180" i="251"/>
  <c r="C181" i="251" l="1"/>
  <c r="D177" i="251"/>
  <c r="E176" i="251"/>
  <c r="D178" i="251" l="1"/>
  <c r="E177" i="251"/>
  <c r="C182" i="251"/>
  <c r="C183" i="251" l="1"/>
  <c r="D179" i="251"/>
  <c r="E178" i="251"/>
  <c r="D180" i="251" l="1"/>
  <c r="E179" i="251"/>
  <c r="C184" i="251"/>
  <c r="C185" i="251" l="1"/>
  <c r="D181" i="251"/>
  <c r="E180" i="251"/>
  <c r="D182" i="251" l="1"/>
  <c r="E181" i="251"/>
  <c r="C186" i="251"/>
  <c r="C187" i="251" l="1"/>
  <c r="D183" i="251"/>
  <c r="E182" i="251"/>
  <c r="D184" i="251" l="1"/>
  <c r="E183" i="251"/>
  <c r="C188" i="251"/>
  <c r="C189" i="251" l="1"/>
  <c r="D185" i="251"/>
  <c r="E184" i="251"/>
  <c r="D186" i="251" l="1"/>
  <c r="E185" i="251"/>
  <c r="C190" i="251"/>
  <c r="C191" i="251" l="1"/>
  <c r="D187" i="251"/>
  <c r="E186" i="251"/>
  <c r="D188" i="251" l="1"/>
  <c r="E187" i="251"/>
  <c r="C192" i="251"/>
  <c r="C193" i="251" l="1"/>
  <c r="D189" i="251"/>
  <c r="E188" i="251"/>
  <c r="D190" i="251" l="1"/>
  <c r="E189" i="251"/>
  <c r="C194" i="251"/>
  <c r="C195" i="251" l="1"/>
  <c r="D191" i="251"/>
  <c r="E190" i="251"/>
  <c r="D192" i="251" l="1"/>
  <c r="E191" i="251"/>
  <c r="C196" i="251"/>
  <c r="C197" i="251" l="1"/>
  <c r="D193" i="251"/>
  <c r="E192" i="251"/>
  <c r="D194" i="251" l="1"/>
  <c r="E193" i="251"/>
  <c r="C198" i="251"/>
  <c r="C199" i="251" l="1"/>
  <c r="D195" i="251"/>
  <c r="E194" i="251"/>
  <c r="D196" i="251" l="1"/>
  <c r="E195" i="251"/>
  <c r="C200" i="251"/>
  <c r="C201" i="251" l="1"/>
  <c r="D197" i="251"/>
  <c r="E196" i="251"/>
  <c r="D198" i="251" l="1"/>
  <c r="E197" i="251"/>
  <c r="C202" i="251"/>
  <c r="C203" i="251" l="1"/>
  <c r="D199" i="251"/>
  <c r="E198" i="251"/>
  <c r="C204" i="251" l="1"/>
  <c r="D200" i="251"/>
  <c r="E199" i="251"/>
  <c r="D201" i="251" l="1"/>
  <c r="E200" i="251"/>
  <c r="C205" i="251"/>
  <c r="C206" i="251" l="1"/>
  <c r="D202" i="251"/>
  <c r="E201" i="251"/>
  <c r="D203" i="251" l="1"/>
  <c r="E202" i="251"/>
  <c r="C207" i="251"/>
  <c r="C208" i="251" l="1"/>
  <c r="D204" i="251"/>
  <c r="E203" i="251"/>
  <c r="D205" i="251" l="1"/>
  <c r="E204" i="251"/>
  <c r="C209" i="251"/>
  <c r="C210" i="251" l="1"/>
  <c r="D206" i="251"/>
  <c r="E205" i="251"/>
  <c r="D207" i="251" l="1"/>
  <c r="E206" i="251"/>
  <c r="C211" i="251"/>
  <c r="C212" i="251" l="1"/>
  <c r="D208" i="251"/>
  <c r="E207" i="251"/>
  <c r="C213" i="251" l="1"/>
  <c r="D209" i="251"/>
  <c r="E208" i="251"/>
  <c r="D210" i="251" l="1"/>
  <c r="E209" i="251"/>
  <c r="C214" i="251"/>
  <c r="C215" i="251" l="1"/>
  <c r="D211" i="251"/>
  <c r="E210" i="251"/>
  <c r="D212" i="251" l="1"/>
  <c r="E211" i="251"/>
  <c r="C216" i="251"/>
  <c r="C217" i="251" l="1"/>
  <c r="D213" i="251"/>
  <c r="E212" i="251"/>
  <c r="D214" i="251" l="1"/>
  <c r="E213" i="251"/>
  <c r="C218" i="251"/>
  <c r="C219" i="251" l="1"/>
  <c r="D215" i="251"/>
  <c r="E214" i="251"/>
  <c r="D216" i="251" l="1"/>
  <c r="E215" i="251"/>
  <c r="C220" i="251"/>
  <c r="C221" i="251" l="1"/>
  <c r="D217" i="251"/>
  <c r="E216" i="251"/>
  <c r="D218" i="251" l="1"/>
  <c r="E217" i="251"/>
  <c r="C222" i="251"/>
  <c r="C223" i="251" l="1"/>
  <c r="D219" i="251"/>
  <c r="E218" i="251"/>
  <c r="D220" i="251" l="1"/>
  <c r="E219" i="251"/>
  <c r="C224" i="251"/>
  <c r="C225" i="251" l="1"/>
  <c r="D221" i="251"/>
  <c r="E220" i="251"/>
  <c r="D222" i="251" l="1"/>
  <c r="E221" i="251"/>
  <c r="C226" i="251"/>
  <c r="C227" i="251" l="1"/>
  <c r="D223" i="251"/>
  <c r="E222" i="251"/>
  <c r="D224" i="251" l="1"/>
  <c r="E223" i="251"/>
  <c r="C228" i="251"/>
  <c r="C229" i="251" l="1"/>
  <c r="D225" i="251"/>
  <c r="E224" i="251"/>
  <c r="D226" i="251" l="1"/>
  <c r="E225" i="251"/>
  <c r="C230" i="251"/>
  <c r="C231" i="251" l="1"/>
  <c r="D227" i="251"/>
  <c r="E226" i="251"/>
  <c r="D228" i="251" l="1"/>
  <c r="E227" i="251"/>
  <c r="C232" i="251"/>
  <c r="C233" i="251" l="1"/>
  <c r="D229" i="251"/>
  <c r="E228" i="251"/>
  <c r="D230" i="251" l="1"/>
  <c r="E229" i="251"/>
  <c r="C234" i="251"/>
  <c r="C235" i="251" l="1"/>
  <c r="D231" i="251"/>
  <c r="E230" i="251"/>
  <c r="D232" i="251" l="1"/>
  <c r="E231" i="251"/>
  <c r="C236" i="251"/>
  <c r="C237" i="251" l="1"/>
  <c r="D233" i="251"/>
  <c r="E232" i="251"/>
  <c r="D234" i="251" l="1"/>
  <c r="E233" i="251"/>
  <c r="C238" i="251"/>
  <c r="C239" i="251" l="1"/>
  <c r="D235" i="251"/>
  <c r="E234" i="251"/>
  <c r="D236" i="251" l="1"/>
  <c r="E235" i="251"/>
  <c r="C240" i="251"/>
  <c r="C241" i="251" l="1"/>
  <c r="D237" i="251"/>
  <c r="E236" i="251"/>
  <c r="D238" i="251" l="1"/>
  <c r="E237" i="251"/>
  <c r="C242" i="251"/>
  <c r="C243" i="251" l="1"/>
  <c r="D239" i="251"/>
  <c r="E238" i="251"/>
  <c r="D240" i="251" l="1"/>
  <c r="E239" i="251"/>
  <c r="C244" i="251"/>
  <c r="C245" i="251" l="1"/>
  <c r="D241" i="251"/>
  <c r="E240" i="251"/>
  <c r="D242" i="251" l="1"/>
  <c r="E241" i="251"/>
  <c r="C246" i="251"/>
  <c r="C247" i="251" l="1"/>
  <c r="D243" i="251"/>
  <c r="E242" i="251"/>
  <c r="D244" i="251" l="1"/>
  <c r="E243" i="251"/>
  <c r="C248" i="251"/>
  <c r="D245" i="251" l="1"/>
  <c r="E244" i="251"/>
  <c r="C249" i="251"/>
  <c r="C250" i="251" l="1"/>
  <c r="D246" i="251"/>
  <c r="E245" i="251"/>
  <c r="C251" i="251" l="1"/>
  <c r="D247" i="251"/>
  <c r="E246" i="251"/>
  <c r="D248" i="251" l="1"/>
  <c r="E247" i="251"/>
  <c r="C252" i="251"/>
  <c r="C253" i="251" l="1"/>
  <c r="D249" i="251"/>
  <c r="E248" i="251"/>
  <c r="D250" i="251" l="1"/>
  <c r="E249" i="251"/>
  <c r="C254" i="251"/>
  <c r="C255" i="251" l="1"/>
  <c r="D251" i="251"/>
  <c r="E250" i="251"/>
  <c r="D252" i="251" l="1"/>
  <c r="E251" i="251"/>
  <c r="C256" i="251"/>
  <c r="C257" i="251" l="1"/>
  <c r="D253" i="251"/>
  <c r="E252" i="251"/>
  <c r="D254" i="251" l="1"/>
  <c r="E253" i="251"/>
  <c r="C258" i="251"/>
  <c r="C259" i="251" l="1"/>
  <c r="D255" i="251"/>
  <c r="E254" i="251"/>
  <c r="D256" i="251" l="1"/>
  <c r="E255" i="251"/>
  <c r="C260" i="251"/>
  <c r="C261" i="251" l="1"/>
  <c r="D257" i="251"/>
  <c r="E256" i="251"/>
  <c r="D258" i="251" l="1"/>
  <c r="E257" i="251"/>
  <c r="C262" i="251"/>
  <c r="C263" i="251" l="1"/>
  <c r="D259" i="251"/>
  <c r="E258" i="251"/>
  <c r="D260" i="251" l="1"/>
  <c r="E259" i="251"/>
  <c r="C264" i="251"/>
  <c r="C265" i="251" l="1"/>
  <c r="D261" i="251"/>
  <c r="E260" i="251"/>
  <c r="D262" i="251" l="1"/>
  <c r="E261" i="251"/>
  <c r="C266" i="251"/>
  <c r="C267" i="251" l="1"/>
  <c r="D263" i="251"/>
  <c r="E262" i="251"/>
  <c r="D264" i="251" l="1"/>
  <c r="E263" i="251"/>
  <c r="C268" i="251"/>
  <c r="C269" i="251" l="1"/>
  <c r="D265" i="251"/>
  <c r="E264" i="251"/>
  <c r="D266" i="251" l="1"/>
  <c r="E265" i="251"/>
  <c r="C270" i="251"/>
  <c r="C271" i="251" l="1"/>
  <c r="D267" i="251"/>
  <c r="E266" i="251"/>
  <c r="D268" i="251" l="1"/>
  <c r="E267" i="251"/>
  <c r="C272" i="251"/>
  <c r="C273" i="251" l="1"/>
  <c r="D269" i="251"/>
  <c r="E268" i="251"/>
  <c r="D270" i="251" l="1"/>
  <c r="E269" i="251"/>
  <c r="C274" i="251"/>
  <c r="D271" i="251" l="1"/>
  <c r="E270" i="251"/>
  <c r="C275" i="251"/>
  <c r="C276" i="251" l="1"/>
  <c r="D272" i="251"/>
  <c r="E271" i="251"/>
  <c r="D273" i="251" l="1"/>
  <c r="E272" i="251"/>
  <c r="C277" i="251"/>
  <c r="C278" i="251" l="1"/>
  <c r="D274" i="251"/>
  <c r="E273" i="251"/>
  <c r="C279" i="251" l="1"/>
  <c r="D275" i="251"/>
  <c r="E274" i="251"/>
  <c r="D276" i="251" l="1"/>
  <c r="E275" i="251"/>
  <c r="C280" i="251"/>
  <c r="C281" i="251" l="1"/>
  <c r="D277" i="251"/>
  <c r="E276" i="251"/>
  <c r="D278" i="251" l="1"/>
  <c r="E277" i="251"/>
  <c r="C282" i="251"/>
  <c r="C283" i="251" s="1"/>
  <c r="C284" i="251" l="1"/>
  <c r="D279" i="251"/>
  <c r="E278" i="251"/>
  <c r="C285" i="251" l="1"/>
  <c r="D280" i="251"/>
  <c r="E279" i="251"/>
  <c r="C286" i="251" l="1"/>
  <c r="D281" i="251"/>
  <c r="E280" i="251"/>
  <c r="C287" i="251" l="1"/>
  <c r="D282" i="251"/>
  <c r="D283" i="251" s="1"/>
  <c r="E281" i="251"/>
  <c r="D284" i="251" l="1"/>
  <c r="E283" i="251"/>
  <c r="C288" i="251"/>
  <c r="E282" i="251"/>
  <c r="C289" i="251" l="1"/>
  <c r="D285" i="251"/>
  <c r="E284" i="251"/>
  <c r="O15" i="238"/>
  <c r="D286" i="251" l="1"/>
  <c r="E285" i="251"/>
  <c r="C290" i="251"/>
  <c r="C291" i="251" l="1"/>
  <c r="D287" i="251"/>
  <c r="E286" i="251"/>
  <c r="P25" i="192"/>
  <c r="P55" i="228"/>
  <c r="P25" i="228"/>
  <c r="P55" i="192"/>
  <c r="P19" i="192"/>
  <c r="P19" i="228"/>
  <c r="D288" i="251" l="1"/>
  <c r="E287" i="251"/>
  <c r="C292" i="251"/>
  <c r="C293" i="251" l="1"/>
  <c r="D289" i="251"/>
  <c r="E288" i="251"/>
  <c r="P42" i="192"/>
  <c r="D290" i="251" l="1"/>
  <c r="E289" i="251"/>
  <c r="C294" i="251"/>
  <c r="P27" i="192"/>
  <c r="P52" i="192"/>
  <c r="P24" i="192"/>
  <c r="C295" i="251" l="1"/>
  <c r="D291" i="251"/>
  <c r="E290" i="251"/>
  <c r="P31" i="192"/>
  <c r="P21" i="192"/>
  <c r="P47" i="192"/>
  <c r="D57" i="100" s="1"/>
  <c r="F57" i="100" s="1"/>
  <c r="P37" i="192"/>
  <c r="P38" i="192"/>
  <c r="P54" i="192"/>
  <c r="P30" i="192"/>
  <c r="P48" i="192"/>
  <c r="P32" i="192"/>
  <c r="P51" i="192"/>
  <c r="P39" i="192"/>
  <c r="P18" i="192"/>
  <c r="K50" i="192"/>
  <c r="J50" i="192"/>
  <c r="J59" i="192" s="1"/>
  <c r="P15" i="192"/>
  <c r="O50" i="192"/>
  <c r="P43" i="192"/>
  <c r="P17" i="228"/>
  <c r="P33" i="192"/>
  <c r="P44" i="192"/>
  <c r="D28" i="100" s="1"/>
  <c r="P57" i="192"/>
  <c r="P36" i="192"/>
  <c r="P53" i="192"/>
  <c r="P40" i="192"/>
  <c r="P18" i="228"/>
  <c r="P28" i="192"/>
  <c r="L50" i="192"/>
  <c r="P15" i="228"/>
  <c r="P23" i="192"/>
  <c r="P20" i="192"/>
  <c r="P22" i="192"/>
  <c r="P29" i="192"/>
  <c r="P17" i="192"/>
  <c r="N50" i="192"/>
  <c r="N59" i="192" s="1"/>
  <c r="P26" i="192"/>
  <c r="P41" i="192"/>
  <c r="P16" i="192"/>
  <c r="P20" i="228"/>
  <c r="P49" i="192"/>
  <c r="P56" i="192"/>
  <c r="M50" i="192"/>
  <c r="M59" i="192" s="1"/>
  <c r="P16" i="228"/>
  <c r="P45" i="192"/>
  <c r="D55" i="100" s="1"/>
  <c r="P22" i="228"/>
  <c r="P34" i="192"/>
  <c r="P46" i="192"/>
  <c r="D56" i="100" s="1"/>
  <c r="F56" i="100" s="1"/>
  <c r="P35" i="192"/>
  <c r="D292" i="251" l="1"/>
  <c r="E291" i="251"/>
  <c r="C296" i="251"/>
  <c r="L59" i="192"/>
  <c r="L61" i="192"/>
  <c r="L63" i="192" s="1"/>
  <c r="O59" i="192"/>
  <c r="O61" i="192"/>
  <c r="O63" i="192" s="1"/>
  <c r="D29" i="100"/>
  <c r="F28" i="100"/>
  <c r="F29" i="100" s="1"/>
  <c r="J61" i="192"/>
  <c r="P50" i="192"/>
  <c r="P59" i="192" s="1"/>
  <c r="K59" i="192"/>
  <c r="K61" i="192"/>
  <c r="K63" i="192" s="1"/>
  <c r="M61" i="192"/>
  <c r="M63" i="192" s="1"/>
  <c r="N61" i="192"/>
  <c r="N63" i="192" s="1"/>
  <c r="D59" i="100"/>
  <c r="F55" i="100"/>
  <c r="F59" i="100" s="1"/>
  <c r="C297" i="251" l="1"/>
  <c r="D293" i="251"/>
  <c r="E292" i="251"/>
  <c r="P61" i="192"/>
  <c r="J63" i="192"/>
  <c r="D294" i="251" l="1"/>
  <c r="E293" i="251"/>
  <c r="C298" i="251"/>
  <c r="P63" i="192"/>
  <c r="C299" i="251" l="1"/>
  <c r="D295" i="251"/>
  <c r="E294" i="251"/>
  <c r="P62" i="192"/>
  <c r="D50" i="228"/>
  <c r="D59" i="228" s="1"/>
  <c r="D296" i="251" l="1"/>
  <c r="E295" i="251"/>
  <c r="C300" i="251"/>
  <c r="E50" i="228"/>
  <c r="E61" i="228" s="1"/>
  <c r="D61" i="228"/>
  <c r="C301" i="251" l="1"/>
  <c r="D297" i="251"/>
  <c r="E296" i="251"/>
  <c r="F50" i="228"/>
  <c r="D63" i="228"/>
  <c r="E63" i="228"/>
  <c r="E59" i="228"/>
  <c r="D298" i="251" l="1"/>
  <c r="E297" i="251"/>
  <c r="C302" i="251"/>
  <c r="G50" i="228"/>
  <c r="F61" i="228"/>
  <c r="F59" i="228"/>
  <c r="C303" i="251" l="1"/>
  <c r="D299" i="251"/>
  <c r="E298" i="251"/>
  <c r="F63" i="228"/>
  <c r="H50" i="228"/>
  <c r="G61" i="228"/>
  <c r="G59" i="228"/>
  <c r="P23" i="228"/>
  <c r="D300" i="251" l="1"/>
  <c r="E299" i="251"/>
  <c r="C304" i="251"/>
  <c r="P30" i="228"/>
  <c r="P37" i="228"/>
  <c r="G63" i="228"/>
  <c r="P40" i="228"/>
  <c r="H61" i="228"/>
  <c r="H59" i="228"/>
  <c r="I50" i="228"/>
  <c r="P38" i="228"/>
  <c r="C305" i="251" l="1"/>
  <c r="D301" i="251"/>
  <c r="E300" i="251"/>
  <c r="H63" i="228"/>
  <c r="I61" i="228"/>
  <c r="I59" i="228"/>
  <c r="P32" i="228"/>
  <c r="P57" i="228"/>
  <c r="P24" i="228"/>
  <c r="P48" i="228"/>
  <c r="P42" i="228"/>
  <c r="P27" i="228"/>
  <c r="P31" i="228"/>
  <c r="D302" i="251" l="1"/>
  <c r="E301" i="251"/>
  <c r="C306" i="251"/>
  <c r="I63" i="228"/>
  <c r="P39" i="228"/>
  <c r="P52" i="228"/>
  <c r="P44" i="228"/>
  <c r="H28" i="100" s="1"/>
  <c r="P46" i="228"/>
  <c r="H56" i="100" s="1"/>
  <c r="J56" i="100" s="1"/>
  <c r="P47" i="228"/>
  <c r="H57" i="100" s="1"/>
  <c r="J57" i="100" s="1"/>
  <c r="P43" i="228"/>
  <c r="P28" i="228"/>
  <c r="P56" i="228"/>
  <c r="P26" i="228"/>
  <c r="P36" i="228"/>
  <c r="P33" i="228"/>
  <c r="P34" i="228"/>
  <c r="P49" i="228"/>
  <c r="P45" i="228"/>
  <c r="H55" i="100" s="1"/>
  <c r="P41" i="228"/>
  <c r="P29" i="228"/>
  <c r="P35" i="228"/>
  <c r="P51" i="228"/>
  <c r="C307" i="251" l="1"/>
  <c r="D303" i="251"/>
  <c r="E302" i="251"/>
  <c r="J50" i="228"/>
  <c r="J59" i="228" s="1"/>
  <c r="P21" i="228"/>
  <c r="H29" i="100"/>
  <c r="J28" i="100"/>
  <c r="J29" i="100" s="1"/>
  <c r="J55" i="100"/>
  <c r="J59" i="100" s="1"/>
  <c r="H59" i="100"/>
  <c r="J61" i="228" l="1"/>
  <c r="J63" i="228" s="1"/>
  <c r="D304" i="251"/>
  <c r="E303" i="251"/>
  <c r="C308" i="251"/>
  <c r="K50" i="228"/>
  <c r="L50" i="228"/>
  <c r="C309" i="251" l="1"/>
  <c r="D305" i="251"/>
  <c r="E304" i="251"/>
  <c r="L61" i="228"/>
  <c r="L59" i="228"/>
  <c r="K61" i="228"/>
  <c r="K59" i="228"/>
  <c r="M50" i="228"/>
  <c r="D306" i="251" l="1"/>
  <c r="E305" i="251"/>
  <c r="C310" i="251"/>
  <c r="M61" i="228"/>
  <c r="M59" i="228"/>
  <c r="K63" i="228"/>
  <c r="L63" i="228"/>
  <c r="N50" i="228"/>
  <c r="C311" i="251" l="1"/>
  <c r="D307" i="251"/>
  <c r="E306" i="251"/>
  <c r="P54" i="228"/>
  <c r="N61" i="228"/>
  <c r="N59" i="228"/>
  <c r="P53" i="228"/>
  <c r="O50" i="228"/>
  <c r="M63" i="228"/>
  <c r="D308" i="251" l="1"/>
  <c r="E307" i="251"/>
  <c r="C312" i="251"/>
  <c r="O61" i="228"/>
  <c r="O59" i="228"/>
  <c r="P50" i="228"/>
  <c r="P59" i="228" s="1"/>
  <c r="N63" i="228"/>
  <c r="C313" i="251" l="1"/>
  <c r="D309" i="251"/>
  <c r="E308" i="251"/>
  <c r="O63" i="228"/>
  <c r="P61" i="228"/>
  <c r="D310" i="251" l="1"/>
  <c r="E309" i="251"/>
  <c r="C314" i="251"/>
  <c r="P63" i="228"/>
  <c r="C315" i="251" l="1"/>
  <c r="D311" i="251"/>
  <c r="E310" i="251"/>
  <c r="P62" i="228"/>
  <c r="D312" i="251" l="1"/>
  <c r="E311" i="251"/>
  <c r="C316" i="251"/>
  <c r="C317" i="251" l="1"/>
  <c r="D313" i="251"/>
  <c r="E312" i="251"/>
  <c r="C318" i="251" l="1"/>
  <c r="D314" i="251"/>
  <c r="E313" i="251"/>
  <c r="D315" i="251" l="1"/>
  <c r="E314" i="251"/>
  <c r="C319" i="251"/>
  <c r="C320" i="251" l="1"/>
  <c r="D316" i="251"/>
  <c r="E315" i="251"/>
  <c r="I17" i="102"/>
  <c r="E17" i="102"/>
  <c r="D317" i="251" l="1"/>
  <c r="E316" i="251"/>
  <c r="C321" i="251"/>
  <c r="C322" i="251" l="1"/>
  <c r="D318" i="251"/>
  <c r="E317" i="251"/>
  <c r="E18" i="102"/>
  <c r="E19" i="102" s="1"/>
  <c r="C19" i="102"/>
  <c r="I18" i="102"/>
  <c r="I19" i="102" s="1"/>
  <c r="G19" i="102"/>
  <c r="D319" i="251" l="1"/>
  <c r="E318" i="251"/>
  <c r="C323" i="251"/>
  <c r="C324" i="251" l="1"/>
  <c r="D320" i="251"/>
  <c r="E319" i="251"/>
  <c r="D321" i="251" l="1"/>
  <c r="E320" i="251"/>
  <c r="C325" i="251"/>
  <c r="C326" i="251" l="1"/>
  <c r="C327" i="251" s="1"/>
  <c r="D322" i="251"/>
  <c r="E321" i="251"/>
  <c r="C328" i="251" l="1"/>
  <c r="D323" i="251"/>
  <c r="E322" i="251"/>
  <c r="C329" i="251" l="1"/>
  <c r="D324" i="251"/>
  <c r="E323" i="251"/>
  <c r="C330" i="251" l="1"/>
  <c r="D325" i="251"/>
  <c r="E324" i="251"/>
  <c r="C331" i="251" l="1"/>
  <c r="D326" i="251"/>
  <c r="E325" i="251"/>
  <c r="E326" i="251" l="1"/>
  <c r="D327" i="251"/>
  <c r="C332" i="251"/>
  <c r="C333" i="251" l="1"/>
  <c r="D328" i="251"/>
  <c r="E327" i="251"/>
  <c r="D329" i="251" l="1"/>
  <c r="E328" i="251"/>
  <c r="C334" i="251"/>
  <c r="C335" i="251" l="1"/>
  <c r="D330" i="251"/>
  <c r="E329" i="251"/>
  <c r="D331" i="251" l="1"/>
  <c r="E330" i="251"/>
  <c r="C336" i="251"/>
  <c r="C337" i="251" l="1"/>
  <c r="D332" i="251"/>
  <c r="E331" i="251"/>
  <c r="D333" i="251" l="1"/>
  <c r="E332" i="251"/>
  <c r="C338" i="251"/>
  <c r="F17" i="252"/>
  <c r="C339" i="251" l="1"/>
  <c r="D334" i="251"/>
  <c r="E333" i="251"/>
  <c r="D335" i="251" l="1"/>
  <c r="E334" i="251"/>
  <c r="C340" i="251"/>
  <c r="C341" i="251" s="1"/>
  <c r="C342" i="251" l="1"/>
  <c r="D336" i="251"/>
  <c r="E335" i="251"/>
  <c r="C343" i="251" l="1"/>
  <c r="D337" i="251"/>
  <c r="E336" i="251"/>
  <c r="D338" i="251" l="1"/>
  <c r="E337" i="251"/>
  <c r="F105" i="207"/>
  <c r="I105" i="207" s="1"/>
  <c r="F198" i="207"/>
  <c r="I198" i="207" s="1"/>
  <c r="F244" i="207"/>
  <c r="I244" i="207" s="1"/>
  <c r="F64" i="207"/>
  <c r="I64" i="207" s="1"/>
  <c r="F94" i="207"/>
  <c r="I94" i="207" s="1"/>
  <c r="F78" i="207"/>
  <c r="I78" i="207" s="1"/>
  <c r="F248" i="207"/>
  <c r="I248" i="207" s="1"/>
  <c r="F108" i="207"/>
  <c r="I108" i="207" s="1"/>
  <c r="F35" i="207"/>
  <c r="I35" i="207" s="1"/>
  <c r="F257" i="207"/>
  <c r="I257" i="207" s="1"/>
  <c r="F239" i="207"/>
  <c r="I239" i="207" s="1"/>
  <c r="F38" i="207"/>
  <c r="I38" i="207" s="1"/>
  <c r="F58" i="207"/>
  <c r="I58" i="207" s="1"/>
  <c r="F216" i="207"/>
  <c r="I216" i="207" s="1"/>
  <c r="F113" i="207"/>
  <c r="I113" i="207" s="1"/>
  <c r="F99" i="207"/>
  <c r="I99" i="207" s="1"/>
  <c r="F55" i="207"/>
  <c r="I55" i="207" s="1"/>
  <c r="F166" i="207"/>
  <c r="I166" i="207" s="1"/>
  <c r="F241" i="207"/>
  <c r="I241" i="207" s="1"/>
  <c r="F109" i="207"/>
  <c r="I109" i="207" s="1"/>
  <c r="F67" i="207"/>
  <c r="I67" i="207" s="1"/>
  <c r="F80" i="207"/>
  <c r="I80" i="207" s="1"/>
  <c r="F37" i="207"/>
  <c r="I37" i="207" s="1"/>
  <c r="F70" i="207"/>
  <c r="I70" i="207" s="1"/>
  <c r="F107" i="207"/>
  <c r="I107" i="207" s="1"/>
  <c r="F247" i="207"/>
  <c r="I247" i="207" s="1"/>
  <c r="F169" i="207"/>
  <c r="I169" i="207" s="1"/>
  <c r="F240" i="207"/>
  <c r="I240" i="207" s="1"/>
  <c r="F170" i="207"/>
  <c r="I170" i="207" s="1"/>
  <c r="F93" i="207"/>
  <c r="I93" i="207" s="1"/>
  <c r="F42" i="207"/>
  <c r="I42" i="207" s="1"/>
  <c r="F56" i="207"/>
  <c r="I56" i="207" s="1"/>
  <c r="F39" i="207"/>
  <c r="I39" i="207" s="1"/>
  <c r="F258" i="207"/>
  <c r="I258" i="207" s="1"/>
  <c r="F54" i="207"/>
  <c r="I54" i="207" s="1"/>
  <c r="F92" i="207"/>
  <c r="I92" i="207" s="1"/>
  <c r="F100" i="207"/>
  <c r="I100" i="207" s="1"/>
  <c r="F106" i="207"/>
  <c r="I106" i="207" s="1"/>
  <c r="F84" i="207"/>
  <c r="I84" i="207" s="1"/>
  <c r="F102" i="207"/>
  <c r="I102" i="207" s="1"/>
  <c r="F82" i="207"/>
  <c r="I82" i="207" s="1"/>
  <c r="F74" i="207"/>
  <c r="I74" i="207" s="1"/>
  <c r="F33" i="207"/>
  <c r="I33" i="207" s="1"/>
  <c r="F66" i="207"/>
  <c r="I66" i="207" s="1"/>
  <c r="F112" i="207"/>
  <c r="I112" i="207" s="1"/>
  <c r="F69" i="207"/>
  <c r="I69" i="207" s="1"/>
  <c r="F31" i="207"/>
  <c r="I31" i="207" s="1"/>
  <c r="F72" i="207"/>
  <c r="I72" i="207" s="1"/>
  <c r="F81" i="207"/>
  <c r="I81" i="207" s="1"/>
  <c r="F68" i="207"/>
  <c r="I68" i="207" s="1"/>
  <c r="F53" i="207"/>
  <c r="I53" i="207" s="1"/>
  <c r="F71" i="207"/>
  <c r="I71" i="207" s="1"/>
  <c r="F95" i="207"/>
  <c r="I95" i="207" s="1"/>
  <c r="F174" i="207"/>
  <c r="I174" i="207" s="1"/>
  <c r="F173" i="207"/>
  <c r="I173" i="207" s="1"/>
  <c r="F167" i="207"/>
  <c r="I167" i="207" s="1"/>
  <c r="F171" i="207"/>
  <c r="I171" i="207" s="1"/>
  <c r="F156" i="207"/>
  <c r="I156" i="207" s="1"/>
  <c r="F163" i="207"/>
  <c r="I163" i="207" s="1"/>
  <c r="F243" i="207"/>
  <c r="I243" i="207" s="1"/>
  <c r="F249" i="207"/>
  <c r="I249" i="207" s="1"/>
  <c r="F253" i="207"/>
  <c r="I253" i="207" s="1"/>
  <c r="F238" i="207"/>
  <c r="I238" i="207" s="1"/>
  <c r="F235" i="207"/>
  <c r="I235" i="207" s="1"/>
  <c r="F210" i="207"/>
  <c r="I210" i="207" s="1"/>
  <c r="F217" i="207"/>
  <c r="I217" i="207" s="1"/>
  <c r="F195" i="207"/>
  <c r="I195" i="207" s="1"/>
  <c r="F197" i="207"/>
  <c r="I197" i="207" s="1"/>
  <c r="F207" i="207"/>
  <c r="I207" i="207" s="1"/>
  <c r="F212" i="207"/>
  <c r="I212" i="207" s="1"/>
  <c r="F218" i="207"/>
  <c r="I218" i="207" s="1"/>
  <c r="F191" i="207"/>
  <c r="I191" i="207" s="1"/>
  <c r="F214" i="207"/>
  <c r="I214" i="207" s="1"/>
  <c r="F211" i="207"/>
  <c r="I211" i="207" s="1"/>
  <c r="F188" i="207"/>
  <c r="I188" i="207" s="1"/>
  <c r="F220" i="207"/>
  <c r="I220" i="207" s="1"/>
  <c r="F215" i="207"/>
  <c r="I215" i="207" s="1"/>
  <c r="F213" i="207"/>
  <c r="I213" i="207" s="1"/>
  <c r="F193" i="207"/>
  <c r="I193" i="207" s="1"/>
  <c r="F234" i="207"/>
  <c r="I234" i="207" s="1"/>
  <c r="F57" i="207"/>
  <c r="I57" i="207" s="1"/>
  <c r="F159" i="207"/>
  <c r="I159" i="207" s="1"/>
  <c r="F98" i="207"/>
  <c r="I98" i="207" s="1"/>
  <c r="F51" i="207"/>
  <c r="I51" i="207" s="1"/>
  <c r="F175" i="207"/>
  <c r="I175" i="207" s="1"/>
  <c r="F242" i="207"/>
  <c r="I242" i="207" s="1"/>
  <c r="F259" i="207"/>
  <c r="I259" i="207" s="1"/>
  <c r="F255" i="207"/>
  <c r="I255" i="207" s="1"/>
  <c r="F75" i="207"/>
  <c r="I75" i="207" s="1"/>
  <c r="F158" i="207"/>
  <c r="I158" i="207" s="1"/>
  <c r="F73" i="207"/>
  <c r="I73" i="207" s="1"/>
  <c r="F65" i="207"/>
  <c r="I65" i="207" s="1"/>
  <c r="F203" i="207"/>
  <c r="I203" i="207" s="1"/>
  <c r="F209" i="207"/>
  <c r="I209" i="207" s="1"/>
  <c r="F168" i="207"/>
  <c r="I168" i="207" s="1"/>
  <c r="F165" i="207"/>
  <c r="I165" i="207" s="1"/>
  <c r="F111" i="207"/>
  <c r="I111" i="207" s="1"/>
  <c r="F160" i="207"/>
  <c r="I160" i="207" s="1"/>
  <c r="F79" i="207"/>
  <c r="I79" i="207" s="1"/>
  <c r="F103" i="207"/>
  <c r="I103" i="207" s="1"/>
  <c r="F237" i="207"/>
  <c r="I237" i="207" s="1"/>
  <c r="F208" i="207"/>
  <c r="I208" i="207" s="1"/>
  <c r="F30" i="207"/>
  <c r="I30" i="207" s="1"/>
  <c r="F104" i="207"/>
  <c r="I104" i="207" s="1"/>
  <c r="F157" i="207"/>
  <c r="I157" i="207" s="1"/>
  <c r="F194" i="207"/>
  <c r="I194" i="207" s="1"/>
  <c r="F260" i="207"/>
  <c r="I260" i="207" s="1"/>
  <c r="F101" i="207"/>
  <c r="I101" i="207" s="1"/>
  <c r="F23" i="207"/>
  <c r="I23" i="207" s="1"/>
  <c r="F162" i="207"/>
  <c r="I162" i="207" s="1"/>
  <c r="F251" i="207"/>
  <c r="I251" i="207" s="1"/>
  <c r="F24" i="207"/>
  <c r="I24" i="207" s="1"/>
  <c r="F52" i="207"/>
  <c r="I52" i="207" s="1"/>
  <c r="F91" i="207"/>
  <c r="I91" i="207" s="1"/>
  <c r="F164" i="207"/>
  <c r="I164" i="207" s="1"/>
  <c r="F44" i="207"/>
  <c r="I44" i="207" s="1"/>
  <c r="F125" i="207"/>
  <c r="I125" i="207" s="1"/>
  <c r="D339" i="251" l="1"/>
  <c r="E338" i="251"/>
  <c r="F29" i="207"/>
  <c r="D26" i="207"/>
  <c r="F22" i="207"/>
  <c r="F155" i="207"/>
  <c r="F63" i="207"/>
  <c r="F89" i="207"/>
  <c r="N244" i="207"/>
  <c r="F55" i="213"/>
  <c r="I55" i="213" s="1"/>
  <c r="F71" i="213"/>
  <c r="I71" i="213" s="1"/>
  <c r="F70" i="213"/>
  <c r="I70" i="213" s="1"/>
  <c r="F65" i="213"/>
  <c r="I65" i="213" s="1"/>
  <c r="F39" i="213"/>
  <c r="I39" i="213" s="1"/>
  <c r="F37" i="213"/>
  <c r="I37" i="213" s="1"/>
  <c r="F80" i="213"/>
  <c r="I80" i="213" s="1"/>
  <c r="F103" i="213"/>
  <c r="I103" i="213" s="1"/>
  <c r="F101" i="213"/>
  <c r="I101" i="213" s="1"/>
  <c r="F53" i="213"/>
  <c r="I53" i="213" s="1"/>
  <c r="F56" i="213"/>
  <c r="I56" i="213" s="1"/>
  <c r="F68" i="213"/>
  <c r="I68" i="213" s="1"/>
  <c r="F82" i="213"/>
  <c r="I82" i="213" s="1"/>
  <c r="F35" i="213"/>
  <c r="I35" i="213" s="1"/>
  <c r="F75" i="213"/>
  <c r="I75" i="213" s="1"/>
  <c r="F81" i="213"/>
  <c r="I81" i="213" s="1"/>
  <c r="F42" i="213"/>
  <c r="I42" i="213" s="1"/>
  <c r="F67" i="213"/>
  <c r="I67" i="213" s="1"/>
  <c r="F57" i="213"/>
  <c r="I57" i="213" s="1"/>
  <c r="F72" i="213"/>
  <c r="I72" i="213" s="1"/>
  <c r="F102" i="213"/>
  <c r="I102" i="213" s="1"/>
  <c r="F109" i="213"/>
  <c r="I109" i="213" s="1"/>
  <c r="F93" i="213"/>
  <c r="I93" i="213" s="1"/>
  <c r="F107" i="213"/>
  <c r="I107" i="213" s="1"/>
  <c r="F51" i="213"/>
  <c r="I51" i="213" s="1"/>
  <c r="F31" i="213"/>
  <c r="I31" i="213" s="1"/>
  <c r="F54" i="213"/>
  <c r="I54" i="213" s="1"/>
  <c r="F91" i="213"/>
  <c r="I91" i="213" s="1"/>
  <c r="F111" i="213"/>
  <c r="I111" i="213" s="1"/>
  <c r="F69" i="213"/>
  <c r="I69" i="213" s="1"/>
  <c r="F78" i="213"/>
  <c r="I78" i="213" s="1"/>
  <c r="F23" i="213"/>
  <c r="I23" i="213" s="1"/>
  <c r="F112" i="213"/>
  <c r="I112" i="213" s="1"/>
  <c r="F84" i="213"/>
  <c r="I84" i="213" s="1"/>
  <c r="F52" i="213"/>
  <c r="I52" i="213" s="1"/>
  <c r="F44" i="213"/>
  <c r="I44" i="213" s="1"/>
  <c r="N24" i="207"/>
  <c r="F66" i="213"/>
  <c r="I66" i="213" s="1"/>
  <c r="F64" i="213"/>
  <c r="I64" i="213" s="1"/>
  <c r="F98" i="213"/>
  <c r="I98" i="213" s="1"/>
  <c r="F99" i="213"/>
  <c r="I99" i="213" s="1"/>
  <c r="F24" i="213"/>
  <c r="I24" i="213" s="1"/>
  <c r="N167" i="207"/>
  <c r="F105" i="213"/>
  <c r="I105" i="213" s="1"/>
  <c r="F30" i="213"/>
  <c r="I30" i="213" s="1"/>
  <c r="F33" i="213"/>
  <c r="I33" i="213" s="1"/>
  <c r="F113" i="213"/>
  <c r="I113" i="213" s="1"/>
  <c r="F74" i="213"/>
  <c r="I74" i="213" s="1"/>
  <c r="F106" i="213"/>
  <c r="I106" i="213" s="1"/>
  <c r="F94" i="213"/>
  <c r="I94" i="213" s="1"/>
  <c r="F104" i="213"/>
  <c r="I104" i="213" s="1"/>
  <c r="F100" i="213"/>
  <c r="I100" i="213" s="1"/>
  <c r="F58" i="213"/>
  <c r="I58" i="213" s="1"/>
  <c r="F73" i="213"/>
  <c r="I73" i="213" s="1"/>
  <c r="F95" i="213"/>
  <c r="I95" i="213" s="1"/>
  <c r="F92" i="213"/>
  <c r="I92" i="213" s="1"/>
  <c r="F38" i="213"/>
  <c r="I38" i="213" s="1"/>
  <c r="N91" i="207"/>
  <c r="F172" i="207"/>
  <c r="I172" i="207" s="1"/>
  <c r="N242" i="207"/>
  <c r="F83" i="207"/>
  <c r="I83" i="207" s="1"/>
  <c r="N109" i="207"/>
  <c r="F90" i="207"/>
  <c r="I90" i="207" s="1"/>
  <c r="N38" i="207"/>
  <c r="N105" i="207"/>
  <c r="N37" i="207"/>
  <c r="N56" i="207"/>
  <c r="F41" i="207"/>
  <c r="I41" i="207" s="1"/>
  <c r="N55" i="207"/>
  <c r="N82" i="207"/>
  <c r="N68" i="207"/>
  <c r="N23" i="207"/>
  <c r="N71" i="207"/>
  <c r="N74" i="207"/>
  <c r="N102" i="207"/>
  <c r="N72" i="207"/>
  <c r="N51" i="207"/>
  <c r="N247" i="207"/>
  <c r="N253" i="207"/>
  <c r="N208" i="207"/>
  <c r="F40" i="207"/>
  <c r="I40" i="207" s="1"/>
  <c r="F17" i="207"/>
  <c r="I17" i="207" s="1"/>
  <c r="N81" i="207"/>
  <c r="N106" i="207"/>
  <c r="N54" i="207"/>
  <c r="N42" i="207"/>
  <c r="N35" i="207"/>
  <c r="N33" i="207"/>
  <c r="N78" i="207"/>
  <c r="N73" i="207"/>
  <c r="F110" i="207"/>
  <c r="I110" i="207" s="1"/>
  <c r="N125" i="207"/>
  <c r="N174" i="207"/>
  <c r="N257" i="207"/>
  <c r="N240" i="207"/>
  <c r="N258" i="207"/>
  <c r="N238" i="207"/>
  <c r="N241" i="207"/>
  <c r="N217" i="207"/>
  <c r="F223" i="207"/>
  <c r="I223" i="207" s="1"/>
  <c r="N188" i="207"/>
  <c r="N214" i="207"/>
  <c r="N207" i="207"/>
  <c r="F219" i="207"/>
  <c r="I219" i="207" s="1"/>
  <c r="N211" i="207"/>
  <c r="N193" i="207"/>
  <c r="N70" i="207"/>
  <c r="N66" i="207"/>
  <c r="N57" i="207"/>
  <c r="N67" i="207"/>
  <c r="N235" i="207"/>
  <c r="N243" i="207"/>
  <c r="N198" i="207"/>
  <c r="N220" i="207"/>
  <c r="N203" i="207"/>
  <c r="N210" i="207"/>
  <c r="N195" i="207"/>
  <c r="F43" i="207"/>
  <c r="I43" i="207" s="1"/>
  <c r="F97" i="207"/>
  <c r="I97" i="207" s="1"/>
  <c r="N175" i="207"/>
  <c r="N159" i="207"/>
  <c r="N164" i="207"/>
  <c r="N111" i="207"/>
  <c r="N69" i="207"/>
  <c r="N157" i="207"/>
  <c r="N113" i="207"/>
  <c r="N166" i="207"/>
  <c r="N259" i="207"/>
  <c r="F77" i="207"/>
  <c r="I77" i="207" s="1"/>
  <c r="N112" i="207"/>
  <c r="N101" i="207"/>
  <c r="F256" i="207"/>
  <c r="I256" i="207" s="1"/>
  <c r="N162" i="207"/>
  <c r="F246" i="207"/>
  <c r="I246" i="207" s="1"/>
  <c r="F236" i="207"/>
  <c r="I236" i="207" s="1"/>
  <c r="F250" i="207"/>
  <c r="I250" i="207" s="1"/>
  <c r="N215" i="207"/>
  <c r="F45" i="207"/>
  <c r="I45" i="207" s="1"/>
  <c r="F192" i="207"/>
  <c r="I192" i="207" s="1"/>
  <c r="N234" i="207"/>
  <c r="N169" i="207"/>
  <c r="N255" i="207"/>
  <c r="N171" i="207"/>
  <c r="F245" i="207"/>
  <c r="I245" i="207" s="1"/>
  <c r="N260" i="207"/>
  <c r="N84" i="207"/>
  <c r="F96" i="207"/>
  <c r="I96" i="207" s="1"/>
  <c r="N75" i="207"/>
  <c r="N251" i="207"/>
  <c r="N239" i="207"/>
  <c r="N104" i="207"/>
  <c r="N165" i="207"/>
  <c r="N249" i="207"/>
  <c r="N191" i="207"/>
  <c r="N194" i="207"/>
  <c r="N30" i="207"/>
  <c r="N209" i="207"/>
  <c r="F108" i="213"/>
  <c r="I108" i="213" s="1"/>
  <c r="N108" i="207"/>
  <c r="N92" i="207"/>
  <c r="N248" i="207"/>
  <c r="N93" i="207"/>
  <c r="N53" i="207"/>
  <c r="N94" i="207"/>
  <c r="N44" i="207"/>
  <c r="N197" i="207"/>
  <c r="N98" i="207"/>
  <c r="N79" i="207"/>
  <c r="F202" i="207"/>
  <c r="I202" i="207" s="1"/>
  <c r="F199" i="207"/>
  <c r="I199" i="207" s="1"/>
  <c r="F196" i="207"/>
  <c r="I196" i="207" s="1"/>
  <c r="F190" i="207"/>
  <c r="I190" i="207" s="1"/>
  <c r="F254" i="207"/>
  <c r="I254" i="207" s="1"/>
  <c r="F205" i="207"/>
  <c r="I205" i="207" s="1"/>
  <c r="F76" i="207"/>
  <c r="I76" i="207" s="1"/>
  <c r="N95" i="207"/>
  <c r="N107" i="207"/>
  <c r="N99" i="207"/>
  <c r="N103" i="207"/>
  <c r="F36" i="207"/>
  <c r="I36" i="207" s="1"/>
  <c r="N216" i="207"/>
  <c r="N80" i="207"/>
  <c r="N213" i="207"/>
  <c r="N212" i="207"/>
  <c r="F204" i="207"/>
  <c r="I204" i="207" s="1"/>
  <c r="F206" i="207"/>
  <c r="I206" i="207" s="1"/>
  <c r="F252" i="207"/>
  <c r="I252" i="207" s="1"/>
  <c r="F200" i="207"/>
  <c r="I200" i="207" s="1"/>
  <c r="F201" i="207"/>
  <c r="I201" i="207" s="1"/>
  <c r="N170" i="207"/>
  <c r="N160" i="207"/>
  <c r="N158" i="207"/>
  <c r="F161" i="207"/>
  <c r="I161" i="207" s="1"/>
  <c r="N163" i="207"/>
  <c r="N156" i="207"/>
  <c r="F34" i="207"/>
  <c r="I34" i="207" s="1"/>
  <c r="N100" i="207"/>
  <c r="N64" i="207"/>
  <c r="N173" i="207"/>
  <c r="N168" i="207"/>
  <c r="N39" i="207"/>
  <c r="N31" i="207"/>
  <c r="N52" i="207"/>
  <c r="N58" i="207"/>
  <c r="N218" i="207"/>
  <c r="N237" i="207"/>
  <c r="N65" i="207"/>
  <c r="D340" i="251" l="1"/>
  <c r="E339" i="251"/>
  <c r="N155" i="207"/>
  <c r="F22" i="213"/>
  <c r="D26" i="213"/>
  <c r="N63" i="207"/>
  <c r="N22" i="207"/>
  <c r="N26" i="207" s="1"/>
  <c r="K26" i="207"/>
  <c r="D115" i="207"/>
  <c r="F115" i="207"/>
  <c r="I89" i="207"/>
  <c r="I115" i="207" s="1"/>
  <c r="F50" i="207"/>
  <c r="D60" i="207"/>
  <c r="F89" i="213"/>
  <c r="D86" i="207"/>
  <c r="F63" i="213"/>
  <c r="F86" i="207"/>
  <c r="I63" i="207"/>
  <c r="I86" i="207" s="1"/>
  <c r="H21" i="10" s="1"/>
  <c r="F16" i="3"/>
  <c r="N29" i="207"/>
  <c r="D177" i="207"/>
  <c r="I155" i="207"/>
  <c r="I177" i="207" s="1"/>
  <c r="F177" i="207"/>
  <c r="F26" i="207"/>
  <c r="I22" i="207"/>
  <c r="I26" i="207" s="1"/>
  <c r="H18" i="10" s="1"/>
  <c r="I29" i="207"/>
  <c r="N89" i="207"/>
  <c r="F29" i="213"/>
  <c r="D16" i="3"/>
  <c r="H29" i="10" s="1"/>
  <c r="H31" i="10" s="1"/>
  <c r="N37" i="213"/>
  <c r="N199" i="207"/>
  <c r="N56" i="213"/>
  <c r="N57" i="213"/>
  <c r="N55" i="213"/>
  <c r="N38" i="213"/>
  <c r="N72" i="213"/>
  <c r="N78" i="213"/>
  <c r="N106" i="213"/>
  <c r="N35" i="213"/>
  <c r="N53" i="213"/>
  <c r="N51" i="213"/>
  <c r="N81" i="213"/>
  <c r="N105" i="213"/>
  <c r="N74" i="213"/>
  <c r="N113" i="213"/>
  <c r="N236" i="207"/>
  <c r="F36" i="213"/>
  <c r="I36" i="213" s="1"/>
  <c r="F17" i="213"/>
  <c r="I17" i="213" s="1"/>
  <c r="F83" i="213"/>
  <c r="I83" i="213" s="1"/>
  <c r="F40" i="213"/>
  <c r="I40" i="213" s="1"/>
  <c r="F110" i="213"/>
  <c r="I110" i="213" s="1"/>
  <c r="N82" i="213"/>
  <c r="F76" i="213"/>
  <c r="I76" i="213" s="1"/>
  <c r="F41" i="213"/>
  <c r="I41" i="213" s="1"/>
  <c r="F97" i="213"/>
  <c r="I97" i="213" s="1"/>
  <c r="F43" i="213"/>
  <c r="I43" i="213" s="1"/>
  <c r="F77" i="213"/>
  <c r="I77" i="213" s="1"/>
  <c r="F45" i="213"/>
  <c r="I45" i="213" s="1"/>
  <c r="F96" i="213"/>
  <c r="I96" i="213" s="1"/>
  <c r="N102" i="213"/>
  <c r="N42" i="213"/>
  <c r="N66" i="213"/>
  <c r="F34" i="213"/>
  <c r="I34" i="213" s="1"/>
  <c r="F90" i="213"/>
  <c r="I90" i="213" s="1"/>
  <c r="N31" i="213"/>
  <c r="N44" i="213"/>
  <c r="N110" i="207"/>
  <c r="N206" i="207"/>
  <c r="N90" i="207"/>
  <c r="N83" i="207"/>
  <c r="N41" i="207"/>
  <c r="N43" i="207"/>
  <c r="N71" i="213"/>
  <c r="N84" i="213"/>
  <c r="N256" i="207"/>
  <c r="N190" i="207"/>
  <c r="N17" i="207"/>
  <c r="N45" i="207"/>
  <c r="N97" i="207"/>
  <c r="N80" i="213"/>
  <c r="N77" i="207"/>
  <c r="N76" i="207"/>
  <c r="N40" i="207"/>
  <c r="N205" i="207"/>
  <c r="N192" i="207"/>
  <c r="N219" i="207"/>
  <c r="N204" i="207"/>
  <c r="N223" i="207"/>
  <c r="N200" i="207"/>
  <c r="F222" i="207"/>
  <c r="I222" i="207" s="1"/>
  <c r="N75" i="213"/>
  <c r="N34" i="207"/>
  <c r="N172" i="207"/>
  <c r="N245" i="207"/>
  <c r="N246" i="207"/>
  <c r="N252" i="207"/>
  <c r="N202" i="207"/>
  <c r="N91" i="213"/>
  <c r="N73" i="213"/>
  <c r="N96" i="207"/>
  <c r="N24" i="213"/>
  <c r="N69" i="213"/>
  <c r="N39" i="213"/>
  <c r="N23" i="213"/>
  <c r="N254" i="207"/>
  <c r="N99" i="213"/>
  <c r="N196" i="207"/>
  <c r="N201" i="207"/>
  <c r="N250" i="207"/>
  <c r="N36" i="207"/>
  <c r="N108" i="213"/>
  <c r="N64" i="213"/>
  <c r="N30" i="213"/>
  <c r="N93" i="213"/>
  <c r="N65" i="213"/>
  <c r="N161" i="207"/>
  <c r="N107" i="213"/>
  <c r="N70" i="213"/>
  <c r="N67" i="213"/>
  <c r="N33" i="213"/>
  <c r="N101" i="213"/>
  <c r="N109" i="213"/>
  <c r="N52" i="213"/>
  <c r="N92" i="213"/>
  <c r="N103" i="213"/>
  <c r="N94" i="213"/>
  <c r="N68" i="213"/>
  <c r="N100" i="213"/>
  <c r="N54" i="213"/>
  <c r="N58" i="213"/>
  <c r="N111" i="213"/>
  <c r="N98" i="213"/>
  <c r="N95" i="213"/>
  <c r="N112" i="213"/>
  <c r="N104" i="213"/>
  <c r="E340" i="251" l="1"/>
  <c r="D341" i="251"/>
  <c r="N29" i="213"/>
  <c r="I63" i="213"/>
  <c r="D115" i="213"/>
  <c r="I29" i="213"/>
  <c r="F115" i="213"/>
  <c r="I89" i="213"/>
  <c r="I115" i="213" s="1"/>
  <c r="K115" i="207"/>
  <c r="N89" i="213"/>
  <c r="N115" i="207"/>
  <c r="F60" i="207"/>
  <c r="I50" i="207"/>
  <c r="I60" i="207" s="1"/>
  <c r="H20" i="10" s="1"/>
  <c r="D60" i="213"/>
  <c r="F50" i="213"/>
  <c r="N22" i="213"/>
  <c r="N26" i="213" s="1"/>
  <c r="K26" i="213"/>
  <c r="K86" i="207"/>
  <c r="N50" i="207"/>
  <c r="N60" i="207" s="1"/>
  <c r="K60" i="207"/>
  <c r="N86" i="207"/>
  <c r="I22" i="213"/>
  <c r="I26" i="213" s="1"/>
  <c r="G18" i="10" s="1"/>
  <c r="F26" i="213"/>
  <c r="N63" i="213"/>
  <c r="K177" i="207"/>
  <c r="N177" i="207"/>
  <c r="N96" i="213"/>
  <c r="N40" i="213"/>
  <c r="N43" i="213"/>
  <c r="N97" i="213"/>
  <c r="N83" i="213"/>
  <c r="N77" i="213"/>
  <c r="N90" i="213"/>
  <c r="N41" i="213"/>
  <c r="N17" i="213"/>
  <c r="N110" i="213"/>
  <c r="N222" i="207"/>
  <c r="N45" i="213"/>
  <c r="N36" i="213"/>
  <c r="N76" i="213"/>
  <c r="N34" i="213"/>
  <c r="D342" i="251" l="1"/>
  <c r="E341" i="251"/>
  <c r="F60" i="213"/>
  <c r="I50" i="213"/>
  <c r="I60" i="213" s="1"/>
  <c r="G20" i="10" s="1"/>
  <c r="N115" i="213"/>
  <c r="K115" i="213"/>
  <c r="N50" i="213"/>
  <c r="N60" i="213" s="1"/>
  <c r="K60" i="213"/>
  <c r="D343" i="251" l="1"/>
  <c r="E343" i="251" s="1"/>
  <c r="E342" i="251"/>
  <c r="F189" i="207"/>
  <c r="I189" i="207" s="1"/>
  <c r="N189" i="207" l="1"/>
  <c r="F232" i="207" l="1"/>
  <c r="F187" i="207"/>
  <c r="I187" i="207" s="1"/>
  <c r="F221" i="207"/>
  <c r="I221" i="207" s="1"/>
  <c r="F233" i="207"/>
  <c r="I233" i="207" s="1"/>
  <c r="N232" i="207" l="1"/>
  <c r="F16" i="207"/>
  <c r="D19" i="207"/>
  <c r="F32" i="207"/>
  <c r="D47" i="207"/>
  <c r="D262" i="207"/>
  <c r="F124" i="207"/>
  <c r="D127" i="207"/>
  <c r="D179" i="207" s="1"/>
  <c r="F262" i="207"/>
  <c r="I232" i="207"/>
  <c r="I262" i="207" s="1"/>
  <c r="N187" i="207"/>
  <c r="N221" i="207"/>
  <c r="N233" i="207"/>
  <c r="N262" i="207" s="1"/>
  <c r="K19" i="207" l="1"/>
  <c r="N16" i="207"/>
  <c r="N19" i="207" s="1"/>
  <c r="F127" i="207"/>
  <c r="F179" i="207" s="1"/>
  <c r="I124" i="207"/>
  <c r="I127" i="207" s="1"/>
  <c r="I179" i="207" s="1"/>
  <c r="N124" i="207"/>
  <c r="N127" i="207" s="1"/>
  <c r="N179" i="207" s="1"/>
  <c r="K127" i="207"/>
  <c r="K179" i="207" s="1"/>
  <c r="I32" i="207"/>
  <c r="I47" i="207" s="1"/>
  <c r="H19" i="10" s="1"/>
  <c r="F47" i="207"/>
  <c r="N32" i="207"/>
  <c r="N47" i="207" s="1"/>
  <c r="K47" i="207"/>
  <c r="K262" i="207"/>
  <c r="D117" i="207"/>
  <c r="I16" i="207"/>
  <c r="I19" i="207" s="1"/>
  <c r="F19" i="207"/>
  <c r="F117" i="207" l="1"/>
  <c r="H17" i="10"/>
  <c r="I117" i="207"/>
  <c r="E21" i="256" s="1"/>
  <c r="E23" i="256" s="1"/>
  <c r="N117" i="207"/>
  <c r="K117" i="207"/>
  <c r="F16" i="137" l="1"/>
  <c r="D16" i="137"/>
  <c r="G29" i="10" s="1"/>
  <c r="G31" i="10" s="1"/>
  <c r="F16" i="213" l="1"/>
  <c r="D19" i="213"/>
  <c r="F32" i="213"/>
  <c r="D47" i="213"/>
  <c r="K19" i="213" l="1"/>
  <c r="N16" i="213"/>
  <c r="N19" i="213" s="1"/>
  <c r="N32" i="213"/>
  <c r="N47" i="213" s="1"/>
  <c r="K47" i="213"/>
  <c r="I32" i="213"/>
  <c r="I47" i="213" s="1"/>
  <c r="G19" i="10" s="1"/>
  <c r="F47" i="213"/>
  <c r="F19" i="213"/>
  <c r="I16" i="213"/>
  <c r="I19" i="213" s="1"/>
  <c r="F243" i="213" l="1"/>
  <c r="I243" i="213" s="1"/>
  <c r="F260" i="213"/>
  <c r="I260" i="213" s="1"/>
  <c r="F244" i="213"/>
  <c r="I244" i="213" s="1"/>
  <c r="F238" i="213"/>
  <c r="I238" i="213" s="1"/>
  <c r="F241" i="213"/>
  <c r="I241" i="213" s="1"/>
  <c r="F248" i="213"/>
  <c r="I248" i="213" s="1"/>
  <c r="F259" i="213"/>
  <c r="I259" i="213" s="1"/>
  <c r="F239" i="213"/>
  <c r="I239" i="213" s="1"/>
  <c r="F242" i="213"/>
  <c r="I242" i="213" s="1"/>
  <c r="N243" i="213" l="1"/>
  <c r="N238" i="213"/>
  <c r="N239" i="213"/>
  <c r="N244" i="213"/>
  <c r="N242" i="213"/>
  <c r="N259" i="213"/>
  <c r="N260" i="213"/>
  <c r="N241" i="213"/>
  <c r="F237" i="213"/>
  <c r="I237" i="213" s="1"/>
  <c r="F234" i="213"/>
  <c r="I234" i="213" s="1"/>
  <c r="F249" i="213"/>
  <c r="I249" i="213" s="1"/>
  <c r="F246" i="213"/>
  <c r="I246" i="213" s="1"/>
  <c r="F255" i="213"/>
  <c r="I255" i="213" s="1"/>
  <c r="F247" i="213"/>
  <c r="I247" i="213" s="1"/>
  <c r="F235" i="213"/>
  <c r="I235" i="213" s="1"/>
  <c r="F258" i="213"/>
  <c r="I258" i="213" s="1"/>
  <c r="F240" i="213"/>
  <c r="I240" i="213" s="1"/>
  <c r="F251" i="213"/>
  <c r="I251" i="213" s="1"/>
  <c r="F253" i="213"/>
  <c r="I253" i="213" s="1"/>
  <c r="F256" i="213"/>
  <c r="I256" i="213" s="1"/>
  <c r="F254" i="213"/>
  <c r="I254" i="213" s="1"/>
  <c r="F252" i="213"/>
  <c r="I252" i="213" s="1"/>
  <c r="F257" i="213"/>
  <c r="I257" i="213" s="1"/>
  <c r="F245" i="213"/>
  <c r="I245" i="213" s="1"/>
  <c r="N248" i="213"/>
  <c r="F236" i="213"/>
  <c r="I236" i="213" s="1"/>
  <c r="F250" i="213"/>
  <c r="I250" i="213" s="1"/>
  <c r="N237" i="213" l="1"/>
  <c r="N253" i="213"/>
  <c r="N236" i="213"/>
  <c r="N251" i="213"/>
  <c r="N255" i="213"/>
  <c r="N250" i="213"/>
  <c r="N234" i="213"/>
  <c r="N254" i="213"/>
  <c r="N246" i="213"/>
  <c r="N249" i="213"/>
  <c r="N245" i="213"/>
  <c r="N240" i="213"/>
  <c r="N258" i="213"/>
  <c r="N252" i="213"/>
  <c r="N247" i="213"/>
  <c r="N235" i="213"/>
  <c r="N256" i="213"/>
  <c r="N257" i="213"/>
  <c r="F233" i="213" l="1"/>
  <c r="I233" i="213" s="1"/>
  <c r="F232" i="213" l="1"/>
  <c r="D262" i="213"/>
  <c r="N233" i="213"/>
  <c r="N232" i="213" l="1"/>
  <c r="N262" i="213" s="1"/>
  <c r="K262" i="213"/>
  <c r="I232" i="213"/>
  <c r="I262" i="213" s="1"/>
  <c r="F262" i="213"/>
  <c r="F162" i="213" l="1"/>
  <c r="I162" i="213" s="1"/>
  <c r="F167" i="213"/>
  <c r="I167" i="213" s="1"/>
  <c r="F159" i="213"/>
  <c r="I159" i="213" s="1"/>
  <c r="F166" i="213"/>
  <c r="I166" i="213" s="1"/>
  <c r="F160" i="213"/>
  <c r="I160" i="213" s="1"/>
  <c r="N162" i="213" l="1"/>
  <c r="N167" i="213"/>
  <c r="N159" i="213"/>
  <c r="N166" i="213"/>
  <c r="N160" i="213"/>
  <c r="F161" i="213"/>
  <c r="I161" i="213" s="1"/>
  <c r="F125" i="213"/>
  <c r="I125" i="213" s="1"/>
  <c r="F168" i="213"/>
  <c r="I168" i="213" s="1"/>
  <c r="F170" i="213"/>
  <c r="I170" i="213" s="1"/>
  <c r="F172" i="213"/>
  <c r="I172" i="213" s="1"/>
  <c r="F158" i="213"/>
  <c r="I158" i="213" s="1"/>
  <c r="F163" i="213"/>
  <c r="I163" i="213" s="1"/>
  <c r="F173" i="213"/>
  <c r="I173" i="213" s="1"/>
  <c r="F165" i="213"/>
  <c r="I165" i="213" s="1"/>
  <c r="F169" i="213"/>
  <c r="I169" i="213" s="1"/>
  <c r="F171" i="213"/>
  <c r="I171" i="213" s="1"/>
  <c r="F164" i="213"/>
  <c r="I164" i="213" s="1"/>
  <c r="F157" i="213"/>
  <c r="I157" i="213" s="1"/>
  <c r="F174" i="213"/>
  <c r="I174" i="213" s="1"/>
  <c r="F156" i="213"/>
  <c r="I156" i="213" s="1"/>
  <c r="F175" i="213"/>
  <c r="I175" i="213" s="1"/>
  <c r="F155" i="213" l="1"/>
  <c r="D177" i="213"/>
  <c r="N169" i="213"/>
  <c r="N175" i="213"/>
  <c r="N171" i="213"/>
  <c r="N165" i="213"/>
  <c r="N158" i="213"/>
  <c r="N125" i="213"/>
  <c r="N156" i="213"/>
  <c r="N161" i="213"/>
  <c r="N172" i="213"/>
  <c r="N170" i="213"/>
  <c r="N164" i="213"/>
  <c r="N173" i="213"/>
  <c r="N163" i="213"/>
  <c r="N174" i="213"/>
  <c r="N168" i="213"/>
  <c r="N157" i="213"/>
  <c r="N155" i="213" l="1"/>
  <c r="N177" i="213" s="1"/>
  <c r="K177" i="213"/>
  <c r="I155" i="213"/>
  <c r="I177" i="213" s="1"/>
  <c r="F177" i="213"/>
  <c r="F124" i="213" l="1"/>
  <c r="D127" i="213"/>
  <c r="D179" i="213" s="1"/>
  <c r="N124" i="213" l="1"/>
  <c r="N127" i="213" s="1"/>
  <c r="N179" i="213" s="1"/>
  <c r="K127" i="213"/>
  <c r="K179" i="213" s="1"/>
  <c r="I124" i="213"/>
  <c r="I127" i="213" s="1"/>
  <c r="F127" i="213"/>
  <c r="F179" i="213" s="1"/>
  <c r="I179" i="213" l="1"/>
  <c r="G17" i="10"/>
  <c r="F188" i="213" l="1"/>
  <c r="I188" i="213" s="1"/>
  <c r="F218" i="213"/>
  <c r="I218" i="213" s="1"/>
  <c r="F202" i="213"/>
  <c r="I202" i="213" s="1"/>
  <c r="F197" i="213"/>
  <c r="I197" i="213" s="1"/>
  <c r="F195" i="213"/>
  <c r="I195" i="213" s="1"/>
  <c r="F211" i="213"/>
  <c r="I211" i="213" s="1"/>
  <c r="F193" i="213"/>
  <c r="I193" i="213" s="1"/>
  <c r="F209" i="213"/>
  <c r="I209" i="213" s="1"/>
  <c r="F198" i="213"/>
  <c r="I198" i="213" s="1"/>
  <c r="F194" i="213"/>
  <c r="I194" i="213" s="1"/>
  <c r="F216" i="213"/>
  <c r="I216" i="213" s="1"/>
  <c r="F208" i="213"/>
  <c r="I208" i="213" s="1"/>
  <c r="F206" i="213"/>
  <c r="I206" i="213" s="1"/>
  <c r="F213" i="213"/>
  <c r="I213" i="213" s="1"/>
  <c r="F207" i="213"/>
  <c r="I207" i="213" s="1"/>
  <c r="F223" i="213"/>
  <c r="I223" i="213" s="1"/>
  <c r="F222" i="213"/>
  <c r="I222" i="213" s="1"/>
  <c r="F196" i="213"/>
  <c r="I196" i="213" s="1"/>
  <c r="F190" i="213"/>
  <c r="I190" i="213" s="1"/>
  <c r="F205" i="213"/>
  <c r="I205" i="213" s="1"/>
  <c r="F212" i="213"/>
  <c r="I212" i="213" s="1"/>
  <c r="F199" i="213"/>
  <c r="I199" i="213" s="1"/>
  <c r="F201" i="213"/>
  <c r="I201" i="213" s="1"/>
  <c r="F219" i="213"/>
  <c r="I219" i="213" s="1"/>
  <c r="F200" i="213"/>
  <c r="I200" i="213" s="1"/>
  <c r="F214" i="213"/>
  <c r="I214" i="213" s="1"/>
  <c r="F192" i="213"/>
  <c r="I192" i="213" s="1"/>
  <c r="F215" i="213"/>
  <c r="I215" i="213" s="1"/>
  <c r="F217" i="213"/>
  <c r="I217" i="213" s="1"/>
  <c r="F204" i="213"/>
  <c r="I204" i="213" s="1"/>
  <c r="F220" i="213"/>
  <c r="I220" i="213" s="1"/>
  <c r="F210" i="213"/>
  <c r="I210" i="213" s="1"/>
  <c r="F203" i="213"/>
  <c r="I203" i="213" s="1"/>
  <c r="F191" i="213"/>
  <c r="I191" i="213" s="1"/>
  <c r="N220" i="213" l="1"/>
  <c r="N190" i="213"/>
  <c r="N204" i="213"/>
  <c r="N196" i="213"/>
  <c r="N203" i="213"/>
  <c r="N216" i="213"/>
  <c r="N212" i="213"/>
  <c r="N222" i="213"/>
  <c r="N195" i="213"/>
  <c r="N219" i="213"/>
  <c r="N199" i="213"/>
  <c r="N205" i="213"/>
  <c r="N223" i="213"/>
  <c r="N197" i="213"/>
  <c r="N201" i="213"/>
  <c r="N202" i="213"/>
  <c r="N218" i="213"/>
  <c r="N198" i="213"/>
  <c r="N188" i="213"/>
  <c r="N214" i="213"/>
  <c r="N193" i="213"/>
  <c r="N211" i="213"/>
  <c r="N210" i="213"/>
  <c r="N213" i="213"/>
  <c r="N206" i="213"/>
  <c r="N208" i="213"/>
  <c r="N215" i="213"/>
  <c r="N194" i="213"/>
  <c r="N191" i="213"/>
  <c r="N200" i="213"/>
  <c r="N192" i="213"/>
  <c r="N217" i="213"/>
  <c r="N207" i="213"/>
  <c r="N209" i="213"/>
  <c r="F189" i="213" l="1"/>
  <c r="I189" i="213" s="1"/>
  <c r="F221" i="213"/>
  <c r="I221" i="213" s="1"/>
  <c r="F187" i="213"/>
  <c r="I187" i="213" s="1"/>
  <c r="N187" i="213" l="1"/>
  <c r="N221" i="213"/>
  <c r="N189" i="213"/>
  <c r="D225" i="207" l="1"/>
  <c r="D266" i="207" s="1"/>
  <c r="F186" i="207"/>
  <c r="K225" i="207" l="1"/>
  <c r="K266" i="207" s="1"/>
  <c r="N186" i="207"/>
  <c r="N225" i="207" s="1"/>
  <c r="N266" i="207" s="1"/>
  <c r="F15" i="3" s="1"/>
  <c r="I186" i="207"/>
  <c r="I225" i="207" s="1"/>
  <c r="F225" i="207"/>
  <c r="F266" i="207" s="1"/>
  <c r="H22" i="10" l="1"/>
  <c r="H25" i="10" s="1"/>
  <c r="I266" i="207"/>
  <c r="D15" i="3" s="1"/>
  <c r="D225" i="213" l="1"/>
  <c r="F186" i="213"/>
  <c r="K225" i="213" l="1"/>
  <c r="N186" i="213"/>
  <c r="N225" i="213" s="1"/>
  <c r="I186" i="213"/>
  <c r="I225" i="213" s="1"/>
  <c r="F225" i="213"/>
  <c r="G22" i="10" l="1"/>
  <c r="F79" i="213" l="1"/>
  <c r="D86" i="213"/>
  <c r="D117" i="213" s="1"/>
  <c r="D266" i="213" s="1"/>
  <c r="N79" i="213" l="1"/>
  <c r="N86" i="213" s="1"/>
  <c r="N117" i="213" s="1"/>
  <c r="N266" i="213" s="1"/>
  <c r="F15" i="137" s="1"/>
  <c r="K86" i="213"/>
  <c r="K117" i="213" s="1"/>
  <c r="K266" i="213" s="1"/>
  <c r="I79" i="213"/>
  <c r="I86" i="213" s="1"/>
  <c r="F86" i="213"/>
  <c r="F117" i="213" s="1"/>
  <c r="F266" i="213" s="1"/>
  <c r="G21" i="10" l="1"/>
  <c r="G25" i="10" s="1"/>
  <c r="I117" i="213"/>
  <c r="E25" i="256" l="1"/>
  <c r="E27" i="256" s="1"/>
  <c r="I266" i="213"/>
  <c r="M16" i="238"/>
  <c r="J16" i="238"/>
  <c r="N16" i="238"/>
  <c r="L16" i="238"/>
  <c r="F16" i="238"/>
  <c r="K16" i="238"/>
  <c r="E16" i="238"/>
  <c r="C16" i="238"/>
  <c r="H16" i="238"/>
  <c r="D16" i="238"/>
  <c r="G16" i="238"/>
  <c r="I16" i="238"/>
  <c r="D15" i="137"/>
  <c r="O16" i="238" l="1"/>
  <c r="H224" i="237" l="1"/>
  <c r="F259" i="236" l="1"/>
  <c r="I259" i="236" s="1"/>
  <c r="N259" i="236" l="1"/>
  <c r="F261" i="209" l="1"/>
  <c r="I261" i="209" s="1"/>
  <c r="N261" i="209" l="1"/>
  <c r="F222" i="236" l="1"/>
  <c r="I222" i="236" s="1"/>
  <c r="N222" i="236"/>
  <c r="F224" i="209" l="1"/>
  <c r="I224" i="209" s="1"/>
  <c r="N224" i="209"/>
  <c r="F175" i="236" l="1"/>
  <c r="I175" i="236" l="1"/>
  <c r="N175" i="236"/>
  <c r="F177" i="209" l="1"/>
  <c r="N177" i="209" l="1"/>
  <c r="I177" i="209"/>
  <c r="D21" i="137" l="1"/>
  <c r="F21" i="137" s="1"/>
  <c r="D21" i="3"/>
  <c r="F21" i="3" l="1"/>
  <c r="F75" i="236" l="1"/>
  <c r="I75" i="236" s="1"/>
  <c r="F56" i="236"/>
  <c r="I56" i="236" s="1"/>
  <c r="F74" i="236"/>
  <c r="I74" i="236" s="1"/>
  <c r="N56" i="236" l="1"/>
  <c r="N74" i="236"/>
  <c r="N75" i="236"/>
  <c r="H74" i="237" l="1"/>
  <c r="H75" i="237"/>
  <c r="F74" i="209" l="1"/>
  <c r="I74" i="209" s="1"/>
  <c r="F75" i="209"/>
  <c r="I75" i="209" s="1"/>
  <c r="N75" i="209" l="1"/>
  <c r="N74" i="209"/>
  <c r="F56" i="209" l="1"/>
  <c r="I56" i="209" s="1"/>
  <c r="H56" i="237" l="1"/>
  <c r="N56" i="209"/>
  <c r="F188" i="236" l="1"/>
  <c r="I188" i="236" s="1"/>
  <c r="F220" i="236"/>
  <c r="I220" i="236" s="1"/>
  <c r="F221" i="236" l="1"/>
  <c r="I221" i="236" s="1"/>
  <c r="N188" i="236"/>
  <c r="N220" i="236"/>
  <c r="F218" i="236" l="1"/>
  <c r="I218" i="236" s="1"/>
  <c r="N221" i="236"/>
  <c r="N218" i="236" l="1"/>
  <c r="F187" i="236" l="1"/>
  <c r="I187" i="236" s="1"/>
  <c r="F219" i="236" l="1"/>
  <c r="I219" i="236" s="1"/>
  <c r="N187" i="236"/>
  <c r="N219" i="236" l="1"/>
  <c r="F190" i="209" l="1"/>
  <c r="I190" i="209" s="1"/>
  <c r="H190" i="237"/>
  <c r="N190" i="209" l="1"/>
  <c r="F217" i="236" l="1"/>
  <c r="I217" i="236" s="1"/>
  <c r="F216" i="236" l="1"/>
  <c r="I216" i="236" s="1"/>
  <c r="N217" i="236"/>
  <c r="N216" i="236" l="1"/>
  <c r="F211" i="236"/>
  <c r="I211" i="236" s="1"/>
  <c r="F209" i="236" l="1"/>
  <c r="I209" i="236" s="1"/>
  <c r="F214" i="236"/>
  <c r="I214" i="236" s="1"/>
  <c r="F210" i="236"/>
  <c r="I210" i="236" s="1"/>
  <c r="F215" i="236"/>
  <c r="I215" i="236" s="1"/>
  <c r="N211" i="236"/>
  <c r="F194" i="236" l="1"/>
  <c r="I194" i="236" s="1"/>
  <c r="F190" i="236"/>
  <c r="I190" i="236" s="1"/>
  <c r="F191" i="236"/>
  <c r="I191" i="236" s="1"/>
  <c r="F198" i="236"/>
  <c r="I198" i="236" s="1"/>
  <c r="F213" i="236"/>
  <c r="I213" i="236" s="1"/>
  <c r="F212" i="236"/>
  <c r="I212" i="236" s="1"/>
  <c r="F203" i="236"/>
  <c r="I203" i="236" s="1"/>
  <c r="F207" i="236"/>
  <c r="I207" i="236" s="1"/>
  <c r="N209" i="236"/>
  <c r="N210" i="236"/>
  <c r="F208" i="236"/>
  <c r="I208" i="236" s="1"/>
  <c r="N215" i="236"/>
  <c r="N214" i="236"/>
  <c r="F201" i="236" l="1"/>
  <c r="I201" i="236" s="1"/>
  <c r="F192" i="236"/>
  <c r="I192" i="236" s="1"/>
  <c r="F199" i="236"/>
  <c r="I199" i="236" s="1"/>
  <c r="N213" i="236"/>
  <c r="N208" i="236"/>
  <c r="F202" i="236"/>
  <c r="I202" i="236" s="1"/>
  <c r="F197" i="236"/>
  <c r="I197" i="236" s="1"/>
  <c r="F200" i="236"/>
  <c r="I200" i="236" s="1"/>
  <c r="N207" i="236"/>
  <c r="N212" i="236"/>
  <c r="N203" i="236"/>
  <c r="N194" i="236"/>
  <c r="N198" i="236"/>
  <c r="N191" i="236"/>
  <c r="N190" i="236"/>
  <c r="F195" i="236"/>
  <c r="I195" i="236" s="1"/>
  <c r="F186" i="236"/>
  <c r="I186" i="236" s="1"/>
  <c r="F189" i="236" l="1"/>
  <c r="I189" i="236" s="1"/>
  <c r="N200" i="236"/>
  <c r="N197" i="236"/>
  <c r="N202" i="236"/>
  <c r="N199" i="236"/>
  <c r="N192" i="236"/>
  <c r="F196" i="236"/>
  <c r="I196" i="236" s="1"/>
  <c r="F204" i="236"/>
  <c r="I204" i="236" s="1"/>
  <c r="N195" i="236"/>
  <c r="N201" i="236"/>
  <c r="F206" i="236"/>
  <c r="I206" i="236" s="1"/>
  <c r="F205" i="236"/>
  <c r="I205" i="236" s="1"/>
  <c r="N186" i="236"/>
  <c r="N189" i="236" l="1"/>
  <c r="F193" i="236"/>
  <c r="I193" i="236" s="1"/>
  <c r="N204" i="236"/>
  <c r="N196" i="236"/>
  <c r="N206" i="236"/>
  <c r="N205" i="236"/>
  <c r="F185" i="236" l="1"/>
  <c r="I185" i="236" s="1"/>
  <c r="N185" i="236"/>
  <c r="N193" i="236"/>
  <c r="F189" i="209" l="1"/>
  <c r="I189" i="209" s="1"/>
  <c r="H189" i="237" l="1"/>
  <c r="N189" i="209"/>
  <c r="H223" i="237" l="1"/>
  <c r="H219" i="237" l="1"/>
  <c r="H222" i="237"/>
  <c r="F223" i="209"/>
  <c r="I223" i="209" s="1"/>
  <c r="F219" i="209" l="1"/>
  <c r="I219" i="209" s="1"/>
  <c r="N223" i="209"/>
  <c r="F222" i="209"/>
  <c r="I222" i="209" s="1"/>
  <c r="H220" i="237"/>
  <c r="F220" i="209"/>
  <c r="I220" i="209" s="1"/>
  <c r="N219" i="209" l="1"/>
  <c r="N222" i="209"/>
  <c r="N220" i="209"/>
  <c r="H218" i="237" l="1"/>
  <c r="H212" i="237"/>
  <c r="H207" i="237" l="1"/>
  <c r="H214" i="237"/>
  <c r="H206" i="237"/>
  <c r="F188" i="209"/>
  <c r="I188" i="209" s="1"/>
  <c r="H215" i="237"/>
  <c r="H217" i="237"/>
  <c r="H193" i="237"/>
  <c r="F212" i="209"/>
  <c r="I212" i="209" s="1"/>
  <c r="H211" i="237"/>
  <c r="F211" i="209"/>
  <c r="I211" i="209" s="1"/>
  <c r="H216" i="237"/>
  <c r="F216" i="209"/>
  <c r="I216" i="209" s="1"/>
  <c r="F218" i="209" l="1"/>
  <c r="I218" i="209" s="1"/>
  <c r="N218" i="209"/>
  <c r="H188" i="237"/>
  <c r="H202" i="237"/>
  <c r="H191" i="237"/>
  <c r="H201" i="237"/>
  <c r="N188" i="209"/>
  <c r="F217" i="209"/>
  <c r="I217" i="209" s="1"/>
  <c r="F221" i="209"/>
  <c r="I221" i="209" s="1"/>
  <c r="F215" i="209"/>
  <c r="I215" i="209" s="1"/>
  <c r="F193" i="209"/>
  <c r="I193" i="209" s="1"/>
  <c r="H203" i="237"/>
  <c r="F203" i="209"/>
  <c r="I203" i="209" s="1"/>
  <c r="H204" i="237"/>
  <c r="F204" i="209"/>
  <c r="I204" i="209" s="1"/>
  <c r="F205" i="209"/>
  <c r="I205" i="209" s="1"/>
  <c r="H205" i="237"/>
  <c r="N212" i="209"/>
  <c r="N211" i="209"/>
  <c r="N216" i="209"/>
  <c r="H192" i="237"/>
  <c r="F192" i="209"/>
  <c r="I192" i="209" s="1"/>
  <c r="H208" i="237"/>
  <c r="F208" i="209"/>
  <c r="I208" i="209" s="1"/>
  <c r="F206" i="209"/>
  <c r="I206" i="209" s="1"/>
  <c r="F214" i="209"/>
  <c r="I214" i="209" s="1"/>
  <c r="F207" i="209"/>
  <c r="I207" i="209" s="1"/>
  <c r="N215" i="209" l="1"/>
  <c r="N217" i="209"/>
  <c r="H194" i="237"/>
  <c r="H200" i="237"/>
  <c r="N221" i="209"/>
  <c r="H221" i="237"/>
  <c r="F202" i="209"/>
  <c r="I202" i="209" s="1"/>
  <c r="N193" i="209"/>
  <c r="N203" i="209"/>
  <c r="N192" i="209"/>
  <c r="N208" i="209"/>
  <c r="H210" i="237"/>
  <c r="N206" i="209"/>
  <c r="N205" i="209"/>
  <c r="N204" i="209"/>
  <c r="F201" i="209"/>
  <c r="I201" i="209" s="1"/>
  <c r="N214" i="209"/>
  <c r="N207" i="209"/>
  <c r="F191" i="209"/>
  <c r="I191" i="209" s="1"/>
  <c r="N202" i="209" l="1"/>
  <c r="F200" i="209"/>
  <c r="I200" i="209" s="1"/>
  <c r="H197" i="237"/>
  <c r="H198" i="237"/>
  <c r="F210" i="209"/>
  <c r="I210" i="209" s="1"/>
  <c r="N201" i="209"/>
  <c r="H199" i="237"/>
  <c r="H209" i="237"/>
  <c r="F209" i="209"/>
  <c r="I209" i="209" s="1"/>
  <c r="N191" i="209"/>
  <c r="F194" i="209"/>
  <c r="I194" i="209" s="1"/>
  <c r="N210" i="209" l="1"/>
  <c r="N200" i="209"/>
  <c r="F199" i="209"/>
  <c r="I199" i="209" s="1"/>
  <c r="N209" i="209"/>
  <c r="F198" i="209"/>
  <c r="I198" i="209" s="1"/>
  <c r="N194" i="209"/>
  <c r="F197" i="209"/>
  <c r="I197" i="209" s="1"/>
  <c r="N199" i="209" l="1"/>
  <c r="F196" i="209"/>
  <c r="I196" i="209" s="1"/>
  <c r="H196" i="237"/>
  <c r="N198" i="209"/>
  <c r="N197" i="209"/>
  <c r="N196" i="209" l="1"/>
  <c r="F195" i="209" l="1"/>
  <c r="I195" i="209" s="1"/>
  <c r="H195" i="237" l="1"/>
  <c r="N195" i="209"/>
  <c r="H187" i="237" l="1"/>
  <c r="F187" i="209"/>
  <c r="I187" i="209" s="1"/>
  <c r="F114" i="236" l="1"/>
  <c r="I114" i="236" s="1"/>
  <c r="N187" i="209"/>
  <c r="N114" i="236"/>
  <c r="F114" i="209" l="1"/>
  <c r="I114" i="209" s="1"/>
  <c r="H114" i="237" l="1"/>
  <c r="N114" i="209" l="1"/>
  <c r="F232" i="236" l="1"/>
  <c r="I232" i="236" s="1"/>
  <c r="F245" i="236"/>
  <c r="I245" i="236" s="1"/>
  <c r="F257" i="236"/>
  <c r="I257" i="236" s="1"/>
  <c r="F251" i="236"/>
  <c r="I251" i="236" s="1"/>
  <c r="F256" i="236"/>
  <c r="I256" i="236" s="1"/>
  <c r="F234" i="236"/>
  <c r="I234" i="236" s="1"/>
  <c r="F254" i="236"/>
  <c r="I254" i="236" s="1"/>
  <c r="F248" i="236"/>
  <c r="I248" i="236" s="1"/>
  <c r="F252" i="236"/>
  <c r="I252" i="236" s="1"/>
  <c r="F249" i="236"/>
  <c r="I249" i="236" s="1"/>
  <c r="F233" i="236"/>
  <c r="I233" i="236" s="1"/>
  <c r="F244" i="236"/>
  <c r="I244" i="236" s="1"/>
  <c r="F246" i="236"/>
  <c r="I246" i="236" s="1"/>
  <c r="F237" i="236"/>
  <c r="I237" i="236" s="1"/>
  <c r="F240" i="236"/>
  <c r="I240" i="236" s="1"/>
  <c r="F238" i="236"/>
  <c r="I238" i="236" s="1"/>
  <c r="F239" i="236"/>
  <c r="I239" i="236" s="1"/>
  <c r="F235" i="236"/>
  <c r="I235" i="236" s="1"/>
  <c r="F250" i="236"/>
  <c r="I250" i="236" s="1"/>
  <c r="F253" i="236"/>
  <c r="I253" i="236" s="1"/>
  <c r="F255" i="236"/>
  <c r="I255" i="236" s="1"/>
  <c r="F241" i="236"/>
  <c r="I241" i="236" s="1"/>
  <c r="F247" i="236"/>
  <c r="I247" i="236" s="1"/>
  <c r="F243" i="236"/>
  <c r="I243" i="236" s="1"/>
  <c r="F258" i="236"/>
  <c r="I258" i="236" s="1"/>
  <c r="F242" i="236"/>
  <c r="I242" i="236" s="1"/>
  <c r="F236" i="236"/>
  <c r="I236" i="236" s="1"/>
  <c r="N253" i="236" l="1"/>
  <c r="N247" i="236"/>
  <c r="N250" i="236"/>
  <c r="N240" i="236"/>
  <c r="N248" i="236"/>
  <c r="N251" i="236"/>
  <c r="N241" i="236"/>
  <c r="N235" i="236"/>
  <c r="N237" i="236"/>
  <c r="N233" i="236"/>
  <c r="N254" i="236"/>
  <c r="N257" i="236"/>
  <c r="N236" i="236"/>
  <c r="N255" i="236"/>
  <c r="N246" i="236"/>
  <c r="N249" i="236"/>
  <c r="N234" i="236"/>
  <c r="N245" i="236"/>
  <c r="N242" i="236"/>
  <c r="N258" i="236"/>
  <c r="N239" i="236"/>
  <c r="N243" i="236"/>
  <c r="N238" i="236"/>
  <c r="N244" i="236"/>
  <c r="N252" i="236"/>
  <c r="N256" i="236"/>
  <c r="N232" i="236"/>
  <c r="F231" i="236" l="1"/>
  <c r="I231" i="236" s="1"/>
  <c r="N231" i="236" l="1"/>
  <c r="D261" i="236" l="1"/>
  <c r="F230" i="236"/>
  <c r="N230" i="236" l="1"/>
  <c r="N261" i="236" s="1"/>
  <c r="K261" i="236"/>
  <c r="I230" i="236"/>
  <c r="I261" i="236" s="1"/>
  <c r="F261" i="236"/>
  <c r="H243" i="237" l="1"/>
  <c r="H255" i="237" l="1"/>
  <c r="H239" i="237"/>
  <c r="H254" i="237"/>
  <c r="H250" i="237"/>
  <c r="H245" i="237"/>
  <c r="H237" i="237"/>
  <c r="H241" i="237"/>
  <c r="H256" i="237"/>
  <c r="H247" i="237"/>
  <c r="H236" i="237"/>
  <c r="H252" i="237"/>
  <c r="H253" i="237"/>
  <c r="F234" i="209"/>
  <c r="I234" i="209" s="1"/>
  <c r="H251" i="237"/>
  <c r="H234" i="237"/>
  <c r="H238" i="237"/>
  <c r="H248" i="237"/>
  <c r="H233" i="237"/>
  <c r="H235" i="237"/>
  <c r="F256" i="209"/>
  <c r="I256" i="209" s="1"/>
  <c r="F240" i="209"/>
  <c r="I240" i="209" s="1"/>
  <c r="F238" i="209" l="1"/>
  <c r="I238" i="209" s="1"/>
  <c r="N238" i="209"/>
  <c r="F237" i="209"/>
  <c r="I237" i="209" s="1"/>
  <c r="F246" i="209"/>
  <c r="I246" i="209" s="1"/>
  <c r="F253" i="209"/>
  <c r="I253" i="209" s="1"/>
  <c r="F244" i="209"/>
  <c r="I244" i="209" s="1"/>
  <c r="F235" i="209"/>
  <c r="I235" i="209" s="1"/>
  <c r="F249" i="209"/>
  <c r="I249" i="209" s="1"/>
  <c r="F239" i="209"/>
  <c r="I239" i="209" s="1"/>
  <c r="F242" i="209"/>
  <c r="I242" i="209" s="1"/>
  <c r="F248" i="209"/>
  <c r="I248" i="209" s="1"/>
  <c r="H246" i="237"/>
  <c r="F247" i="209"/>
  <c r="I247" i="209" s="1"/>
  <c r="H259" i="237"/>
  <c r="F260" i="209"/>
  <c r="I260" i="209" s="1"/>
  <c r="N234" i="209"/>
  <c r="H244" i="237"/>
  <c r="F245" i="209"/>
  <c r="I245" i="209" s="1"/>
  <c r="F252" i="209"/>
  <c r="I252" i="209" s="1"/>
  <c r="F257" i="209"/>
  <c r="I257" i="209" s="1"/>
  <c r="H249" i="237"/>
  <c r="F250" i="209"/>
  <c r="I250" i="209" s="1"/>
  <c r="H257" i="237"/>
  <c r="F258" i="209"/>
  <c r="I258" i="209" s="1"/>
  <c r="F236" i="209"/>
  <c r="I236" i="209" s="1"/>
  <c r="F255" i="209"/>
  <c r="I255" i="209" s="1"/>
  <c r="H258" i="237"/>
  <c r="F259" i="209"/>
  <c r="I259" i="209" s="1"/>
  <c r="H242" i="237"/>
  <c r="F243" i="209"/>
  <c r="I243" i="209" s="1"/>
  <c r="F251" i="209"/>
  <c r="I251" i="209" s="1"/>
  <c r="F254" i="209"/>
  <c r="I254" i="209" s="1"/>
  <c r="H240" i="237"/>
  <c r="F241" i="209"/>
  <c r="I241" i="209" s="1"/>
  <c r="N256" i="209"/>
  <c r="N240" i="209"/>
  <c r="N246" i="209" l="1"/>
  <c r="N235" i="209"/>
  <c r="N253" i="209"/>
  <c r="N244" i="209"/>
  <c r="N257" i="209"/>
  <c r="N239" i="209"/>
  <c r="N237" i="209"/>
  <c r="N242" i="209"/>
  <c r="N251" i="209"/>
  <c r="N254" i="209"/>
  <c r="N249" i="209"/>
  <c r="N259" i="209"/>
  <c r="N255" i="209"/>
  <c r="N236" i="209"/>
  <c r="N258" i="209"/>
  <c r="N250" i="209"/>
  <c r="N247" i="209"/>
  <c r="N252" i="209"/>
  <c r="N241" i="209"/>
  <c r="N245" i="209"/>
  <c r="N248" i="209"/>
  <c r="N260" i="209"/>
  <c r="N243" i="209"/>
  <c r="F233" i="209" l="1"/>
  <c r="I233" i="209" s="1"/>
  <c r="H232" i="237" l="1"/>
  <c r="N233" i="209"/>
  <c r="F232" i="209" l="1"/>
  <c r="D263" i="209"/>
  <c r="D262" i="237"/>
  <c r="H231" i="237"/>
  <c r="H262" i="237" s="1"/>
  <c r="K263" i="209" l="1"/>
  <c r="N232" i="209"/>
  <c r="N263" i="209" s="1"/>
  <c r="F263" i="209"/>
  <c r="I232" i="209"/>
  <c r="I263" i="209" s="1"/>
  <c r="F172" i="236" l="1"/>
  <c r="I172" i="236" s="1"/>
  <c r="F165" i="236"/>
  <c r="I165" i="236" s="1"/>
  <c r="F161" i="236"/>
  <c r="I161" i="236" s="1"/>
  <c r="F158" i="236"/>
  <c r="I158" i="236" s="1"/>
  <c r="F159" i="236"/>
  <c r="I159" i="236" s="1"/>
  <c r="F166" i="236"/>
  <c r="I166" i="236" s="1"/>
  <c r="N172" i="236"/>
  <c r="N165" i="236" l="1"/>
  <c r="N159" i="236"/>
  <c r="N158" i="236"/>
  <c r="N161" i="236"/>
  <c r="N166" i="236"/>
  <c r="F156" i="236"/>
  <c r="I156" i="236" s="1"/>
  <c r="F167" i="236"/>
  <c r="I167" i="236" s="1"/>
  <c r="F164" i="236"/>
  <c r="I164" i="236" s="1"/>
  <c r="F168" i="236"/>
  <c r="I168" i="236" s="1"/>
  <c r="F157" i="236"/>
  <c r="I157" i="236" s="1"/>
  <c r="F170" i="236"/>
  <c r="I170" i="236" s="1"/>
  <c r="F174" i="236"/>
  <c r="I174" i="236" s="1"/>
  <c r="F124" i="236"/>
  <c r="I124" i="236" s="1"/>
  <c r="F173" i="236"/>
  <c r="I173" i="236" s="1"/>
  <c r="F160" i="236"/>
  <c r="I160" i="236" s="1"/>
  <c r="F169" i="236"/>
  <c r="I169" i="236" s="1"/>
  <c r="F155" i="236"/>
  <c r="I155" i="236" s="1"/>
  <c r="F162" i="236"/>
  <c r="I162" i="236" s="1"/>
  <c r="F171" i="236"/>
  <c r="I171" i="236" s="1"/>
  <c r="F163" i="236"/>
  <c r="I163" i="236" s="1"/>
  <c r="F123" i="236" l="1"/>
  <c r="D126" i="236"/>
  <c r="F154" i="236"/>
  <c r="D177" i="236"/>
  <c r="D179" i="236" s="1"/>
  <c r="N162" i="236"/>
  <c r="N156" i="236"/>
  <c r="N163" i="236"/>
  <c r="N168" i="236"/>
  <c r="N174" i="236"/>
  <c r="N157" i="236"/>
  <c r="N173" i="236"/>
  <c r="N164" i="236"/>
  <c r="N167" i="236"/>
  <c r="N170" i="236"/>
  <c r="N160" i="236"/>
  <c r="N155" i="236"/>
  <c r="N171" i="236"/>
  <c r="N169" i="236"/>
  <c r="N154" i="236" l="1"/>
  <c r="N177" i="236" s="1"/>
  <c r="K177" i="236"/>
  <c r="I154" i="236"/>
  <c r="I177" i="236" s="1"/>
  <c r="F177" i="236"/>
  <c r="N124" i="236"/>
  <c r="F126" i="236"/>
  <c r="I123" i="236"/>
  <c r="I126" i="236" s="1"/>
  <c r="K126" i="236" l="1"/>
  <c r="K179" i="236" s="1"/>
  <c r="N123" i="236"/>
  <c r="N126" i="236" s="1"/>
  <c r="F179" i="236"/>
  <c r="I179" i="236"/>
  <c r="N179" i="236"/>
  <c r="H174" i="237" l="1"/>
  <c r="H163" i="237"/>
  <c r="F174" i="209" l="1"/>
  <c r="I174" i="209" s="1"/>
  <c r="F163" i="209"/>
  <c r="I163" i="209" s="1"/>
  <c r="H159" i="237"/>
  <c r="H167" i="237"/>
  <c r="N174" i="209"/>
  <c r="H156" i="237" l="1"/>
  <c r="N163" i="209"/>
  <c r="F159" i="209"/>
  <c r="I159" i="209" s="1"/>
  <c r="H161" i="237"/>
  <c r="H160" i="237"/>
  <c r="H172" i="237"/>
  <c r="F167" i="209"/>
  <c r="I167" i="209" s="1"/>
  <c r="F156" i="209" l="1"/>
  <c r="N159" i="209"/>
  <c r="N167" i="209"/>
  <c r="F161" i="209"/>
  <c r="I161" i="209" s="1"/>
  <c r="F172" i="209"/>
  <c r="I172" i="209" s="1"/>
  <c r="H173" i="237"/>
  <c r="H164" i="237"/>
  <c r="F160" i="209"/>
  <c r="I160" i="209" s="1"/>
  <c r="H176" i="237"/>
  <c r="N156" i="209" l="1"/>
  <c r="I156" i="209"/>
  <c r="H165" i="237"/>
  <c r="N172" i="209"/>
  <c r="N161" i="209"/>
  <c r="N160" i="209"/>
  <c r="F165" i="209"/>
  <c r="I165" i="209" s="1"/>
  <c r="F173" i="209"/>
  <c r="I173" i="209" s="1"/>
  <c r="F164" i="209"/>
  <c r="I164" i="209" s="1"/>
  <c r="F176" i="209"/>
  <c r="I176" i="209" s="1"/>
  <c r="N164" i="209" l="1"/>
  <c r="N173" i="209"/>
  <c r="N165" i="209"/>
  <c r="N176" i="209"/>
  <c r="H175" i="237"/>
  <c r="F175" i="209"/>
  <c r="I175" i="209" s="1"/>
  <c r="H162" i="237"/>
  <c r="F162" i="209"/>
  <c r="I162" i="209" s="1"/>
  <c r="H158" i="237"/>
  <c r="F158" i="209"/>
  <c r="I158" i="209" s="1"/>
  <c r="N175" i="209" l="1"/>
  <c r="N158" i="209"/>
  <c r="H169" i="237"/>
  <c r="F169" i="209"/>
  <c r="I169" i="209" s="1"/>
  <c r="N162" i="209"/>
  <c r="H171" i="237"/>
  <c r="F171" i="209"/>
  <c r="I171" i="209" s="1"/>
  <c r="H126" i="237" l="1"/>
  <c r="F126" i="209"/>
  <c r="I126" i="209" s="1"/>
  <c r="H166" i="237"/>
  <c r="F166" i="209"/>
  <c r="I166" i="209" s="1"/>
  <c r="N171" i="209"/>
  <c r="N169" i="209"/>
  <c r="F157" i="209" l="1"/>
  <c r="H157" i="237"/>
  <c r="N166" i="209"/>
  <c r="N126" i="209"/>
  <c r="N157" i="209" l="1"/>
  <c r="I157" i="209"/>
  <c r="F168" i="209" l="1"/>
  <c r="H168" i="237"/>
  <c r="H170" i="237"/>
  <c r="F170" i="209"/>
  <c r="I170" i="209" s="1"/>
  <c r="N168" i="209" l="1"/>
  <c r="D179" i="237"/>
  <c r="H179" i="237"/>
  <c r="D179" i="209"/>
  <c r="I168" i="209"/>
  <c r="I179" i="209" s="1"/>
  <c r="F179" i="209"/>
  <c r="N170" i="209"/>
  <c r="N179" i="209" s="1"/>
  <c r="K179" i="209" l="1"/>
  <c r="F125" i="209" l="1"/>
  <c r="D128" i="209"/>
  <c r="D181" i="209" s="1"/>
  <c r="D128" i="237"/>
  <c r="D181" i="237" s="1"/>
  <c r="H125" i="237"/>
  <c r="H128" i="237" s="1"/>
  <c r="H181" i="237" s="1"/>
  <c r="K128" i="209" l="1"/>
  <c r="K181" i="209" s="1"/>
  <c r="N125" i="209"/>
  <c r="N128" i="209" s="1"/>
  <c r="N181" i="209" s="1"/>
  <c r="I125" i="209"/>
  <c r="I128" i="209" s="1"/>
  <c r="I181" i="209" s="1"/>
  <c r="F128" i="209"/>
  <c r="F181" i="209" s="1"/>
  <c r="F104" i="236" l="1"/>
  <c r="I104" i="236" s="1"/>
  <c r="F105" i="236"/>
  <c r="I105" i="236" s="1"/>
  <c r="F109" i="236"/>
  <c r="I109" i="236" s="1"/>
  <c r="F96" i="236"/>
  <c r="I96" i="236" s="1"/>
  <c r="F16" i="236" l="1"/>
  <c r="N105" i="236"/>
  <c r="N109" i="236"/>
  <c r="F38" i="236"/>
  <c r="I38" i="236" s="1"/>
  <c r="F68" i="236"/>
  <c r="I68" i="236" s="1"/>
  <c r="F55" i="236"/>
  <c r="I55" i="236" s="1"/>
  <c r="F37" i="236"/>
  <c r="I37" i="236" s="1"/>
  <c r="F58" i="236"/>
  <c r="I58" i="236" s="1"/>
  <c r="F79" i="236"/>
  <c r="I79" i="236" s="1"/>
  <c r="F107" i="236"/>
  <c r="I107" i="236" s="1"/>
  <c r="F81" i="236"/>
  <c r="I81" i="236" s="1"/>
  <c r="F43" i="236"/>
  <c r="I43" i="236" s="1"/>
  <c r="F52" i="236"/>
  <c r="I52" i="236" s="1"/>
  <c r="F41" i="236"/>
  <c r="I41" i="236" s="1"/>
  <c r="F108" i="236"/>
  <c r="I108" i="236" s="1"/>
  <c r="F64" i="236"/>
  <c r="I64" i="236" s="1"/>
  <c r="F53" i="236"/>
  <c r="I53" i="236" s="1"/>
  <c r="F72" i="236"/>
  <c r="I72" i="236" s="1"/>
  <c r="F93" i="236"/>
  <c r="I93" i="236" s="1"/>
  <c r="F39" i="236"/>
  <c r="I39" i="236" s="1"/>
  <c r="F70" i="236"/>
  <c r="I70" i="236" s="1"/>
  <c r="F44" i="236"/>
  <c r="I44" i="236" s="1"/>
  <c r="F36" i="236"/>
  <c r="I36" i="236" s="1"/>
  <c r="F40" i="236"/>
  <c r="I40" i="236" s="1"/>
  <c r="F83" i="236"/>
  <c r="I83" i="236" s="1"/>
  <c r="F31" i="236"/>
  <c r="I31" i="236" s="1"/>
  <c r="F82" i="236"/>
  <c r="I82" i="236" s="1"/>
  <c r="F77" i="236"/>
  <c r="I77" i="236" s="1"/>
  <c r="N104" i="236"/>
  <c r="F45" i="236"/>
  <c r="I45" i="236" s="1"/>
  <c r="F111" i="236"/>
  <c r="I111" i="236" s="1"/>
  <c r="F42" i="236"/>
  <c r="I42" i="236" s="1"/>
  <c r="F91" i="236"/>
  <c r="I91" i="236" s="1"/>
  <c r="F32" i="236"/>
  <c r="I32" i="236" s="1"/>
  <c r="F73" i="236"/>
  <c r="I73" i="236" s="1"/>
  <c r="F95" i="236"/>
  <c r="I95" i="236" s="1"/>
  <c r="F103" i="236"/>
  <c r="I103" i="236" s="1"/>
  <c r="F34" i="236"/>
  <c r="I34" i="236" s="1"/>
  <c r="F80" i="236"/>
  <c r="I80" i="236" s="1"/>
  <c r="F69" i="236"/>
  <c r="I69" i="236" s="1"/>
  <c r="F92" i="236"/>
  <c r="I92" i="236" s="1"/>
  <c r="F112" i="236"/>
  <c r="I112" i="236" s="1"/>
  <c r="F35" i="236"/>
  <c r="I35" i="236" s="1"/>
  <c r="F106" i="236"/>
  <c r="I106" i="236" s="1"/>
  <c r="F94" i="236"/>
  <c r="I94" i="236" s="1"/>
  <c r="F17" i="236"/>
  <c r="I17" i="236" s="1"/>
  <c r="F113" i="236"/>
  <c r="I113" i="236" s="1"/>
  <c r="F76" i="236"/>
  <c r="I76" i="236" s="1"/>
  <c r="F71" i="236"/>
  <c r="I71" i="236" s="1"/>
  <c r="F66" i="236"/>
  <c r="I66" i="236" s="1"/>
  <c r="F51" i="236"/>
  <c r="I51" i="236" s="1"/>
  <c r="F57" i="236"/>
  <c r="I57" i="236" s="1"/>
  <c r="F67" i="236"/>
  <c r="I67" i="236" s="1"/>
  <c r="F65" i="236"/>
  <c r="I65" i="236" s="1"/>
  <c r="F54" i="236"/>
  <c r="I54" i="236" s="1"/>
  <c r="F90" i="236"/>
  <c r="I90" i="236" s="1"/>
  <c r="F30" i="236"/>
  <c r="I30" i="236" s="1"/>
  <c r="F33" i="236"/>
  <c r="I33" i="236" s="1"/>
  <c r="F78" i="236"/>
  <c r="I78" i="236" s="1"/>
  <c r="F23" i="236"/>
  <c r="I23" i="236" s="1"/>
  <c r="F24" i="236"/>
  <c r="I24" i="236" s="1"/>
  <c r="F50" i="236" l="1"/>
  <c r="D60" i="236"/>
  <c r="N16" i="236"/>
  <c r="F63" i="236"/>
  <c r="D26" i="236"/>
  <c r="F22" i="236"/>
  <c r="F29" i="236"/>
  <c r="D47" i="236"/>
  <c r="F89" i="236"/>
  <c r="D19" i="236"/>
  <c r="F19" i="236"/>
  <c r="I16" i="236"/>
  <c r="I19" i="236" s="1"/>
  <c r="F100" i="236"/>
  <c r="I100" i="236" s="1"/>
  <c r="F101" i="236"/>
  <c r="I101" i="236" s="1"/>
  <c r="F97" i="236"/>
  <c r="I97" i="236" s="1"/>
  <c r="F102" i="236"/>
  <c r="I102" i="236" s="1"/>
  <c r="F99" i="236"/>
  <c r="I99" i="236" s="1"/>
  <c r="N113" i="236"/>
  <c r="N93" i="236"/>
  <c r="N38" i="236"/>
  <c r="N67" i="236"/>
  <c r="N97" i="236"/>
  <c r="N103" i="236"/>
  <c r="N70" i="236"/>
  <c r="N65" i="236"/>
  <c r="N95" i="236"/>
  <c r="N102" i="236"/>
  <c r="N78" i="236"/>
  <c r="N90" i="236"/>
  <c r="N77" i="236"/>
  <c r="N92" i="236"/>
  <c r="N69" i="236"/>
  <c r="N57" i="236"/>
  <c r="N39" i="236"/>
  <c r="N91" i="236"/>
  <c r="N31" i="236"/>
  <c r="N52" i="236"/>
  <c r="N81" i="236"/>
  <c r="N66" i="236"/>
  <c r="N40" i="236"/>
  <c r="N55" i="236"/>
  <c r="N73" i="236"/>
  <c r="N68" i="236"/>
  <c r="N35" i="236"/>
  <c r="N37" i="236"/>
  <c r="N79" i="236"/>
  <c r="N83" i="236"/>
  <c r="N107" i="236"/>
  <c r="N72" i="236"/>
  <c r="N108" i="236"/>
  <c r="N43" i="236"/>
  <c r="N33" i="236"/>
  <c r="N82" i="236"/>
  <c r="N111" i="236"/>
  <c r="N58" i="236"/>
  <c r="N51" i="236"/>
  <c r="N76" i="236"/>
  <c r="N45" i="236"/>
  <c r="N44" i="236"/>
  <c r="N64" i="236"/>
  <c r="N41" i="236"/>
  <c r="N98" i="236"/>
  <c r="N32" i="236"/>
  <c r="N71" i="236"/>
  <c r="N36" i="236"/>
  <c r="N101" i="236"/>
  <c r="N42" i="236"/>
  <c r="N34" i="236"/>
  <c r="N94" i="236"/>
  <c r="N53" i="236"/>
  <c r="N17" i="236"/>
  <c r="N19" i="236" s="1"/>
  <c r="F84" i="236"/>
  <c r="I84" i="236" s="1"/>
  <c r="N106" i="236"/>
  <c r="F110" i="236"/>
  <c r="I110" i="236" s="1"/>
  <c r="N80" i="236"/>
  <c r="N30" i="236"/>
  <c r="N54" i="236"/>
  <c r="N112" i="236"/>
  <c r="N24" i="236"/>
  <c r="N23" i="236"/>
  <c r="K26" i="236" l="1"/>
  <c r="N22" i="236"/>
  <c r="N26" i="236" s="1"/>
  <c r="N50" i="236"/>
  <c r="N60" i="236" s="1"/>
  <c r="K60" i="236"/>
  <c r="N100" i="236"/>
  <c r="I89" i="236"/>
  <c r="F47" i="236"/>
  <c r="I29" i="236"/>
  <c r="I47" i="236" s="1"/>
  <c r="N89" i="236"/>
  <c r="F26" i="236"/>
  <c r="I22" i="236"/>
  <c r="I26" i="236" s="1"/>
  <c r="K47" i="236"/>
  <c r="N29" i="236"/>
  <c r="N47" i="236" s="1"/>
  <c r="D86" i="236"/>
  <c r="N63" i="236"/>
  <c r="K86" i="236"/>
  <c r="I63" i="236"/>
  <c r="I86" i="236" s="1"/>
  <c r="F86" i="236"/>
  <c r="K19" i="236"/>
  <c r="F60" i="236"/>
  <c r="I50" i="236"/>
  <c r="I60" i="236" s="1"/>
  <c r="N99" i="236"/>
  <c r="N110" i="236"/>
  <c r="N84" i="236"/>
  <c r="N86" i="236" l="1"/>
  <c r="K116" i="236"/>
  <c r="K118" i="236" s="1"/>
  <c r="N116" i="236"/>
  <c r="P14" i="44"/>
  <c r="F98" i="236"/>
  <c r="D116" i="236"/>
  <c r="D118" i="236" s="1"/>
  <c r="N118" i="236" l="1"/>
  <c r="I98" i="236"/>
  <c r="I116" i="236" s="1"/>
  <c r="I118" i="236" s="1"/>
  <c r="F116" i="236"/>
  <c r="F118" i="236" s="1"/>
  <c r="D176" i="45"/>
  <c r="D14" i="48"/>
  <c r="D155" i="51" l="1"/>
  <c r="D159" i="51" s="1"/>
  <c r="J27" i="42"/>
  <c r="D26" i="46"/>
  <c r="D20" i="47" l="1"/>
  <c r="H96" i="237" l="1"/>
  <c r="F96" i="209" l="1"/>
  <c r="I96" i="209" s="1"/>
  <c r="H113" i="237"/>
  <c r="H71" i="237"/>
  <c r="H90" i="237"/>
  <c r="H35" i="237"/>
  <c r="H76" i="237"/>
  <c r="H109" i="237"/>
  <c r="H92" i="237"/>
  <c r="H107" i="237"/>
  <c r="H80" i="237"/>
  <c r="H108" i="237"/>
  <c r="H93" i="237"/>
  <c r="H67" i="237"/>
  <c r="F102" i="209" l="1"/>
  <c r="I102" i="209" s="1"/>
  <c r="H98" i="237"/>
  <c r="F107" i="209"/>
  <c r="I107" i="209" s="1"/>
  <c r="F90" i="209"/>
  <c r="I90" i="209" s="1"/>
  <c r="F92" i="209"/>
  <c r="I92" i="209" s="1"/>
  <c r="F109" i="209"/>
  <c r="I109" i="209" s="1"/>
  <c r="F93" i="209"/>
  <c r="I93" i="209" s="1"/>
  <c r="F76" i="209"/>
  <c r="I76" i="209" s="1"/>
  <c r="F67" i="209"/>
  <c r="I67" i="209" s="1"/>
  <c r="F71" i="209"/>
  <c r="I71" i="209" s="1"/>
  <c r="F113" i="209"/>
  <c r="I113" i="209" s="1"/>
  <c r="H70" i="237"/>
  <c r="H55" i="237"/>
  <c r="H91" i="237"/>
  <c r="H83" i="237"/>
  <c r="H77" i="237"/>
  <c r="H36" i="237"/>
  <c r="H103" i="237"/>
  <c r="H104" i="237"/>
  <c r="H40" i="237"/>
  <c r="H111" i="237"/>
  <c r="H38" i="237"/>
  <c r="H31" i="237"/>
  <c r="H81" i="237"/>
  <c r="H32" i="237"/>
  <c r="F98" i="209"/>
  <c r="I98" i="209" s="1"/>
  <c r="H34" i="237"/>
  <c r="H43" i="237"/>
  <c r="H73" i="237"/>
  <c r="F80" i="209"/>
  <c r="I80" i="209" s="1"/>
  <c r="F108" i="209"/>
  <c r="I108" i="209" s="1"/>
  <c r="H37" i="237"/>
  <c r="H51" i="237"/>
  <c r="H52" i="237"/>
  <c r="H78" i="237"/>
  <c r="H89" i="237" l="1"/>
  <c r="F35" i="209"/>
  <c r="I35" i="209" s="1"/>
  <c r="H50" i="237"/>
  <c r="H29" i="237"/>
  <c r="H97" i="237"/>
  <c r="H100" i="237"/>
  <c r="H102" i="237"/>
  <c r="H99" i="237"/>
  <c r="N113" i="209"/>
  <c r="N35" i="209"/>
  <c r="N107" i="209"/>
  <c r="N92" i="209"/>
  <c r="N108" i="209"/>
  <c r="N93" i="209"/>
  <c r="N67" i="209"/>
  <c r="N90" i="209"/>
  <c r="N71" i="209"/>
  <c r="N109" i="209"/>
  <c r="F36" i="209"/>
  <c r="I36" i="209" s="1"/>
  <c r="F103" i="209"/>
  <c r="I103" i="209" s="1"/>
  <c r="F37" i="209"/>
  <c r="I37" i="209" s="1"/>
  <c r="F81" i="209"/>
  <c r="I81" i="209" s="1"/>
  <c r="F70" i="209"/>
  <c r="I70" i="209" s="1"/>
  <c r="F104" i="209"/>
  <c r="I104" i="209" s="1"/>
  <c r="N76" i="209"/>
  <c r="F34" i="209"/>
  <c r="I34" i="209" s="1"/>
  <c r="F38" i="209"/>
  <c r="I38" i="209" s="1"/>
  <c r="F55" i="209"/>
  <c r="I55" i="209" s="1"/>
  <c r="F91" i="209"/>
  <c r="I91" i="209" s="1"/>
  <c r="F111" i="209"/>
  <c r="I111" i="209" s="1"/>
  <c r="F83" i="209"/>
  <c r="I83" i="209" s="1"/>
  <c r="F51" i="209"/>
  <c r="I51" i="209" s="1"/>
  <c r="F31" i="209"/>
  <c r="I31" i="209" s="1"/>
  <c r="F52" i="209"/>
  <c r="I52" i="209" s="1"/>
  <c r="F43" i="209"/>
  <c r="I43" i="209" s="1"/>
  <c r="N80" i="209"/>
  <c r="H41" i="237"/>
  <c r="H105" i="237"/>
  <c r="H72" i="237"/>
  <c r="H42" i="237"/>
  <c r="H68" i="237"/>
  <c r="H45" i="237"/>
  <c r="F73" i="209"/>
  <c r="I73" i="209" s="1"/>
  <c r="H65" i="237"/>
  <c r="H39" i="237"/>
  <c r="N98" i="209"/>
  <c r="N102" i="209"/>
  <c r="F77" i="209"/>
  <c r="I77" i="209" s="1"/>
  <c r="H33" i="237"/>
  <c r="H69" i="237"/>
  <c r="F97" i="209"/>
  <c r="I97" i="209" s="1"/>
  <c r="H64" i="237"/>
  <c r="H58" i="237"/>
  <c r="H95" i="237"/>
  <c r="F100" i="209"/>
  <c r="I100" i="209" s="1"/>
  <c r="F99" i="209"/>
  <c r="I99" i="209" s="1"/>
  <c r="F40" i="209"/>
  <c r="I40" i="209" s="1"/>
  <c r="H57" i="237"/>
  <c r="H82" i="237"/>
  <c r="F32" i="209"/>
  <c r="I32" i="209" s="1"/>
  <c r="F78" i="209"/>
  <c r="I78" i="209" s="1"/>
  <c r="H30" i="237"/>
  <c r="H63" i="237" l="1"/>
  <c r="F89" i="209"/>
  <c r="F29" i="209"/>
  <c r="F50" i="209"/>
  <c r="N78" i="209"/>
  <c r="N32" i="209"/>
  <c r="N100" i="209"/>
  <c r="N51" i="209"/>
  <c r="N83" i="209"/>
  <c r="N70" i="209"/>
  <c r="N38" i="209"/>
  <c r="N77" i="209"/>
  <c r="N43" i="209"/>
  <c r="N40" i="209"/>
  <c r="N97" i="209"/>
  <c r="N37" i="209"/>
  <c r="N36" i="209"/>
  <c r="N81" i="209"/>
  <c r="N34" i="209"/>
  <c r="F41" i="209"/>
  <c r="I41" i="209" s="1"/>
  <c r="N103" i="209"/>
  <c r="N104" i="209"/>
  <c r="N55" i="209"/>
  <c r="N31" i="209"/>
  <c r="N91" i="209"/>
  <c r="N99" i="209"/>
  <c r="F65" i="209"/>
  <c r="I65" i="209" s="1"/>
  <c r="N111" i="209"/>
  <c r="N52" i="209"/>
  <c r="F68" i="209"/>
  <c r="I68" i="209" s="1"/>
  <c r="F33" i="209"/>
  <c r="I33" i="209" s="1"/>
  <c r="F72" i="209"/>
  <c r="I72" i="209" s="1"/>
  <c r="F105" i="209"/>
  <c r="I105" i="209" s="1"/>
  <c r="F82" i="209"/>
  <c r="I82" i="209" s="1"/>
  <c r="F45" i="209"/>
  <c r="I45" i="209" s="1"/>
  <c r="F58" i="209"/>
  <c r="I58" i="209" s="1"/>
  <c r="H44" i="237"/>
  <c r="H47" i="237" s="1"/>
  <c r="F64" i="209"/>
  <c r="I64" i="209" s="1"/>
  <c r="H84" i="237"/>
  <c r="H66" i="237"/>
  <c r="F42" i="209"/>
  <c r="I42" i="209" s="1"/>
  <c r="F69" i="209"/>
  <c r="I69" i="209" s="1"/>
  <c r="F95" i="209"/>
  <c r="I95" i="209" s="1"/>
  <c r="F39" i="209"/>
  <c r="I39" i="209" s="1"/>
  <c r="N73" i="209"/>
  <c r="F57" i="209"/>
  <c r="I57" i="209" s="1"/>
  <c r="F30" i="209"/>
  <c r="I30" i="209" s="1"/>
  <c r="H22" i="237" l="1"/>
  <c r="F63" i="209"/>
  <c r="I50" i="209"/>
  <c r="D47" i="237"/>
  <c r="N29" i="209"/>
  <c r="I29" i="209"/>
  <c r="N50" i="209"/>
  <c r="I89" i="209"/>
  <c r="N89" i="209"/>
  <c r="N41" i="209"/>
  <c r="N58" i="209"/>
  <c r="N68" i="209"/>
  <c r="N69" i="209"/>
  <c r="N72" i="209"/>
  <c r="N95" i="209"/>
  <c r="N30" i="209"/>
  <c r="N33" i="209"/>
  <c r="F84" i="209"/>
  <c r="I84" i="209" s="1"/>
  <c r="N64" i="209"/>
  <c r="N45" i="209"/>
  <c r="N82" i="209"/>
  <c r="N65" i="209"/>
  <c r="N105" i="209"/>
  <c r="N39" i="209"/>
  <c r="F44" i="209"/>
  <c r="I44" i="209" s="1"/>
  <c r="N57" i="209"/>
  <c r="F66" i="209"/>
  <c r="I66" i="209" s="1"/>
  <c r="N42" i="209"/>
  <c r="F47" i="209" l="1"/>
  <c r="I47" i="209"/>
  <c r="D47" i="209"/>
  <c r="F22" i="209"/>
  <c r="I63" i="209"/>
  <c r="N63" i="209"/>
  <c r="N84" i="209"/>
  <c r="N44" i="209"/>
  <c r="N47" i="209" s="1"/>
  <c r="N66" i="209"/>
  <c r="H54" i="237"/>
  <c r="F54" i="209"/>
  <c r="I54" i="209" s="1"/>
  <c r="H110" i="237"/>
  <c r="F110" i="209"/>
  <c r="I110" i="209" s="1"/>
  <c r="H101" i="237"/>
  <c r="F101" i="209"/>
  <c r="I101" i="209" s="1"/>
  <c r="N22" i="209" l="1"/>
  <c r="F94" i="209"/>
  <c r="I22" i="209"/>
  <c r="K47" i="209"/>
  <c r="H94" i="237"/>
  <c r="N101" i="209"/>
  <c r="N54" i="209"/>
  <c r="N110" i="209"/>
  <c r="H112" i="237"/>
  <c r="F112" i="209"/>
  <c r="I112" i="209" s="1"/>
  <c r="N94" i="209" l="1"/>
  <c r="I94" i="209"/>
  <c r="N112" i="209"/>
  <c r="F106" i="209" l="1"/>
  <c r="D116" i="209"/>
  <c r="H106" i="237"/>
  <c r="H116" i="237" s="1"/>
  <c r="D116" i="237"/>
  <c r="H17" i="237"/>
  <c r="F17" i="209"/>
  <c r="I17" i="209" s="1"/>
  <c r="N106" i="209" l="1"/>
  <c r="N116" i="209" s="1"/>
  <c r="K116" i="209"/>
  <c r="I106" i="209"/>
  <c r="I116" i="209" s="1"/>
  <c r="F116" i="209"/>
  <c r="N17" i="209"/>
  <c r="H53" i="237" l="1"/>
  <c r="H60" i="237" s="1"/>
  <c r="D60" i="237"/>
  <c r="F53" i="209"/>
  <c r="D60" i="209"/>
  <c r="N53" i="209" l="1"/>
  <c r="N60" i="209" s="1"/>
  <c r="K60" i="209"/>
  <c r="I53" i="209"/>
  <c r="I60" i="209" s="1"/>
  <c r="F60" i="209"/>
  <c r="H24" i="237" l="1"/>
  <c r="F24" i="209"/>
  <c r="I24" i="209" s="1"/>
  <c r="N24" i="209" l="1"/>
  <c r="F23" i="209" l="1"/>
  <c r="D26" i="209"/>
  <c r="H23" i="237"/>
  <c r="H26" i="237" s="1"/>
  <c r="D26" i="237"/>
  <c r="N23" i="209" l="1"/>
  <c r="N26" i="209" s="1"/>
  <c r="K26" i="209"/>
  <c r="I23" i="209"/>
  <c r="I26" i="209" s="1"/>
  <c r="F26" i="209"/>
  <c r="F16" i="209" l="1"/>
  <c r="D19" i="209"/>
  <c r="H16" i="237"/>
  <c r="H19" i="237" s="1"/>
  <c r="D19" i="237"/>
  <c r="N16" i="209" l="1"/>
  <c r="N19" i="209" s="1"/>
  <c r="K19" i="209"/>
  <c r="I16" i="209"/>
  <c r="I19" i="209" s="1"/>
  <c r="F19" i="209"/>
  <c r="D225" i="236" l="1"/>
  <c r="D263" i="236" s="1"/>
  <c r="F184" i="236" l="1"/>
  <c r="F225" i="236" s="1"/>
  <c r="K225" i="236"/>
  <c r="K263" i="236" l="1"/>
  <c r="N184" i="236"/>
  <c r="I184" i="236"/>
  <c r="F263" i="236"/>
  <c r="I225" i="236" l="1"/>
  <c r="I263" i="236" s="1"/>
  <c r="N225" i="236"/>
  <c r="N263" i="236" s="1"/>
  <c r="F17" i="3" l="1"/>
  <c r="D17" i="3"/>
  <c r="F19" i="3" l="1"/>
  <c r="H26" i="10"/>
  <c r="H27" i="10" s="1"/>
  <c r="H33" i="10" s="1"/>
  <c r="D19" i="3"/>
  <c r="F186" i="209" l="1"/>
  <c r="H186" i="237"/>
  <c r="N186" i="209" l="1"/>
  <c r="I186" i="209"/>
  <c r="F79" i="209" l="1"/>
  <c r="D86" i="209"/>
  <c r="D118" i="209" s="1"/>
  <c r="H79" i="237"/>
  <c r="H86" i="237" s="1"/>
  <c r="H118" i="237" s="1"/>
  <c r="D86" i="237"/>
  <c r="D118" i="237" s="1"/>
  <c r="N79" i="209" l="1"/>
  <c r="N86" i="209" s="1"/>
  <c r="N118" i="209" s="1"/>
  <c r="K86" i="209"/>
  <c r="K118" i="209" s="1"/>
  <c r="I79" i="209"/>
  <c r="I86" i="209" s="1"/>
  <c r="I118" i="209" s="1"/>
  <c r="F86" i="209"/>
  <c r="F118" i="209" s="1"/>
  <c r="D227" i="209" l="1"/>
  <c r="F213" i="209" l="1"/>
  <c r="F227" i="209" s="1"/>
  <c r="D265" i="209"/>
  <c r="K227" i="209" l="1"/>
  <c r="I213" i="209"/>
  <c r="F265" i="209"/>
  <c r="H213" i="237"/>
  <c r="H226" i="237" s="1"/>
  <c r="H264" i="237" s="1"/>
  <c r="D226" i="237"/>
  <c r="D264" i="237" l="1"/>
  <c r="I227" i="209"/>
  <c r="I265" i="209" s="1"/>
  <c r="N213" i="209"/>
  <c r="K265" i="209"/>
  <c r="D17" i="137" l="1"/>
  <c r="N227" i="209"/>
  <c r="N265" i="209" s="1"/>
  <c r="F17" i="137" l="1"/>
  <c r="G26" i="10"/>
  <c r="G27" i="10" s="1"/>
  <c r="G33" i="10" s="1"/>
  <c r="D19" i="137"/>
  <c r="F19" i="137" l="1"/>
  <c r="F15" i="252" l="1"/>
  <c r="P27" i="190"/>
  <c r="F14" i="252" l="1"/>
  <c r="E28" i="102" l="1"/>
  <c r="E27" i="102" l="1"/>
  <c r="E29" i="102" s="1"/>
  <c r="C29" i="102"/>
  <c r="D28" i="105"/>
  <c r="F26" i="105"/>
  <c r="F28" i="105" s="1"/>
  <c r="P17" i="227" l="1"/>
  <c r="P17" i="193"/>
  <c r="P23" i="226" l="1"/>
  <c r="P39" i="226"/>
  <c r="P23" i="190"/>
  <c r="P36" i="190"/>
  <c r="P30" i="190"/>
  <c r="P16" i="190"/>
  <c r="P39" i="190"/>
  <c r="P19" i="226"/>
  <c r="P14" i="190"/>
  <c r="P19" i="190"/>
  <c r="P22" i="190"/>
  <c r="P31" i="190"/>
  <c r="P37" i="190"/>
  <c r="P14" i="226"/>
  <c r="P22" i="226"/>
  <c r="P20" i="190"/>
  <c r="P29" i="190"/>
  <c r="D63" i="100" s="1"/>
  <c r="P31" i="226"/>
  <c r="F63" i="100" l="1"/>
  <c r="F66" i="100" s="1"/>
  <c r="D66" i="100"/>
  <c r="P18" i="227" l="1"/>
  <c r="P16" i="193"/>
  <c r="P18" i="193"/>
  <c r="P28" i="193"/>
  <c r="P30" i="193"/>
  <c r="P28" i="190"/>
  <c r="D35" i="100" s="1"/>
  <c r="P23" i="193" l="1"/>
  <c r="P27" i="193"/>
  <c r="D33" i="105"/>
  <c r="D35" i="105" s="1"/>
  <c r="F31" i="105"/>
  <c r="F33" i="105" s="1"/>
  <c r="F35" i="105" s="1"/>
  <c r="P31" i="227"/>
  <c r="P24" i="193"/>
  <c r="P32" i="193"/>
  <c r="K25" i="193"/>
  <c r="K34" i="193" s="1"/>
  <c r="K36" i="193" s="1"/>
  <c r="K38" i="193" s="1"/>
  <c r="P29" i="193"/>
  <c r="P22" i="193"/>
  <c r="M25" i="193"/>
  <c r="M36" i="193" s="1"/>
  <c r="M38" i="193" s="1"/>
  <c r="J25" i="193"/>
  <c r="J34" i="193" s="1"/>
  <c r="J36" i="193" s="1"/>
  <c r="P14" i="193"/>
  <c r="O25" i="193"/>
  <c r="O36" i="193" s="1"/>
  <c r="O38" i="193" s="1"/>
  <c r="P19" i="193"/>
  <c r="P26" i="193"/>
  <c r="N25" i="193"/>
  <c r="N36" i="193" s="1"/>
  <c r="N38" i="193" s="1"/>
  <c r="P20" i="193"/>
  <c r="L25" i="193"/>
  <c r="L36" i="193" s="1"/>
  <c r="L38" i="193" s="1"/>
  <c r="P31" i="193"/>
  <c r="P15" i="193"/>
  <c r="P21" i="193"/>
  <c r="P25" i="190"/>
  <c r="P42" i="190"/>
  <c r="P38" i="190"/>
  <c r="P24" i="190"/>
  <c r="F35" i="100"/>
  <c r="F36" i="100" s="1"/>
  <c r="D36" i="100"/>
  <c r="O34" i="193" l="1"/>
  <c r="L34" i="193"/>
  <c r="E32" i="102"/>
  <c r="E34" i="102" s="1"/>
  <c r="C34" i="102"/>
  <c r="M34" i="193"/>
  <c r="N34" i="193"/>
  <c r="J38" i="193"/>
  <c r="P38" i="193" s="1"/>
  <c r="P36" i="193"/>
  <c r="P25" i="193"/>
  <c r="P34" i="193" s="1"/>
  <c r="P35" i="190"/>
  <c r="O34" i="190"/>
  <c r="O45" i="190" s="1"/>
  <c r="P17" i="190"/>
  <c r="P41" i="190"/>
  <c r="N34" i="190"/>
  <c r="N45" i="190" s="1"/>
  <c r="P18" i="190"/>
  <c r="M34" i="190"/>
  <c r="M45" i="190" s="1"/>
  <c r="P21" i="190"/>
  <c r="P32" i="190"/>
  <c r="P40" i="190"/>
  <c r="K34" i="190"/>
  <c r="K43" i="190" s="1"/>
  <c r="K45" i="190" s="1"/>
  <c r="L34" i="190"/>
  <c r="L45" i="190" s="1"/>
  <c r="P15" i="190"/>
  <c r="J34" i="190"/>
  <c r="J43" i="190" s="1"/>
  <c r="J45" i="190" s="1"/>
  <c r="P33" i="190"/>
  <c r="P26" i="190"/>
  <c r="P37" i="193" l="1"/>
  <c r="O43" i="190"/>
  <c r="P61" i="190"/>
  <c r="M43" i="190"/>
  <c r="N43" i="190"/>
  <c r="J61" i="190"/>
  <c r="J62" i="190" s="1"/>
  <c r="P45" i="190"/>
  <c r="J47" i="190"/>
  <c r="N47" i="190"/>
  <c r="N103" i="44" s="1"/>
  <c r="N61" i="190"/>
  <c r="N62" i="190" s="1"/>
  <c r="P34" i="190"/>
  <c r="P43" i="190" s="1"/>
  <c r="L43" i="190"/>
  <c r="L61" i="190"/>
  <c r="L62" i="190" s="1"/>
  <c r="L47" i="190"/>
  <c r="L103" i="44" s="1"/>
  <c r="K61" i="190"/>
  <c r="K62" i="190" s="1"/>
  <c r="K47" i="190"/>
  <c r="K103" i="44" s="1"/>
  <c r="O47" i="190"/>
  <c r="O103" i="44" s="1"/>
  <c r="O61" i="190"/>
  <c r="O62" i="190" s="1"/>
  <c r="M47" i="190"/>
  <c r="M103" i="44" s="1"/>
  <c r="M61" i="190"/>
  <c r="M62" i="190" s="1"/>
  <c r="P65" i="190" l="1"/>
  <c r="P47" i="190"/>
  <c r="J103" i="44"/>
  <c r="P46" i="190" l="1"/>
  <c r="D25" i="227"/>
  <c r="D34" i="227" s="1"/>
  <c r="G34" i="226"/>
  <c r="G43" i="226" s="1"/>
  <c r="P103" i="44"/>
  <c r="D36" i="227" l="1"/>
  <c r="E25" i="227"/>
  <c r="E34" i="227" s="1"/>
  <c r="J26" i="42"/>
  <c r="D159" i="45"/>
  <c r="H34" i="226"/>
  <c r="H43" i="226" s="1"/>
  <c r="G45" i="226"/>
  <c r="G47" i="226" s="1"/>
  <c r="F25" i="227" l="1"/>
  <c r="F34" i="227" s="1"/>
  <c r="E36" i="227"/>
  <c r="E38" i="227" s="1"/>
  <c r="D38" i="227"/>
  <c r="H45" i="226"/>
  <c r="H47" i="226" s="1"/>
  <c r="I34" i="226"/>
  <c r="I43" i="226" s="1"/>
  <c r="D121" i="51"/>
  <c r="G25" i="227" l="1"/>
  <c r="F36" i="227"/>
  <c r="D142" i="51"/>
  <c r="I45" i="226"/>
  <c r="I47" i="226" s="1"/>
  <c r="F38" i="227" l="1"/>
  <c r="G36" i="227"/>
  <c r="G38" i="227" s="1"/>
  <c r="G103" i="222" s="1"/>
  <c r="G34" i="227"/>
  <c r="H25" i="227"/>
  <c r="P21" i="227" l="1"/>
  <c r="H36" i="227"/>
  <c r="H38" i="227" s="1"/>
  <c r="H103" i="222" s="1"/>
  <c r="H34" i="227"/>
  <c r="I25" i="227"/>
  <c r="J25" i="227" l="1"/>
  <c r="I36" i="227"/>
  <c r="I34" i="227"/>
  <c r="I28" i="102"/>
  <c r="P16" i="227"/>
  <c r="P19" i="227"/>
  <c r="P28" i="227"/>
  <c r="P27" i="227"/>
  <c r="G34" i="102" l="1"/>
  <c r="I32" i="102"/>
  <c r="I34" i="102" s="1"/>
  <c r="I38" i="227"/>
  <c r="J36" i="227"/>
  <c r="J38" i="227" s="1"/>
  <c r="J34" i="227"/>
  <c r="P36" i="226"/>
  <c r="P30" i="226"/>
  <c r="I27" i="102"/>
  <c r="I29" i="102" s="1"/>
  <c r="G29" i="102"/>
  <c r="P16" i="226"/>
  <c r="P15" i="227"/>
  <c r="P24" i="227"/>
  <c r="P20" i="227"/>
  <c r="P32" i="227"/>
  <c r="P26" i="227"/>
  <c r="P22" i="227"/>
  <c r="H33" i="105" l="1"/>
  <c r="J31" i="105"/>
  <c r="J33" i="105" s="1"/>
  <c r="P14" i="227"/>
  <c r="I103" i="222"/>
  <c r="P29" i="226"/>
  <c r="H63" i="100" s="1"/>
  <c r="P42" i="226"/>
  <c r="P21" i="226"/>
  <c r="P24" i="226"/>
  <c r="P15" i="226" l="1"/>
  <c r="J63" i="100"/>
  <c r="J66" i="100" s="1"/>
  <c r="H66" i="100"/>
  <c r="P29" i="227" l="1"/>
  <c r="K34" i="226" l="1"/>
  <c r="L34" i="226" l="1"/>
  <c r="K45" i="226"/>
  <c r="K47" i="226" s="1"/>
  <c r="K43" i="226"/>
  <c r="L45" i="226"/>
  <c r="L47" i="226" s="1"/>
  <c r="L43" i="226"/>
  <c r="H62" i="190" l="1"/>
  <c r="G62" i="190"/>
  <c r="I62" i="190"/>
  <c r="D62" i="190"/>
  <c r="F62" i="190" l="1"/>
  <c r="E62" i="190"/>
  <c r="P62" i="190"/>
  <c r="P67" i="190"/>
  <c r="E34" i="226" l="1"/>
  <c r="E45" i="226" s="1"/>
  <c r="E47" i="226" s="1"/>
  <c r="E103" i="222" s="1"/>
  <c r="E43" i="226" l="1"/>
  <c r="F34" i="226"/>
  <c r="D34" i="226"/>
  <c r="P40" i="226" l="1"/>
  <c r="O34" i="226"/>
  <c r="D45" i="226"/>
  <c r="D47" i="226" s="1"/>
  <c r="O43" i="226"/>
  <c r="F45" i="226"/>
  <c r="F47" i="226" s="1"/>
  <c r="F103" i="222" s="1"/>
  <c r="F43" i="226"/>
  <c r="M34" i="226"/>
  <c r="D43" i="226"/>
  <c r="O45" i="226" l="1"/>
  <c r="O47" i="226" s="1"/>
  <c r="M45" i="226"/>
  <c r="M47" i="226" s="1"/>
  <c r="M43" i="226"/>
  <c r="N34" i="226"/>
  <c r="P20" i="226"/>
  <c r="D103" i="222"/>
  <c r="P17" i="226" l="1"/>
  <c r="P28" i="226"/>
  <c r="H35" i="100" s="1"/>
  <c r="P25" i="226"/>
  <c r="P32" i="226"/>
  <c r="N45" i="226"/>
  <c r="N47" i="226" s="1"/>
  <c r="P18" i="226"/>
  <c r="P41" i="226"/>
  <c r="N43" i="226"/>
  <c r="P26" i="226"/>
  <c r="H28" i="105" l="1"/>
  <c r="H35" i="105" s="1"/>
  <c r="J26" i="105"/>
  <c r="J28" i="105" s="1"/>
  <c r="J35" i="105" s="1"/>
  <c r="P33" i="226"/>
  <c r="H36" i="100"/>
  <c r="J35" i="100"/>
  <c r="J36" i="100" s="1"/>
  <c r="P27" i="226"/>
  <c r="P35" i="226" l="1"/>
  <c r="P37" i="226" l="1"/>
  <c r="P38" i="226" l="1"/>
  <c r="J34" i="226"/>
  <c r="J43" i="226" s="1"/>
  <c r="J45" i="226" l="1"/>
  <c r="J47" i="226" s="1"/>
  <c r="P34" i="226"/>
  <c r="P43" i="226" s="1"/>
  <c r="O25" i="227" l="1"/>
  <c r="O34" i="227" s="1"/>
  <c r="N25" i="227"/>
  <c r="P30" i="227"/>
  <c r="J103" i="222"/>
  <c r="P47" i="226"/>
  <c r="N36" i="227" l="1"/>
  <c r="N38" i="227" s="1"/>
  <c r="N103" i="222" s="1"/>
  <c r="N34" i="227"/>
  <c r="O36" i="227"/>
  <c r="K25" i="227"/>
  <c r="K34" i="227" s="1"/>
  <c r="P23" i="227"/>
  <c r="M25" i="227"/>
  <c r="M34" i="227" s="1"/>
  <c r="L25" i="227"/>
  <c r="L34" i="227" s="1"/>
  <c r="P25" i="227" l="1"/>
  <c r="P34" i="227" s="1"/>
  <c r="L36" i="227"/>
  <c r="L38" i="227" s="1"/>
  <c r="L103" i="222" s="1"/>
  <c r="M36" i="227"/>
  <c r="M38" i="227" s="1"/>
  <c r="M103" i="222" s="1"/>
  <c r="K36" i="227"/>
  <c r="K38" i="227" s="1"/>
  <c r="K103" i="222" s="1"/>
  <c r="O38" i="227"/>
  <c r="P36" i="227" l="1"/>
  <c r="P38" i="227"/>
  <c r="O103" i="222"/>
  <c r="F27" i="250"/>
  <c r="F15" i="250"/>
  <c r="F17" i="250"/>
  <c r="F29" i="250"/>
  <c r="P103" i="222" l="1"/>
  <c r="F23" i="250"/>
  <c r="L26" i="42" l="1"/>
  <c r="N121" i="51"/>
  <c r="N142" i="51" s="1"/>
  <c r="D154" i="79"/>
  <c r="N134" i="51"/>
  <c r="M26" i="39" l="1"/>
  <c r="M28" i="39"/>
  <c r="M25" i="39" l="1"/>
  <c r="M27" i="39"/>
  <c r="M30" i="41" l="1"/>
  <c r="M30" i="39"/>
  <c r="O27" i="39" l="1"/>
  <c r="O28" i="39" l="1"/>
  <c r="O26" i="39" l="1"/>
  <c r="O25" i="39" l="1"/>
  <c r="O30" i="41"/>
  <c r="O30" i="39" l="1"/>
  <c r="S28" i="39" l="1"/>
  <c r="R26" i="39"/>
  <c r="R28" i="39"/>
  <c r="Q27" i="39"/>
  <c r="R27" i="39"/>
  <c r="Q28" i="39"/>
  <c r="S27" i="39"/>
  <c r="Q26" i="39"/>
  <c r="S26" i="39"/>
  <c r="R25" i="39" l="1"/>
  <c r="R30" i="41"/>
  <c r="S25" i="39"/>
  <c r="S30" i="39" s="1"/>
  <c r="S30" i="41"/>
  <c r="Q25" i="39"/>
  <c r="Q30" i="39" s="1"/>
  <c r="Q30" i="41"/>
  <c r="R30" i="39" l="1"/>
  <c r="C24" i="30" l="1"/>
  <c r="C28" i="30" l="1"/>
  <c r="C37" i="30" s="1"/>
  <c r="F24" i="30"/>
  <c r="F28" i="30" s="1"/>
  <c r="F37" i="30" s="1"/>
  <c r="D22" i="3" s="1"/>
  <c r="P40" i="214"/>
  <c r="H24" i="30" s="1"/>
  <c r="H28" i="30" l="1"/>
  <c r="H37" i="30" s="1"/>
  <c r="K24" i="30"/>
  <c r="K28" i="30" s="1"/>
  <c r="E18" i="31" l="1"/>
  <c r="E22" i="31" s="1"/>
  <c r="K37" i="30"/>
  <c r="F22" i="3" s="1"/>
  <c r="C24" i="215" l="1"/>
  <c r="P41" i="216"/>
  <c r="H24" i="215" s="1"/>
  <c r="K24" i="215" l="1"/>
  <c r="K28" i="215" s="1"/>
  <c r="H28" i="215"/>
  <c r="H37" i="215" s="1"/>
  <c r="C28" i="215"/>
  <c r="C37" i="215" s="1"/>
  <c r="F24" i="215"/>
  <c r="F28" i="215" s="1"/>
  <c r="F37" i="215" s="1"/>
  <c r="D22" i="137" s="1"/>
  <c r="E18" i="67" l="1"/>
  <c r="E22" i="67" s="1"/>
  <c r="K37" i="215"/>
  <c r="F22" i="137" s="1"/>
  <c r="P26" i="44" l="1"/>
  <c r="D27" i="45" s="1"/>
  <c r="D25" i="51" l="1"/>
  <c r="D44" i="50"/>
  <c r="P26" i="222"/>
  <c r="D23" i="79" s="1"/>
  <c r="D43" i="50" s="1"/>
  <c r="D45" i="50" l="1"/>
  <c r="D46" i="50"/>
  <c r="H25" i="51"/>
  <c r="P25" i="51" s="1"/>
  <c r="H121" i="10" l="1"/>
  <c r="M35" i="39"/>
  <c r="G121" i="10" l="1"/>
  <c r="O35" i="39"/>
  <c r="Q35" i="39"/>
  <c r="R35" i="39" l="1"/>
  <c r="S35" i="39" l="1"/>
  <c r="H120" i="10" l="1"/>
  <c r="M34" i="39"/>
  <c r="H119" i="10"/>
  <c r="M22" i="39"/>
  <c r="M33" i="39"/>
  <c r="H122" i="10"/>
  <c r="M36" i="39"/>
  <c r="H124" i="10" l="1"/>
  <c r="H130" i="10" s="1"/>
  <c r="H128" i="10" s="1"/>
  <c r="P27" i="44" l="1"/>
  <c r="D28" i="45" s="1"/>
  <c r="P27" i="222"/>
  <c r="D24" i="79" s="1"/>
  <c r="D48" i="50" l="1"/>
  <c r="L17" i="42"/>
  <c r="D26" i="51"/>
  <c r="D49" i="50"/>
  <c r="D50" i="50" s="1"/>
  <c r="J17" i="42"/>
  <c r="H26" i="51" l="1"/>
  <c r="P26" i="51" s="1"/>
  <c r="D51" i="50"/>
  <c r="G119" i="10" l="1"/>
  <c r="O33" i="39"/>
  <c r="G122" i="10" l="1"/>
  <c r="O36" i="39"/>
  <c r="G120" i="10" l="1"/>
  <c r="G124" i="10" s="1"/>
  <c r="G130" i="10" s="1"/>
  <c r="G128" i="10" s="1"/>
  <c r="O34" i="39"/>
  <c r="O22" i="39"/>
  <c r="P17" i="44" l="1"/>
  <c r="D15" i="45" s="1"/>
  <c r="M16" i="41" l="1"/>
  <c r="D15" i="51"/>
  <c r="D14" i="50"/>
  <c r="P23" i="44"/>
  <c r="D21" i="45" s="1"/>
  <c r="D18" i="51" l="1"/>
  <c r="D29" i="50"/>
  <c r="M19" i="41"/>
  <c r="M36" i="41" s="1"/>
  <c r="P20" i="44"/>
  <c r="D18" i="45" s="1"/>
  <c r="M33" i="41"/>
  <c r="P19" i="44"/>
  <c r="D17" i="45" s="1"/>
  <c r="P25" i="44"/>
  <c r="D26" i="45" s="1"/>
  <c r="D31" i="45" l="1"/>
  <c r="D39" i="50"/>
  <c r="D24" i="51"/>
  <c r="D29" i="51" s="1"/>
  <c r="J18" i="42"/>
  <c r="M17" i="41"/>
  <c r="D16" i="51"/>
  <c r="D19" i="50"/>
  <c r="D23" i="45"/>
  <c r="M18" i="41"/>
  <c r="M35" i="41" s="1"/>
  <c r="D24" i="50"/>
  <c r="D17" i="51"/>
  <c r="D21" i="51" s="1"/>
  <c r="D31" i="51" s="1"/>
  <c r="J16" i="42" l="1"/>
  <c r="D33" i="45"/>
  <c r="D66" i="50"/>
  <c r="M34" i="41"/>
  <c r="M22" i="41"/>
  <c r="J19" i="42" l="1"/>
  <c r="D14" i="46"/>
  <c r="D15" i="47"/>
  <c r="H48" i="10"/>
  <c r="P17" i="222" l="1"/>
  <c r="D15" i="79" s="1"/>
  <c r="D13" i="50" l="1"/>
  <c r="O16" i="41"/>
  <c r="P19" i="222" l="1"/>
  <c r="D16" i="79" s="1"/>
  <c r="O33" i="41"/>
  <c r="D15" i="50"/>
  <c r="P20" i="222"/>
  <c r="D17" i="79" s="1"/>
  <c r="O18" i="41" l="1"/>
  <c r="O35" i="41" s="1"/>
  <c r="D23" i="50"/>
  <c r="D25" i="50" s="1"/>
  <c r="D16" i="50"/>
  <c r="F15" i="51"/>
  <c r="D18" i="50"/>
  <c r="O17" i="41"/>
  <c r="P23" i="222" l="1"/>
  <c r="D18" i="79" s="1"/>
  <c r="O34" i="41"/>
  <c r="D20" i="50"/>
  <c r="P15" i="51"/>
  <c r="D26" i="50"/>
  <c r="F17" i="51"/>
  <c r="P17" i="51" s="1"/>
  <c r="P25" i="222"/>
  <c r="O19" i="238" l="1"/>
  <c r="C19" i="238" s="1"/>
  <c r="D22" i="79"/>
  <c r="D21" i="50"/>
  <c r="F16" i="51"/>
  <c r="D28" i="50"/>
  <c r="O19" i="41"/>
  <c r="D19" i="79"/>
  <c r="L16" i="42" s="1"/>
  <c r="O36" i="41" l="1"/>
  <c r="O22" i="41"/>
  <c r="D30" i="50"/>
  <c r="P16" i="51"/>
  <c r="D26" i="79"/>
  <c r="D28" i="79" s="1"/>
  <c r="K14" i="46" s="1"/>
  <c r="L18" i="42"/>
  <c r="D38" i="50"/>
  <c r="D40" i="50" s="1"/>
  <c r="D19" i="238"/>
  <c r="C24" i="238"/>
  <c r="L19" i="42" l="1"/>
  <c r="D16" i="222"/>
  <c r="E19" i="238"/>
  <c r="D24" i="238"/>
  <c r="E16" i="222" s="1"/>
  <c r="H24" i="51"/>
  <c r="D41" i="50"/>
  <c r="G48" i="10"/>
  <c r="O14" i="46"/>
  <c r="F14" i="46"/>
  <c r="D70" i="50"/>
  <c r="F18" i="51"/>
  <c r="D31" i="50"/>
  <c r="P18" i="51" l="1"/>
  <c r="F21" i="51"/>
  <c r="F15" i="47"/>
  <c r="P24" i="51"/>
  <c r="H29" i="51"/>
  <c r="F19" i="238"/>
  <c r="E24" i="238"/>
  <c r="F16" i="222" s="1"/>
  <c r="G19" i="238" l="1"/>
  <c r="F24" i="238"/>
  <c r="P29" i="51"/>
  <c r="H31" i="51"/>
  <c r="H38" i="51" s="1"/>
  <c r="H40" i="51" s="1"/>
  <c r="H42" i="51" s="1"/>
  <c r="G42" i="1"/>
  <c r="F31" i="51"/>
  <c r="P21" i="51"/>
  <c r="F38" i="51" l="1"/>
  <c r="P31" i="51"/>
  <c r="G16" i="222"/>
  <c r="H19" i="238"/>
  <c r="G24" i="238"/>
  <c r="H16" i="222" s="1"/>
  <c r="I19" i="238" l="1"/>
  <c r="H24" i="238"/>
  <c r="I16" i="222" s="1"/>
  <c r="F40" i="51"/>
  <c r="F42" i="51" s="1"/>
  <c r="J19" i="238" l="1"/>
  <c r="I24" i="238"/>
  <c r="J16" i="222" l="1"/>
  <c r="K19" i="238"/>
  <c r="J24" i="238"/>
  <c r="K16" i="222" s="1"/>
  <c r="L19" i="238" l="1"/>
  <c r="K24" i="238"/>
  <c r="L16" i="222" s="1"/>
  <c r="M19" i="238" l="1"/>
  <c r="L24" i="238"/>
  <c r="M16" i="222" s="1"/>
  <c r="N19" i="238" l="1"/>
  <c r="N24" i="238" s="1"/>
  <c r="M24" i="238"/>
  <c r="N16" i="222" s="1"/>
  <c r="O16" i="222" l="1"/>
  <c r="O24" i="238"/>
  <c r="P16" i="222" l="1"/>
  <c r="D18" i="48" l="1"/>
  <c r="D20" i="48" s="1"/>
  <c r="D172" i="79"/>
  <c r="L28" i="42" l="1"/>
  <c r="K27" i="46"/>
  <c r="H168" i="51"/>
  <c r="D21" i="48"/>
  <c r="H170" i="51" l="1"/>
  <c r="H172" i="51" s="1"/>
  <c r="P168" i="51"/>
  <c r="P170" i="51" s="1"/>
  <c r="P172" i="51" s="1"/>
  <c r="F27" i="46"/>
  <c r="R33" i="41" l="1"/>
  <c r="S33" i="39" l="1"/>
  <c r="R33" i="39"/>
  <c r="Q33" i="39"/>
  <c r="Q33" i="41"/>
  <c r="Q36" i="41" l="1"/>
  <c r="R36" i="41"/>
  <c r="Q36" i="39"/>
  <c r="R36" i="39"/>
  <c r="S36" i="39"/>
  <c r="R34" i="39" l="1"/>
  <c r="R22" i="39"/>
  <c r="S34" i="39"/>
  <c r="S22" i="39"/>
  <c r="Q34" i="39"/>
  <c r="Q22" i="39"/>
  <c r="R34" i="41"/>
  <c r="Q34" i="41"/>
  <c r="R35" i="41" l="1"/>
  <c r="R22" i="41"/>
  <c r="Q35" i="41"/>
  <c r="Q22" i="41"/>
  <c r="P18" i="42" l="1"/>
  <c r="P22" i="42"/>
  <c r="S33" i="41"/>
  <c r="P31" i="42" l="1"/>
  <c r="P42" i="42" s="1"/>
  <c r="P43" i="42" s="1"/>
  <c r="P45" i="42" s="1"/>
  <c r="O18" i="42"/>
  <c r="O22" i="42"/>
  <c r="S35" i="41"/>
  <c r="S36" i="41"/>
  <c r="O31" i="42" l="1"/>
  <c r="O42" i="42" s="1"/>
  <c r="O43" i="42" s="1"/>
  <c r="O45" i="42" s="1"/>
  <c r="S34" i="41" l="1"/>
  <c r="S22" i="41"/>
  <c r="E19" i="230" l="1"/>
  <c r="E49" i="230" s="1"/>
  <c r="F19" i="230" l="1"/>
  <c r="F49" i="230" s="1"/>
  <c r="D19" i="230"/>
  <c r="D49" i="230" l="1"/>
  <c r="G19" i="230" l="1"/>
  <c r="H19" i="230"/>
  <c r="H49" i="230" s="1"/>
  <c r="I19" i="230" l="1"/>
  <c r="I49" i="230" s="1"/>
  <c r="G49" i="230"/>
  <c r="K19" i="230" l="1"/>
  <c r="K49" i="230" s="1"/>
  <c r="J19" i="230"/>
  <c r="J49" i="230" l="1"/>
  <c r="L19" i="230" l="1"/>
  <c r="M19" i="230"/>
  <c r="M49" i="230" s="1"/>
  <c r="N19" i="230" l="1"/>
  <c r="N49" i="230" s="1"/>
  <c r="L49" i="230"/>
  <c r="O19" i="230" l="1"/>
  <c r="O49" i="230" l="1"/>
  <c r="D15" i="231" l="1"/>
  <c r="P19" i="230"/>
  <c r="Q15" i="230"/>
  <c r="I15" i="231" s="1"/>
  <c r="D19" i="231" l="1"/>
  <c r="D49" i="231" s="1"/>
  <c r="G15" i="231"/>
  <c r="G19" i="231" s="1"/>
  <c r="G49" i="231" s="1"/>
  <c r="D25" i="3" s="1"/>
  <c r="D27" i="3" s="1"/>
  <c r="I19" i="231"/>
  <c r="I49" i="231" s="1"/>
  <c r="L15" i="231"/>
  <c r="L19" i="231" s="1"/>
  <c r="L49" i="231" s="1"/>
  <c r="P49" i="230"/>
  <c r="Q49" i="230" s="1"/>
  <c r="Q19" i="230"/>
  <c r="D19" i="233" l="1"/>
  <c r="D49" i="233" s="1"/>
  <c r="I79" i="232"/>
  <c r="F25" i="3"/>
  <c r="F27" i="3" l="1"/>
  <c r="E19" i="233"/>
  <c r="E49" i="233" s="1"/>
  <c r="F19" i="233" l="1"/>
  <c r="F49" i="233" s="1"/>
  <c r="E16" i="1"/>
  <c r="E24" i="1" s="1"/>
  <c r="D28" i="47"/>
  <c r="E28" i="84"/>
  <c r="E32" i="84" s="1"/>
  <c r="E17" i="84" l="1"/>
  <c r="J41" i="42"/>
  <c r="G19" i="233"/>
  <c r="G49" i="233" s="1"/>
  <c r="H59" i="10" l="1"/>
  <c r="H19" i="233"/>
  <c r="H49" i="233" s="1"/>
  <c r="I19" i="233" l="1"/>
  <c r="I49" i="233" s="1"/>
  <c r="J19" i="233" l="1"/>
  <c r="J49" i="233" s="1"/>
  <c r="K19" i="233" l="1"/>
  <c r="K49" i="233" s="1"/>
  <c r="L19" i="233" l="1"/>
  <c r="L49" i="233" s="1"/>
  <c r="M19" i="233" l="1"/>
  <c r="M49" i="233" s="1"/>
  <c r="N19" i="233" l="1"/>
  <c r="N49" i="233" s="1"/>
  <c r="O19" i="233" l="1"/>
  <c r="O49" i="233" s="1"/>
  <c r="Q15" i="233" l="1"/>
  <c r="I15" i="232" s="1"/>
  <c r="D15" i="232"/>
  <c r="P19" i="233"/>
  <c r="Q19" i="233" l="1"/>
  <c r="P49" i="233"/>
  <c r="Q49" i="233" s="1"/>
  <c r="G15" i="232"/>
  <c r="G19" i="232" s="1"/>
  <c r="G49" i="232" s="1"/>
  <c r="D25" i="137" s="1"/>
  <c r="D19" i="232"/>
  <c r="D49" i="232" s="1"/>
  <c r="I19" i="232"/>
  <c r="I49" i="232" s="1"/>
  <c r="L15" i="232"/>
  <c r="L19" i="232" s="1"/>
  <c r="L49" i="232" s="1"/>
  <c r="D27" i="137" l="1"/>
  <c r="I81" i="232"/>
  <c r="I83" i="232" s="1"/>
  <c r="I85" i="232" s="1"/>
  <c r="I72" i="232"/>
  <c r="I75" i="232" s="1"/>
  <c r="L53" i="232"/>
  <c r="F25" i="137" s="1"/>
  <c r="F27" i="137" l="1"/>
  <c r="G28" i="84" l="1"/>
  <c r="G32" i="84" s="1"/>
  <c r="G16" i="1"/>
  <c r="F28" i="47"/>
  <c r="J28" i="47"/>
  <c r="I60" i="232"/>
  <c r="G24" i="1" l="1"/>
  <c r="L41" i="42"/>
  <c r="I64" i="232"/>
  <c r="G17" i="84"/>
  <c r="F17" i="84" l="1"/>
  <c r="G59" i="10"/>
  <c r="I62" i="232"/>
  <c r="I66" i="232" s="1"/>
  <c r="I68" i="232" s="1"/>
  <c r="I70" i="232" s="1"/>
  <c r="P100" i="222" l="1"/>
  <c r="D148" i="79" s="1"/>
  <c r="P89" i="51"/>
  <c r="P83" i="51"/>
  <c r="P81" i="51"/>
  <c r="P70" i="51"/>
  <c r="P63" i="51"/>
  <c r="P59" i="51" l="1"/>
  <c r="P91" i="51"/>
  <c r="P130" i="51"/>
  <c r="P107" i="51"/>
  <c r="P129" i="51"/>
  <c r="P127" i="51"/>
  <c r="P132" i="51"/>
  <c r="P74" i="51"/>
  <c r="P101" i="51"/>
  <c r="P114" i="51"/>
  <c r="P120" i="51"/>
  <c r="P78" i="51"/>
  <c r="P93" i="51"/>
  <c r="P58" i="51"/>
  <c r="P65" i="51"/>
  <c r="P116" i="51"/>
  <c r="P50" i="51"/>
  <c r="P73" i="51"/>
  <c r="P105" i="51"/>
  <c r="P111" i="51"/>
  <c r="P122" i="51"/>
  <c r="P117" i="51"/>
  <c r="P128" i="51"/>
  <c r="P67" i="51"/>
  <c r="P106" i="51"/>
  <c r="P60" i="51"/>
  <c r="P82" i="51"/>
  <c r="P90" i="51"/>
  <c r="P112" i="51"/>
  <c r="P123" i="51"/>
  <c r="P75" i="51"/>
  <c r="P68" i="51"/>
  <c r="P54" i="51"/>
  <c r="P62" i="51"/>
  <c r="P69" i="51"/>
  <c r="P77" i="51"/>
  <c r="P92" i="51"/>
  <c r="P48" i="51"/>
  <c r="H134" i="51"/>
  <c r="P126" i="51"/>
  <c r="P131" i="51"/>
  <c r="P57" i="51"/>
  <c r="P64" i="51"/>
  <c r="P104" i="51"/>
  <c r="P49" i="51"/>
  <c r="P79" i="51"/>
  <c r="P87" i="51"/>
  <c r="P121" i="51"/>
  <c r="H139" i="51"/>
  <c r="P139" i="51" s="1"/>
  <c r="F16" i="252" l="1"/>
  <c r="F19" i="252" s="1"/>
  <c r="P63" i="222" l="1"/>
  <c r="D64" i="79" s="1"/>
  <c r="P83" i="222"/>
  <c r="D119" i="79" s="1"/>
  <c r="P60" i="44"/>
  <c r="D63" i="45" s="1"/>
  <c r="P73" i="44"/>
  <c r="D111" i="45" s="1"/>
  <c r="P58" i="222"/>
  <c r="D56" i="79" s="1"/>
  <c r="P69" i="222"/>
  <c r="D76" i="79" s="1"/>
  <c r="P59" i="44"/>
  <c r="D62" i="45" s="1"/>
  <c r="P111" i="44"/>
  <c r="D167" i="45" s="1"/>
  <c r="P68" i="222"/>
  <c r="D75" i="79" s="1"/>
  <c r="P69" i="44"/>
  <c r="D81" i="45" s="1"/>
  <c r="P68" i="44"/>
  <c r="D80" i="45" s="1"/>
  <c r="P54" i="44"/>
  <c r="D53" i="45" s="1"/>
  <c r="P58" i="44"/>
  <c r="D61" i="45" s="1"/>
  <c r="P47" i="222"/>
  <c r="D40" i="79" s="1"/>
  <c r="P54" i="222"/>
  <c r="D48" i="79" s="1"/>
  <c r="P62" i="44"/>
  <c r="D68" i="45" s="1"/>
  <c r="P91" i="222"/>
  <c r="D131" i="79" s="1"/>
  <c r="P96" i="222"/>
  <c r="D141" i="79" s="1"/>
  <c r="P86" i="222"/>
  <c r="D122" i="79" s="1"/>
  <c r="P111" i="222"/>
  <c r="D162" i="79" s="1"/>
  <c r="P83" i="44"/>
  <c r="D124" i="45" s="1"/>
  <c r="P30" i="222"/>
  <c r="P31" i="222"/>
  <c r="P47" i="44"/>
  <c r="P112" i="44"/>
  <c r="D171" i="45" s="1"/>
  <c r="P112" i="222"/>
  <c r="D166" i="79" s="1"/>
  <c r="P59" i="222"/>
  <c r="D57" i="79" s="1"/>
  <c r="P82" i="44"/>
  <c r="D123" i="45" s="1"/>
  <c r="P91" i="44"/>
  <c r="D136" i="45" s="1"/>
  <c r="P63" i="44"/>
  <c r="D69" i="45" s="1"/>
  <c r="P60" i="222"/>
  <c r="D58" i="79" s="1"/>
  <c r="P62" i="222"/>
  <c r="D63" i="79" s="1"/>
  <c r="P96" i="44"/>
  <c r="D146" i="45" s="1"/>
  <c r="P73" i="222"/>
  <c r="D106" i="79" s="1"/>
  <c r="P94" i="44"/>
  <c r="P86" i="44"/>
  <c r="D127" i="45" s="1"/>
  <c r="P82" i="222"/>
  <c r="D118" i="79" s="1"/>
  <c r="D93" i="51" l="1"/>
  <c r="D83" i="51"/>
  <c r="D77" i="51"/>
  <c r="D131" i="51"/>
  <c r="D69" i="51"/>
  <c r="D64" i="51"/>
  <c r="D101" i="51"/>
  <c r="D78" i="51"/>
  <c r="D63" i="51"/>
  <c r="D167" i="79"/>
  <c r="D57" i="51"/>
  <c r="D114" i="51"/>
  <c r="D62" i="51"/>
  <c r="P31" i="44"/>
  <c r="D38" i="45" s="1"/>
  <c r="D92" i="51"/>
  <c r="D132" i="51"/>
  <c r="D172" i="45"/>
  <c r="D139" i="45"/>
  <c r="D33" i="49"/>
  <c r="D45" i="45"/>
  <c r="D68" i="51"/>
  <c r="P30" i="44"/>
  <c r="D33" i="79"/>
  <c r="D32" i="79"/>
  <c r="D107" i="51"/>
  <c r="D110" i="51" l="1"/>
  <c r="D48" i="51"/>
  <c r="D34" i="79"/>
  <c r="D37" i="45"/>
  <c r="K18" i="46"/>
  <c r="D49" i="51"/>
  <c r="P56" i="222"/>
  <c r="D53" i="79" s="1"/>
  <c r="D39" i="45" l="1"/>
  <c r="O18" i="46"/>
  <c r="P56" i="44"/>
  <c r="D58" i="45" s="1"/>
  <c r="D18" i="46"/>
  <c r="P71" i="222"/>
  <c r="D104" i="79" s="1"/>
  <c r="P110" i="222"/>
  <c r="D161" i="79" s="1"/>
  <c r="P89" i="222"/>
  <c r="D125" i="79" s="1"/>
  <c r="P64" i="222"/>
  <c r="D65" i="79" s="1"/>
  <c r="P51" i="222"/>
  <c r="D45" i="79" s="1"/>
  <c r="P90" i="222"/>
  <c r="D126" i="79" s="1"/>
  <c r="P79" i="222"/>
  <c r="D112" i="79" s="1"/>
  <c r="F18" i="46" l="1"/>
  <c r="P77" i="222"/>
  <c r="D110" i="79" s="1"/>
  <c r="P109" i="222"/>
  <c r="D160" i="79" s="1"/>
  <c r="P108" i="222"/>
  <c r="D159" i="79" s="1"/>
  <c r="P98" i="222"/>
  <c r="H49" i="100" s="1"/>
  <c r="J49" i="100" s="1"/>
  <c r="P55" i="222"/>
  <c r="D49" i="79" s="1"/>
  <c r="P104" i="222"/>
  <c r="D155" i="79" s="1"/>
  <c r="P106" i="44"/>
  <c r="D162" i="45" s="1"/>
  <c r="P98" i="44"/>
  <c r="P99" i="222"/>
  <c r="P104" i="44"/>
  <c r="D160" i="45" s="1"/>
  <c r="P57" i="44"/>
  <c r="D60" i="45" s="1"/>
  <c r="P109" i="44"/>
  <c r="D165" i="45" s="1"/>
  <c r="P79" i="44"/>
  <c r="D117" i="45" s="1"/>
  <c r="P110" i="44"/>
  <c r="D166" i="45" s="1"/>
  <c r="D130" i="51" s="1"/>
  <c r="P100" i="44"/>
  <c r="D153" i="45" s="1"/>
  <c r="P88" i="44"/>
  <c r="D129" i="45" s="1"/>
  <c r="P75" i="44"/>
  <c r="D113" i="45" s="1"/>
  <c r="P81" i="222"/>
  <c r="D114" i="79" s="1"/>
  <c r="P97" i="44"/>
  <c r="P93" i="44"/>
  <c r="D138" i="45" s="1"/>
  <c r="P49" i="44"/>
  <c r="D48" i="45" s="1"/>
  <c r="P84" i="44"/>
  <c r="D125" i="45" s="1"/>
  <c r="P81" i="44"/>
  <c r="D119" i="45" s="1"/>
  <c r="P66" i="44"/>
  <c r="D72" i="45" s="1"/>
  <c r="P105" i="44"/>
  <c r="D161" i="45" s="1"/>
  <c r="P61" i="44"/>
  <c r="D64" i="45" s="1"/>
  <c r="D66" i="51" s="1"/>
  <c r="P52" i="44"/>
  <c r="D51" i="45" s="1"/>
  <c r="D146" i="79"/>
  <c r="P102" i="222"/>
  <c r="D153" i="79" s="1"/>
  <c r="D16" i="24"/>
  <c r="P67" i="44"/>
  <c r="D79" i="45" s="1"/>
  <c r="P108" i="44"/>
  <c r="D164" i="45" s="1"/>
  <c r="P95" i="44"/>
  <c r="D59" i="51"/>
  <c r="P89" i="44"/>
  <c r="D130" i="45" s="1"/>
  <c r="P70" i="44"/>
  <c r="D108" i="45" s="1"/>
  <c r="P99" i="44"/>
  <c r="P92" i="44"/>
  <c r="D137" i="45" s="1"/>
  <c r="P105" i="222"/>
  <c r="D156" i="79" s="1"/>
  <c r="P101" i="44"/>
  <c r="D157" i="45" s="1"/>
  <c r="P80" i="222"/>
  <c r="D113" i="79" s="1"/>
  <c r="D16" i="69"/>
  <c r="P71" i="44"/>
  <c r="D109" i="45" s="1"/>
  <c r="P74" i="44"/>
  <c r="D112" i="45" s="1"/>
  <c r="P80" i="44"/>
  <c r="D118" i="45" s="1"/>
  <c r="P87" i="44"/>
  <c r="D128" i="45" s="1"/>
  <c r="P65" i="44"/>
  <c r="D71" i="45" s="1"/>
  <c r="P51" i="44"/>
  <c r="D50" i="45" s="1"/>
  <c r="P107" i="44"/>
  <c r="D163" i="45" s="1"/>
  <c r="P102" i="44"/>
  <c r="D158" i="45" s="1"/>
  <c r="P85" i="44"/>
  <c r="D126" i="45" s="1"/>
  <c r="P76" i="44"/>
  <c r="D114" i="45" s="1"/>
  <c r="P77" i="44"/>
  <c r="D115" i="45" s="1"/>
  <c r="P64" i="44"/>
  <c r="D70" i="45" s="1"/>
  <c r="P78" i="44"/>
  <c r="D116" i="45" s="1"/>
  <c r="P50" i="44"/>
  <c r="D49" i="45" s="1"/>
  <c r="P53" i="44"/>
  <c r="D52" i="45" s="1"/>
  <c r="P55" i="44"/>
  <c r="D54" i="45" s="1"/>
  <c r="P90" i="44"/>
  <c r="D131" i="45" s="1"/>
  <c r="P72" i="222"/>
  <c r="D105" i="79" s="1"/>
  <c r="P72" i="44"/>
  <c r="D110" i="45" s="1"/>
  <c r="D88" i="51" l="1"/>
  <c r="D84" i="51"/>
  <c r="D126" i="51"/>
  <c r="D122" i="51"/>
  <c r="D81" i="51"/>
  <c r="D52" i="51"/>
  <c r="D82" i="51"/>
  <c r="D100" i="51"/>
  <c r="D58" i="51"/>
  <c r="D118" i="51"/>
  <c r="D86" i="51"/>
  <c r="D103" i="51"/>
  <c r="D125" i="51"/>
  <c r="D56" i="51"/>
  <c r="D54" i="51"/>
  <c r="D85" i="51"/>
  <c r="D53" i="51"/>
  <c r="D104" i="51"/>
  <c r="D102" i="51"/>
  <c r="D72" i="51"/>
  <c r="D127" i="51"/>
  <c r="D109" i="51"/>
  <c r="D87" i="51"/>
  <c r="D124" i="51"/>
  <c r="D105" i="51"/>
  <c r="D120" i="51"/>
  <c r="D55" i="51"/>
  <c r="D71" i="51"/>
  <c r="D123" i="51"/>
  <c r="D89" i="51"/>
  <c r="D90" i="51"/>
  <c r="D91" i="51"/>
  <c r="D61" i="51"/>
  <c r="J140" i="51"/>
  <c r="P140" i="51" s="1"/>
  <c r="P118" i="51"/>
  <c r="J134" i="51"/>
  <c r="H16" i="69"/>
  <c r="D65" i="45"/>
  <c r="D70" i="51"/>
  <c r="D75" i="45"/>
  <c r="D145" i="45"/>
  <c r="D20" i="100"/>
  <c r="D119" i="51"/>
  <c r="D168" i="45"/>
  <c r="D25" i="46" s="1"/>
  <c r="D30" i="24" s="1"/>
  <c r="H30" i="24" s="1"/>
  <c r="D150" i="45"/>
  <c r="D48" i="100"/>
  <c r="D83" i="45"/>
  <c r="D76" i="51"/>
  <c r="D108" i="51"/>
  <c r="D140" i="45"/>
  <c r="D22" i="46" s="1"/>
  <c r="D24" i="24" s="1"/>
  <c r="H24" i="24" s="1"/>
  <c r="P48" i="44"/>
  <c r="J25" i="42" s="1"/>
  <c r="D120" i="45"/>
  <c r="D80" i="51"/>
  <c r="H50" i="100"/>
  <c r="J50" i="100" s="1"/>
  <c r="D147" i="79"/>
  <c r="D49" i="100"/>
  <c r="F49" i="100" s="1"/>
  <c r="D151" i="45"/>
  <c r="H16" i="24"/>
  <c r="D50" i="100"/>
  <c r="F50" i="100" s="1"/>
  <c r="D152" i="45"/>
  <c r="D99" i="51"/>
  <c r="D133" i="45"/>
  <c r="P50" i="222"/>
  <c r="D44" i="79" s="1"/>
  <c r="P67" i="222"/>
  <c r="D74" i="79" s="1"/>
  <c r="D117" i="51" l="1"/>
  <c r="D116" i="51"/>
  <c r="D78" i="79"/>
  <c r="P76" i="222"/>
  <c r="D109" i="79" s="1"/>
  <c r="P61" i="222"/>
  <c r="D59" i="79" s="1"/>
  <c r="P49" i="222"/>
  <c r="D43" i="79" s="1"/>
  <c r="P93" i="222"/>
  <c r="D133" i="79" s="1"/>
  <c r="P70" i="222"/>
  <c r="D103" i="79" s="1"/>
  <c r="P88" i="222"/>
  <c r="D124" i="79" s="1"/>
  <c r="P92" i="222"/>
  <c r="D132" i="79" s="1"/>
  <c r="P97" i="222"/>
  <c r="H48" i="100" s="1"/>
  <c r="P78" i="222"/>
  <c r="D111" i="79" s="1"/>
  <c r="P87" i="222"/>
  <c r="D123" i="79" s="1"/>
  <c r="P74" i="222"/>
  <c r="D107" i="79" s="1"/>
  <c r="P53" i="222"/>
  <c r="D47" i="79" s="1"/>
  <c r="P84" i="222"/>
  <c r="D120" i="79" s="1"/>
  <c r="P100" i="51"/>
  <c r="P57" i="222"/>
  <c r="D55" i="79" s="1"/>
  <c r="P75" i="222"/>
  <c r="D108" i="79" s="1"/>
  <c r="P51" i="51"/>
  <c r="P71" i="51"/>
  <c r="D20" i="46"/>
  <c r="D20" i="24" s="1"/>
  <c r="H20" i="24" s="1"/>
  <c r="P53" i="51"/>
  <c r="P52" i="222"/>
  <c r="D46" i="79" s="1"/>
  <c r="P115" i="51"/>
  <c r="P61" i="51"/>
  <c r="P102" i="51"/>
  <c r="P95" i="222"/>
  <c r="H20" i="100" s="1"/>
  <c r="P66" i="222"/>
  <c r="D67" i="79" s="1"/>
  <c r="P85" i="222"/>
  <c r="D121" i="79" s="1"/>
  <c r="P65" i="222"/>
  <c r="D66" i="79" s="1"/>
  <c r="P101" i="222"/>
  <c r="D152" i="79" s="1"/>
  <c r="P103" i="51"/>
  <c r="P113" i="51"/>
  <c r="P86" i="51"/>
  <c r="D145" i="79"/>
  <c r="D47" i="45"/>
  <c r="D52" i="100"/>
  <c r="F48" i="100"/>
  <c r="F52" i="100" s="1"/>
  <c r="D115" i="51"/>
  <c r="D154" i="45"/>
  <c r="D24" i="46" s="1"/>
  <c r="D28" i="24" s="1"/>
  <c r="H28" i="24" s="1"/>
  <c r="D22" i="100"/>
  <c r="F20" i="100"/>
  <c r="F22" i="100" s="1"/>
  <c r="D147" i="45"/>
  <c r="D23" i="46" s="1"/>
  <c r="D26" i="24" s="1"/>
  <c r="H26" i="24" s="1"/>
  <c r="D113" i="51"/>
  <c r="P48" i="222"/>
  <c r="D21" i="46"/>
  <c r="D22" i="24" s="1"/>
  <c r="H22" i="24" s="1"/>
  <c r="D140" i="79" l="1"/>
  <c r="D60" i="79"/>
  <c r="D149" i="79"/>
  <c r="K24" i="46" s="1"/>
  <c r="D70" i="79"/>
  <c r="K20" i="46" s="1"/>
  <c r="O20" i="46" s="1"/>
  <c r="D20" i="69" s="1"/>
  <c r="H20" i="69" s="1"/>
  <c r="D115" i="79"/>
  <c r="J29" i="42"/>
  <c r="P99" i="51"/>
  <c r="P84" i="51"/>
  <c r="P72" i="51"/>
  <c r="P108" i="51"/>
  <c r="P88" i="51"/>
  <c r="P55" i="51"/>
  <c r="P109" i="51"/>
  <c r="P76" i="51"/>
  <c r="P119" i="51"/>
  <c r="P56" i="51"/>
  <c r="P80" i="51"/>
  <c r="P85" i="51"/>
  <c r="P66" i="51"/>
  <c r="D128" i="79"/>
  <c r="K21" i="46" s="1"/>
  <c r="J20" i="100"/>
  <c r="J22" i="100" s="1"/>
  <c r="H22" i="100"/>
  <c r="D51" i="51"/>
  <c r="D134" i="51" s="1"/>
  <c r="D55" i="45"/>
  <c r="D42" i="79"/>
  <c r="H52" i="100"/>
  <c r="J48" i="100"/>
  <c r="J52" i="100" s="1"/>
  <c r="F24" i="46"/>
  <c r="O24" i="46"/>
  <c r="D28" i="69" s="1"/>
  <c r="H28" i="69" s="1"/>
  <c r="D50" i="79" l="1"/>
  <c r="F20" i="46"/>
  <c r="D142" i="79"/>
  <c r="K23" i="46" s="1"/>
  <c r="O21" i="46"/>
  <c r="D22" i="69" s="1"/>
  <c r="H22" i="69" s="1"/>
  <c r="F21" i="46"/>
  <c r="P52" i="51"/>
  <c r="P106" i="222"/>
  <c r="K19" i="46"/>
  <c r="D19" i="46"/>
  <c r="P107" i="222"/>
  <c r="D158" i="79" s="1"/>
  <c r="F23" i="46" l="1"/>
  <c r="O23" i="46"/>
  <c r="D26" i="69" s="1"/>
  <c r="H26" i="69" s="1"/>
  <c r="P124" i="51"/>
  <c r="F138" i="51"/>
  <c r="P138" i="51" s="1"/>
  <c r="D18" i="24"/>
  <c r="D19" i="47"/>
  <c r="O19" i="46"/>
  <c r="F19" i="46"/>
  <c r="D157" i="79"/>
  <c r="D163" i="79" l="1"/>
  <c r="K25" i="46" s="1"/>
  <c r="D21" i="49"/>
  <c r="L36" i="35"/>
  <c r="P125" i="51"/>
  <c r="F134" i="51"/>
  <c r="H18" i="24"/>
  <c r="D32" i="24"/>
  <c r="H32" i="24" s="1"/>
  <c r="D18" i="69"/>
  <c r="D22" i="49" l="1"/>
  <c r="H144" i="51"/>
  <c r="M32" i="35"/>
  <c r="L30" i="35"/>
  <c r="J30" i="35"/>
  <c r="D144" i="51"/>
  <c r="F25" i="46"/>
  <c r="H18" i="69"/>
  <c r="M42" i="35" l="1"/>
  <c r="M35" i="35"/>
  <c r="H146" i="51"/>
  <c r="H148" i="51" s="1"/>
  <c r="H142" i="51"/>
  <c r="L26" i="35"/>
  <c r="M25" i="35"/>
  <c r="M24" i="35" s="1"/>
  <c r="L24" i="35" s="1"/>
  <c r="D17" i="36"/>
  <c r="D22" i="36" l="1"/>
  <c r="H22" i="36" s="1"/>
  <c r="D21" i="36"/>
  <c r="H21" i="36" s="1"/>
  <c r="D20" i="36"/>
  <c r="H20" i="36" s="1"/>
  <c r="D23" i="36"/>
  <c r="H23" i="36" s="1"/>
  <c r="H17" i="36"/>
  <c r="L35" i="35"/>
  <c r="D25" i="36"/>
  <c r="H25" i="36" s="1"/>
  <c r="M39" i="35"/>
  <c r="L25" i="35"/>
  <c r="M28" i="35"/>
  <c r="L42" i="35"/>
  <c r="D28" i="36"/>
  <c r="M46" i="35"/>
  <c r="H28" i="36" l="1"/>
  <c r="D29" i="36"/>
  <c r="H29" i="36" s="1"/>
  <c r="D31" i="36" l="1"/>
  <c r="H31" i="36" s="1"/>
  <c r="F33" i="250" l="1"/>
  <c r="F35" i="250" l="1"/>
  <c r="F37" i="250" s="1"/>
  <c r="F39" i="250"/>
  <c r="M27" i="46" s="1"/>
  <c r="O27" i="46" s="1"/>
  <c r="F21" i="47" s="1"/>
  <c r="M25" i="46"/>
  <c r="O25" i="46" s="1"/>
  <c r="N30" i="35" l="1"/>
  <c r="O32" i="35"/>
  <c r="O42" i="35" s="1"/>
  <c r="D30" i="69"/>
  <c r="H30" i="69" l="1"/>
  <c r="L28" i="36"/>
  <c r="N42" i="35"/>
  <c r="O46" i="35"/>
  <c r="O25" i="35"/>
  <c r="O24" i="35" s="1"/>
  <c r="N24" i="35" s="1"/>
  <c r="N26" i="35"/>
  <c r="L17" i="36"/>
  <c r="L21" i="36" l="1"/>
  <c r="J21" i="36" s="1"/>
  <c r="L20" i="36"/>
  <c r="J20" i="36" s="1"/>
  <c r="J17" i="36"/>
  <c r="L22" i="36"/>
  <c r="J22" i="36" s="1"/>
  <c r="L23" i="36"/>
  <c r="J23" i="36" s="1"/>
  <c r="N25" i="35"/>
  <c r="O28" i="35"/>
  <c r="J28" i="36"/>
  <c r="L29" i="36"/>
  <c r="J29" i="36" s="1"/>
  <c r="D15" i="49" l="1"/>
  <c r="D16" i="49" l="1"/>
  <c r="F144" i="51"/>
  <c r="O35" i="35"/>
  <c r="O39" i="35" s="1"/>
  <c r="N36" i="35"/>
  <c r="F146" i="51" l="1"/>
  <c r="F148" i="51" s="1"/>
  <c r="F142" i="51"/>
  <c r="L25" i="36"/>
  <c r="J25" i="36" s="1"/>
  <c r="J31" i="36" s="1"/>
  <c r="L31" i="36" s="1"/>
  <c r="N35" i="35"/>
  <c r="D43" i="49" l="1"/>
  <c r="D39" i="49"/>
  <c r="N144" i="51" l="1"/>
  <c r="D40" i="49"/>
  <c r="N146" i="51" l="1"/>
  <c r="N148" i="51"/>
  <c r="P14" i="222" l="1"/>
  <c r="D13" i="48" l="1"/>
  <c r="D15" i="48" s="1"/>
  <c r="D171" i="79"/>
  <c r="K26" i="46" l="1"/>
  <c r="O26" i="46"/>
  <c r="D16" i="48"/>
  <c r="F155" i="51"/>
  <c r="F159" i="51" l="1"/>
  <c r="P155" i="51"/>
  <c r="F20" i="47"/>
  <c r="J20" i="47" s="1"/>
  <c r="M26" i="46"/>
  <c r="L27" i="42"/>
  <c r="F26" i="46"/>
  <c r="P159" i="51" l="1"/>
  <c r="P161" i="51" s="1"/>
  <c r="P163" i="51" s="1"/>
  <c r="F161" i="51"/>
  <c r="F163" i="51" s="1"/>
  <c r="C30" i="204" l="1"/>
  <c r="C31" i="204" l="1"/>
  <c r="N94" i="222" l="1"/>
  <c r="M94" i="222"/>
  <c r="O94" i="222"/>
  <c r="E94" i="222"/>
  <c r="O114" i="44" l="1"/>
  <c r="N114" i="44"/>
  <c r="N114" i="222"/>
  <c r="D94" i="222"/>
  <c r="D114" i="222" s="1"/>
  <c r="F94" i="222"/>
  <c r="F114" i="222" s="1"/>
  <c r="J114" i="44"/>
  <c r="P35" i="44"/>
  <c r="D90" i="45" s="1"/>
  <c r="J94" i="222"/>
  <c r="P46" i="44"/>
  <c r="D104" i="45" s="1"/>
  <c r="E114" i="222"/>
  <c r="P40" i="44"/>
  <c r="D96" i="45" s="1"/>
  <c r="P34" i="44"/>
  <c r="D88" i="45" s="1"/>
  <c r="P37" i="44"/>
  <c r="D92" i="45" s="1"/>
  <c r="P42" i="44"/>
  <c r="D98" i="45" s="1"/>
  <c r="P45" i="44"/>
  <c r="D102" i="45" s="1"/>
  <c r="P44" i="44"/>
  <c r="D100" i="45" s="1"/>
  <c r="L94" i="222"/>
  <c r="P41" i="44"/>
  <c r="D97" i="45" s="1"/>
  <c r="K94" i="222"/>
  <c r="P41" i="222"/>
  <c r="D92" i="79" s="1"/>
  <c r="P32" i="44" l="1"/>
  <c r="D86" i="45" s="1"/>
  <c r="P43" i="44"/>
  <c r="D99" i="45" s="1"/>
  <c r="P33" i="44"/>
  <c r="D87" i="45" s="1"/>
  <c r="P36" i="44"/>
  <c r="D91" i="45" s="1"/>
  <c r="P33" i="222"/>
  <c r="D82" i="79" s="1"/>
  <c r="P45" i="222"/>
  <c r="D97" i="79" s="1"/>
  <c r="P39" i="44"/>
  <c r="D94" i="45" s="1"/>
  <c r="P38" i="44"/>
  <c r="D93" i="45" s="1"/>
  <c r="D105" i="45" s="1"/>
  <c r="P38" i="222"/>
  <c r="D88" i="79" s="1"/>
  <c r="P35" i="222"/>
  <c r="D85" i="79" s="1"/>
  <c r="I94" i="222"/>
  <c r="I114" i="222" s="1"/>
  <c r="M114" i="222"/>
  <c r="P36" i="222"/>
  <c r="D86" i="79" s="1"/>
  <c r="H94" i="222"/>
  <c r="P43" i="222"/>
  <c r="D94" i="79" s="1"/>
  <c r="M114" i="44"/>
  <c r="P37" i="222"/>
  <c r="D87" i="79" s="1"/>
  <c r="H114" i="222"/>
  <c r="O114" i="222"/>
  <c r="P40" i="222"/>
  <c r="D91" i="79" s="1"/>
  <c r="P42" i="222"/>
  <c r="D93" i="79" s="1"/>
  <c r="L114" i="44"/>
  <c r="P39" i="222"/>
  <c r="D89" i="79" s="1"/>
  <c r="L114" i="222"/>
  <c r="K114" i="222"/>
  <c r="P46" i="222"/>
  <c r="D99" i="79" s="1"/>
  <c r="P44" i="222"/>
  <c r="D95" i="79" s="1"/>
  <c r="K114" i="44"/>
  <c r="J114" i="222"/>
  <c r="P34" i="222" l="1"/>
  <c r="D83" i="79" s="1"/>
  <c r="G94" i="222"/>
  <c r="P94" i="222" s="1"/>
  <c r="J21" i="42"/>
  <c r="D59" i="50"/>
  <c r="D67" i="50" s="1"/>
  <c r="D68" i="50" s="1"/>
  <c r="D34" i="51"/>
  <c r="D36" i="51" s="1"/>
  <c r="D38" i="51" s="1"/>
  <c r="D17" i="46"/>
  <c r="D174" i="45"/>
  <c r="P32" i="222"/>
  <c r="D81" i="79" s="1"/>
  <c r="D100" i="79" s="1"/>
  <c r="L21" i="42" l="1"/>
  <c r="L22" i="42" s="1"/>
  <c r="D58" i="50"/>
  <c r="K17" i="46"/>
  <c r="F17" i="46"/>
  <c r="D18" i="47"/>
  <c r="E15" i="84"/>
  <c r="E19" i="84" s="1"/>
  <c r="E23" i="84" s="1"/>
  <c r="J22" i="42"/>
  <c r="J31" i="42" s="1"/>
  <c r="J42" i="42" s="1"/>
  <c r="H50" i="10"/>
  <c r="D32" i="49"/>
  <c r="D134" i="79"/>
  <c r="D135" i="79" s="1"/>
  <c r="K22" i="46" s="1"/>
  <c r="L110" i="51"/>
  <c r="G114" i="222"/>
  <c r="M12" i="44" l="1"/>
  <c r="O12" i="44"/>
  <c r="N12" i="44"/>
  <c r="K12" i="44"/>
  <c r="J12" i="44"/>
  <c r="L12" i="44"/>
  <c r="D23" i="47"/>
  <c r="D24" i="47" s="1"/>
  <c r="D26" i="47" s="1"/>
  <c r="D179" i="45"/>
  <c r="D169" i="79"/>
  <c r="O17" i="46"/>
  <c r="D71" i="50"/>
  <c r="D72" i="50" s="1"/>
  <c r="D60" i="50"/>
  <c r="O22" i="46"/>
  <c r="F22" i="46"/>
  <c r="D34" i="49"/>
  <c r="J43" i="42"/>
  <c r="H53" i="10" s="1"/>
  <c r="P110" i="51"/>
  <c r="P134" i="51" s="1"/>
  <c r="L134" i="51"/>
  <c r="L141" i="51" s="1"/>
  <c r="P141" i="51" s="1"/>
  <c r="J45" i="42" l="1"/>
  <c r="F18" i="47"/>
  <c r="J18" i="47" s="1"/>
  <c r="G15" i="84"/>
  <c r="D30" i="47"/>
  <c r="E18" i="1"/>
  <c r="P12" i="44"/>
  <c r="P114" i="44" s="1"/>
  <c r="D24" i="69"/>
  <c r="F19" i="47"/>
  <c r="D28" i="46"/>
  <c r="D31" i="46" s="1"/>
  <c r="D33" i="46" s="1"/>
  <c r="N54" i="202" s="1"/>
  <c r="N50" i="202" s="1"/>
  <c r="L50" i="202" s="1"/>
  <c r="D181" i="45"/>
  <c r="D183" i="45" s="1"/>
  <c r="H55" i="10"/>
  <c r="L144" i="51"/>
  <c r="L146" i="51" s="1"/>
  <c r="L148" i="51" s="1"/>
  <c r="D35" i="49"/>
  <c r="D28" i="49"/>
  <c r="D42" i="49"/>
  <c r="D44" i="49" s="1"/>
  <c r="D45" i="49" s="1"/>
  <c r="J34" i="51"/>
  <c r="D61" i="50"/>
  <c r="H114" i="10" l="1"/>
  <c r="H58" i="10"/>
  <c r="H115" i="10"/>
  <c r="H113" i="10"/>
  <c r="L25" i="42"/>
  <c r="L29" i="42" s="1"/>
  <c r="H24" i="69"/>
  <c r="D32" i="69"/>
  <c r="H32" i="69" s="1"/>
  <c r="J36" i="51"/>
  <c r="P34" i="51"/>
  <c r="E20" i="1"/>
  <c r="E26" i="1"/>
  <c r="E30" i="1" s="1"/>
  <c r="E36" i="1" s="1"/>
  <c r="D29" i="49"/>
  <c r="J144" i="51"/>
  <c r="F15" i="84"/>
  <c r="F19" i="84" s="1"/>
  <c r="G19" i="84"/>
  <c r="G23" i="84" s="1"/>
  <c r="J146" i="51" l="1"/>
  <c r="J148" i="51" s="1"/>
  <c r="J142" i="51"/>
  <c r="P142" i="51" s="1"/>
  <c r="P144" i="51" s="1"/>
  <c r="P146" i="51" s="1"/>
  <c r="P148" i="51" s="1"/>
  <c r="H76" i="10"/>
  <c r="H60" i="10"/>
  <c r="H62" i="10" s="1"/>
  <c r="H78" i="10"/>
  <c r="H80" i="10"/>
  <c r="H77" i="10"/>
  <c r="P36" i="51"/>
  <c r="J38" i="51"/>
  <c r="G50" i="10"/>
  <c r="L31" i="42"/>
  <c r="L42" i="42" s="1"/>
  <c r="J12" i="222"/>
  <c r="O12" i="222"/>
  <c r="H12" i="222"/>
  <c r="D12" i="222"/>
  <c r="G12" i="222"/>
  <c r="I12" i="222"/>
  <c r="L12" i="222"/>
  <c r="F23" i="84"/>
  <c r="K12" i="222"/>
  <c r="O28" i="46"/>
  <c r="F12" i="222"/>
  <c r="N12" i="222"/>
  <c r="F23" i="47"/>
  <c r="F24" i="47" s="1"/>
  <c r="F26" i="47" s="1"/>
  <c r="M12" i="222"/>
  <c r="E12" i="222"/>
  <c r="O31" i="46" l="1"/>
  <c r="O33" i="46" s="1"/>
  <c r="G18" i="1"/>
  <c r="F30" i="47"/>
  <c r="L43" i="42"/>
  <c r="G53" i="10" s="1"/>
  <c r="J40" i="51"/>
  <c r="J42" i="51" s="1"/>
  <c r="P38" i="51"/>
  <c r="P40" i="51" s="1"/>
  <c r="P42" i="51" s="1"/>
  <c r="H66" i="10"/>
  <c r="H64" i="10"/>
  <c r="P12" i="222"/>
  <c r="L45" i="42" l="1"/>
  <c r="P114" i="222"/>
  <c r="D173" i="79"/>
  <c r="G20" i="1"/>
  <c r="V54" i="202" s="1"/>
  <c r="V50" i="202" s="1"/>
  <c r="T50" i="202" s="1"/>
  <c r="G26" i="1"/>
  <c r="G30" i="1" s="1"/>
  <c r="G55" i="10"/>
  <c r="G114" i="10" l="1"/>
  <c r="G115" i="10"/>
  <c r="G58" i="10"/>
  <c r="G113" i="10"/>
  <c r="H15" i="47"/>
  <c r="G36" i="1"/>
  <c r="G40" i="1" s="1"/>
  <c r="G44" i="1" s="1"/>
  <c r="K28" i="46"/>
  <c r="D175" i="79"/>
  <c r="D177" i="79" s="1"/>
  <c r="F28" i="46" l="1"/>
  <c r="F31" i="46" s="1"/>
  <c r="F33" i="46" s="1"/>
  <c r="K31" i="46"/>
  <c r="K33" i="46" s="1"/>
  <c r="M28" i="46"/>
  <c r="M31" i="46" s="1"/>
  <c r="M33" i="46" s="1"/>
  <c r="H19" i="47"/>
  <c r="H21" i="47"/>
  <c r="J21" i="47" s="1"/>
  <c r="J15" i="47"/>
  <c r="G60" i="10"/>
  <c r="G62" i="10" s="1"/>
  <c r="G78" i="10"/>
  <c r="G80" i="10"/>
  <c r="G76" i="10"/>
  <c r="G77" i="10"/>
  <c r="H23" i="47" l="1"/>
  <c r="J23" i="47" s="1"/>
  <c r="G66" i="10"/>
  <c r="G64" i="10"/>
  <c r="J19" i="47"/>
  <c r="J24" i="47" l="1"/>
  <c r="J26" i="47" s="1"/>
  <c r="J30" i="47" s="1"/>
  <c r="H24" i="47"/>
  <c r="H26" i="47" s="1"/>
</calcChain>
</file>

<file path=xl/sharedStrings.xml><?xml version="1.0" encoding="utf-8"?>
<sst xmlns="http://schemas.openxmlformats.org/spreadsheetml/2006/main" count="5567" uniqueCount="1749">
  <si>
    <t>Cost</t>
  </si>
  <si>
    <t>EMBEDDED Cost of PREFERRED STOCK</t>
  </si>
  <si>
    <t>Cost of Capital Summary</t>
  </si>
  <si>
    <t>C-2.2</t>
  </si>
  <si>
    <t>Total General Plant</t>
  </si>
  <si>
    <t>Kentucky Direct (Division 009)</t>
  </si>
  <si>
    <t>Kentucky-Mid-States General Office (Division 091)</t>
  </si>
  <si>
    <t>Shared Services General Office (Division 002)</t>
  </si>
  <si>
    <t>Shared Services Customer Support (Division 012)</t>
  </si>
  <si>
    <t xml:space="preserve">Adjusted </t>
  </si>
  <si>
    <t xml:space="preserve">Kentucky </t>
  </si>
  <si>
    <t>Allocated</t>
  </si>
  <si>
    <t>Kentucky- Mid</t>
  </si>
  <si>
    <t>States Division</t>
  </si>
  <si>
    <t>(D)</t>
  </si>
  <si>
    <t>Mains - Steel</t>
  </si>
  <si>
    <t>OverTime Hours</t>
  </si>
  <si>
    <t xml:space="preserve">Ratio of OverTime Hours </t>
  </si>
  <si>
    <t>OverTime Dollars</t>
  </si>
  <si>
    <t>Ratio of OverTime Dollars</t>
  </si>
  <si>
    <t>Sales or</t>
  </si>
  <si>
    <t xml:space="preserve">13 Month Average Rate Base </t>
  </si>
  <si>
    <t>403 DEPRECIATION Expense</t>
  </si>
  <si>
    <t>Purchased Gas Cost</t>
  </si>
  <si>
    <t>Comparative Financial Data</t>
  </si>
  <si>
    <t xml:space="preserve">   Production &amp; Gathering Plant</t>
  </si>
  <si>
    <t xml:space="preserve">   Underground Storage</t>
  </si>
  <si>
    <t xml:space="preserve">   Transmission Plant</t>
  </si>
  <si>
    <t>907 Cust Accts Supervision</t>
  </si>
  <si>
    <t>908 Customer Assistance Expenses</t>
  </si>
  <si>
    <t>Div 09 Accumulated Deferred Income Taxes</t>
  </si>
  <si>
    <t>1 /8 Method</t>
  </si>
  <si>
    <t xml:space="preserve">   Basis) (%)</t>
  </si>
  <si>
    <t>Date</t>
  </si>
  <si>
    <t>Schedule H-1</t>
  </si>
  <si>
    <t>Schedule C-2.2</t>
  </si>
  <si>
    <t>(E)</t>
  </si>
  <si>
    <t>(G)</t>
  </si>
  <si>
    <t>CIVIC, POLITICAL and RELATED ACTIVITIES</t>
  </si>
  <si>
    <t>of Total</t>
  </si>
  <si>
    <t xml:space="preserve">Allocation for taxes other CSC </t>
  </si>
  <si>
    <t>Forecasted</t>
  </si>
  <si>
    <t>Base</t>
  </si>
  <si>
    <t>13 Month</t>
  </si>
  <si>
    <t>Schedule K</t>
  </si>
  <si>
    <t>Schedule J-4</t>
  </si>
  <si>
    <t>Schedule J-3</t>
  </si>
  <si>
    <t>Schedule J-2</t>
  </si>
  <si>
    <t>Performance based rates</t>
  </si>
  <si>
    <t>Total other income</t>
  </si>
  <si>
    <t>Account 252 - Customer Advances For Construction</t>
  </si>
  <si>
    <t>Summary of Utility Jurisdictional Adjustments to</t>
  </si>
  <si>
    <t>Data:___X____Base Period________Forecasted Period</t>
  </si>
  <si>
    <t>(MMcf)</t>
  </si>
  <si>
    <t xml:space="preserve"> No.</t>
  </si>
  <si>
    <t>Schedule A</t>
  </si>
  <si>
    <t>Schedule</t>
  </si>
  <si>
    <t>Operating Income Summary</t>
  </si>
  <si>
    <t>to Straight-Time Hours</t>
  </si>
  <si>
    <t>O&amp;M Labor Dollars</t>
  </si>
  <si>
    <t xml:space="preserve">Ratio of O&amp;M of Labor Dollars </t>
  </si>
  <si>
    <t>Revenue From Transportation of Gas of Others</t>
  </si>
  <si>
    <t xml:space="preserve">  Other Operating Income</t>
  </si>
  <si>
    <t>O P E R A T I N G  R E V E N U E</t>
  </si>
  <si>
    <t>T O T A L  O P E R A T I N G  R E V E N U E</t>
  </si>
  <si>
    <t xml:space="preserve">      Gas Delivered to Storage</t>
  </si>
  <si>
    <t>Div 02 Accumulated Deferred Income Taxes</t>
  </si>
  <si>
    <t xml:space="preserve">      Other Gas Supply Expenses</t>
  </si>
  <si>
    <t>Customer Accting. &amp; Collection</t>
  </si>
  <si>
    <t>Customer Service &amp; Information</t>
  </si>
  <si>
    <t>Schedule F-6</t>
  </si>
  <si>
    <t>Div 002</t>
  </si>
  <si>
    <t>Div 012</t>
  </si>
  <si>
    <t>Div 091</t>
  </si>
  <si>
    <t>B-4</t>
  </si>
  <si>
    <t>Allowance for Working Capital</t>
  </si>
  <si>
    <t>B-4.2</t>
  </si>
  <si>
    <t>B-4.1</t>
  </si>
  <si>
    <t>13 Month Average Balance</t>
  </si>
  <si>
    <t>B-5</t>
  </si>
  <si>
    <t>Unbilled</t>
  </si>
  <si>
    <t>Trailers</t>
  </si>
  <si>
    <t>Ditchers</t>
  </si>
  <si>
    <t>Backhoes</t>
  </si>
  <si>
    <t>Welders</t>
  </si>
  <si>
    <t>Charitable Organization  *</t>
  </si>
  <si>
    <t>Depreciation Expense</t>
  </si>
  <si>
    <t>13-Month</t>
  </si>
  <si>
    <t>Line</t>
  </si>
  <si>
    <t>Sub</t>
  </si>
  <si>
    <t>Workpaper</t>
  </si>
  <si>
    <t>Total</t>
  </si>
  <si>
    <t>Jurisdictional</t>
  </si>
  <si>
    <t>Average</t>
  </si>
  <si>
    <t>No.</t>
  </si>
  <si>
    <t>Acct</t>
  </si>
  <si>
    <t>Reference</t>
  </si>
  <si>
    <t>Company</t>
  </si>
  <si>
    <t>Percent</t>
  </si>
  <si>
    <t>Amount</t>
  </si>
  <si>
    <t>Balance</t>
  </si>
  <si>
    <t>Other Prop. On Cust. Prem</t>
  </si>
  <si>
    <t>actual</t>
  </si>
  <si>
    <t>Taxes Property and Other</t>
  </si>
  <si>
    <t>Ad Valorem - Accrual</t>
  </si>
  <si>
    <t>814 Storage Supervision &amp; Engineering</t>
  </si>
  <si>
    <t>816 Storage Wells Expense</t>
  </si>
  <si>
    <t>Working Capital Components</t>
  </si>
  <si>
    <t>Gross Profit</t>
  </si>
  <si>
    <t>Direct O&amp;M</t>
  </si>
  <si>
    <t>Depreciation &amp; amortization</t>
  </si>
  <si>
    <t>Taxes - other than income</t>
  </si>
  <si>
    <t>894 Dist Maint Other Eq</t>
  </si>
  <si>
    <t>901 Cust Accts Supervision</t>
  </si>
  <si>
    <t>902 Cust Accts Mtr Exp</t>
  </si>
  <si>
    <t>903 Cust Accts Records/Collections</t>
  </si>
  <si>
    <t>904 Cust Accts Uncoll Accts</t>
  </si>
  <si>
    <t>909 Cust Ser Supervision</t>
  </si>
  <si>
    <t>910 Cust Ser Assist Exp</t>
  </si>
  <si>
    <t>Adjusted Operating Income</t>
  </si>
  <si>
    <t>Gross Revenue</t>
  </si>
  <si>
    <t>Gross Revenue Conversion Factor</t>
  </si>
  <si>
    <t>Ratemaking</t>
  </si>
  <si>
    <t>Test Year</t>
  </si>
  <si>
    <t>Rev. &amp; Exp.</t>
  </si>
  <si>
    <t>Residential</t>
  </si>
  <si>
    <t>Commercial</t>
  </si>
  <si>
    <t>Industrial</t>
  </si>
  <si>
    <t>Average Revenue per Class:</t>
  </si>
  <si>
    <t>Total O &amp; M Expenses</t>
  </si>
  <si>
    <t xml:space="preserve">  Sales of Gas</t>
  </si>
  <si>
    <t>Schedule F-3</t>
  </si>
  <si>
    <t>Number</t>
  </si>
  <si>
    <t>Sched.</t>
  </si>
  <si>
    <t>C-2</t>
  </si>
  <si>
    <t>Weighted cost of Debt</t>
  </si>
  <si>
    <t>J-1.1</t>
  </si>
  <si>
    <t>Schedule F-2.1</t>
  </si>
  <si>
    <t>Compressor Station Expense</t>
  </si>
  <si>
    <t>Compressor Station Expense Fuel &amp; Power</t>
  </si>
  <si>
    <t>$</t>
  </si>
  <si>
    <t>100.00%</t>
  </si>
  <si>
    <t>Data:______Base Period__X___Forecasted Period</t>
  </si>
  <si>
    <t>%</t>
  </si>
  <si>
    <t>Adjustment</t>
  </si>
  <si>
    <t>Computation of State &amp; Federal Income Tax</t>
  </si>
  <si>
    <t>Composite Tax Rate (state &amp; federal)</t>
  </si>
  <si>
    <t>Franchises &amp; Consents</t>
  </si>
  <si>
    <t>Natural Gas Production Plant</t>
  </si>
  <si>
    <t>Division</t>
  </si>
  <si>
    <t>Property Plant and Equipment, Net (Sum line 1 Thru 3)</t>
  </si>
  <si>
    <t>Rate Base (Sum line 4 Thru 8)</t>
  </si>
  <si>
    <t>Property Plant and Equipment, Net (Sum Line 1 Thru 3)</t>
  </si>
  <si>
    <t>Rate Base (Sum Line 4 Thru 8)</t>
  </si>
  <si>
    <t>Forecasted Period Ending Balance</t>
  </si>
  <si>
    <t>Rights of Ways</t>
  </si>
  <si>
    <t>Field Lines</t>
  </si>
  <si>
    <t>Public Authority &amp; Other</t>
  </si>
  <si>
    <t>Number of Customer by Class:</t>
  </si>
  <si>
    <t xml:space="preserve">    Gross Plant</t>
  </si>
  <si>
    <t>406 AMORT. - Gas Plant AQUIST.</t>
  </si>
  <si>
    <t>Plant in Service</t>
  </si>
  <si>
    <t>(E=D/B)</t>
  </si>
  <si>
    <t>Federal Income Tax @</t>
  </si>
  <si>
    <t>A</t>
  </si>
  <si>
    <t>Rate Base Summary</t>
  </si>
  <si>
    <t>Net Income</t>
  </si>
  <si>
    <t xml:space="preserve">   Industrial</t>
  </si>
  <si>
    <t>Schedule F-1</t>
  </si>
  <si>
    <t>Account No.</t>
  </si>
  <si>
    <t>Social Organization/Service Club</t>
  </si>
  <si>
    <t>Jurisdictional %</t>
  </si>
  <si>
    <t xml:space="preserve">   Intangible Plant</t>
  </si>
  <si>
    <t>Other Tang. Property - Mainframe S/W</t>
  </si>
  <si>
    <t>Transportation</t>
  </si>
  <si>
    <t>Customer accounts-Operation supervision</t>
  </si>
  <si>
    <t>A&amp;G-Administrative &amp; general salaries</t>
  </si>
  <si>
    <t>A&amp;G-General advertising expense</t>
  </si>
  <si>
    <t>A&amp;G-Rents</t>
  </si>
  <si>
    <t>A&amp;G-Maintenance of general plant</t>
  </si>
  <si>
    <r>
      <t xml:space="preserve">Monthly Jurisdictional Operating Income by FERC Account, </t>
    </r>
    <r>
      <rPr>
        <b/>
        <sz val="12"/>
        <rFont val="Helvetica-Narrow"/>
      </rPr>
      <t>Div 002 Only</t>
    </r>
  </si>
  <si>
    <r>
      <t xml:space="preserve">Monthly Jurisdictional Operating Income by FERC Account, </t>
    </r>
    <r>
      <rPr>
        <b/>
        <sz val="12"/>
        <rFont val="Helvetica-Narrow"/>
      </rPr>
      <t>Div 012 Only</t>
    </r>
  </si>
  <si>
    <t>Other storage expenses-Operation labor and expenses</t>
  </si>
  <si>
    <t>Odorization</t>
  </si>
  <si>
    <r>
      <t xml:space="preserve">Monthly Jurisdictional Operating Income by FERC Account, </t>
    </r>
    <r>
      <rPr>
        <b/>
        <sz val="12"/>
        <rFont val="Helvetica-Narrow"/>
      </rPr>
      <t>Div 091 Only</t>
    </r>
  </si>
  <si>
    <t>Discription</t>
  </si>
  <si>
    <t>Account 4081-Taxes Other than Income Tax by Sub-Account</t>
  </si>
  <si>
    <t>Div 009</t>
  </si>
  <si>
    <t>Summary of Revenue Adjustments.</t>
  </si>
  <si>
    <t>Allocation Factor to Kentucky</t>
  </si>
  <si>
    <t>Kentucky</t>
  </si>
  <si>
    <t>*Note:  Debits are shown as positive, and credits are shown as negatives.  Includes the  Shared Services allocation.</t>
  </si>
  <si>
    <t>Data:__X___Base Period___X___Forecasted Period</t>
  </si>
  <si>
    <t>Shared Services</t>
  </si>
  <si>
    <t>Kentucky/Mid-States</t>
  </si>
  <si>
    <t>General Office (Div 002)</t>
  </si>
  <si>
    <t>Customer Support (Div 012)</t>
  </si>
  <si>
    <t>Mid-States General Office (Div 091)</t>
  </si>
  <si>
    <t>Line No.</t>
  </si>
  <si>
    <t>Benefit Load Projects</t>
  </si>
  <si>
    <t>Taxes Property And Other</t>
  </si>
  <si>
    <t>Total Tax Other Than Income Tax</t>
  </si>
  <si>
    <t>Total Allocated Amount</t>
  </si>
  <si>
    <t>Interest Deduction</t>
  </si>
  <si>
    <t>922 Administrative Expense Transferred</t>
  </si>
  <si>
    <t>DIVISION 09</t>
  </si>
  <si>
    <t>DIVISION 02</t>
  </si>
  <si>
    <t>Total Storage Plant</t>
  </si>
  <si>
    <t>Account /</t>
  </si>
  <si>
    <t>Title</t>
  </si>
  <si>
    <t>Title of Adjustment</t>
  </si>
  <si>
    <t>&amp; Title</t>
  </si>
  <si>
    <t>Projected Rate Case Expense</t>
  </si>
  <si>
    <t>Consulting</t>
  </si>
  <si>
    <t>495 Other Gas Service Revenue</t>
  </si>
  <si>
    <t>803/804/812 Gas Purchase Costs</t>
  </si>
  <si>
    <t>Blended Effective Tax Rate</t>
  </si>
  <si>
    <t>911 Cust Ser Info Adv Exp</t>
  </si>
  <si>
    <t>916 Sales Promo Demo/Selling</t>
  </si>
  <si>
    <t>921 Adm Gen Office Supply</t>
  </si>
  <si>
    <t>923 Adm Gen Outside Services Emply</t>
  </si>
  <si>
    <t>Meas &amp; Reg. Sta. Equip - General</t>
  </si>
  <si>
    <t>Forfeited discounts</t>
  </si>
  <si>
    <t>815 Maps and records</t>
  </si>
  <si>
    <t>860 Rents</t>
  </si>
  <si>
    <t>8711 Odorization</t>
  </si>
  <si>
    <t>895 Maintenance of Other Plant</t>
  </si>
  <si>
    <t>835 Storage Maintenance Meas/Reg</t>
  </si>
  <si>
    <t>836 Storage Maintenance Purification</t>
  </si>
  <si>
    <t>841 Storage Operation</t>
  </si>
  <si>
    <t>847 Storage Maintenance</t>
  </si>
  <si>
    <t>850 Trsm Supervision &amp; Engineering</t>
  </si>
  <si>
    <t>856 Trsm Mains Expense</t>
  </si>
  <si>
    <t>857 Trsm Measuring &amp; Regulating</t>
  </si>
  <si>
    <t>859 Trsm Other Exp</t>
  </si>
  <si>
    <t>862 Trsm Structure &amp; Improvements</t>
  </si>
  <si>
    <t>863 Trsm Maint of Mains</t>
  </si>
  <si>
    <t>864 Trsm Maint Comp Sta Equip</t>
  </si>
  <si>
    <t>865 Trsm Maint Meas/Reg Sta</t>
  </si>
  <si>
    <t>867 Trsm Maint Other Eq</t>
  </si>
  <si>
    <t>870 Dist Supervision &amp; Engineering</t>
  </si>
  <si>
    <t>871 Dist Load Dispatching</t>
  </si>
  <si>
    <t>872 Dist Comp Sta</t>
  </si>
  <si>
    <t>874 Dist Main/Ser Exp</t>
  </si>
  <si>
    <t>875 Dist Meas/Reg Sta-Gen</t>
  </si>
  <si>
    <t>SIT Rate</t>
  </si>
  <si>
    <t>Schedule D-2.1</t>
  </si>
  <si>
    <t xml:space="preserve">  Preferred stock ($000)</t>
  </si>
  <si>
    <t xml:space="preserve">  Common equity ($000)</t>
  </si>
  <si>
    <t>Condensed Income Statement data: ($000)</t>
  </si>
  <si>
    <t xml:space="preserve">  State Income Tax (current))</t>
  </si>
  <si>
    <t xml:space="preserve">  Federal Income Tax (current)</t>
  </si>
  <si>
    <t xml:space="preserve">  Federal and State Income Tax - net</t>
  </si>
  <si>
    <t xml:space="preserve">  Investment  tax credits</t>
  </si>
  <si>
    <t>Schedule D-2.2</t>
  </si>
  <si>
    <t>Schedule D-2.3</t>
  </si>
  <si>
    <t>Schedule C-1</t>
  </si>
  <si>
    <t>Schedule C-2</t>
  </si>
  <si>
    <t>Materials &amp; Supplies</t>
  </si>
  <si>
    <t>Acct.</t>
  </si>
  <si>
    <t>Interest</t>
  </si>
  <si>
    <t>Expense</t>
  </si>
  <si>
    <t>Rate Base</t>
  </si>
  <si>
    <t>SHORT-TERM DEBT</t>
  </si>
  <si>
    <t>LONG-TERM DEBT</t>
  </si>
  <si>
    <t>PREFERRED STOCK</t>
  </si>
  <si>
    <t>COMMON EQUITY</t>
  </si>
  <si>
    <t>J-3</t>
  </si>
  <si>
    <t>J-4</t>
  </si>
  <si>
    <t>Total Natural Gas Production Plant</t>
  </si>
  <si>
    <t>Storage Plant</t>
  </si>
  <si>
    <t xml:space="preserve">Compression Station Equipment </t>
  </si>
  <si>
    <t xml:space="preserve">      PGA for Transportation Sales</t>
  </si>
  <si>
    <t xml:space="preserve">      Unbilled PGA Costs</t>
  </si>
  <si>
    <t xml:space="preserve">      PGA Offset to Unrecovered Gas Cost</t>
  </si>
  <si>
    <t xml:space="preserve">      Gas Withdrawn From Storage - Debit</t>
  </si>
  <si>
    <t>Operating Revenue and Expenses by FERC Account</t>
  </si>
  <si>
    <t xml:space="preserve">(1) These donations represent Economic Development Contributions, all Other civic donations are Included </t>
  </si>
  <si>
    <t>Required Rate of Return</t>
  </si>
  <si>
    <t xml:space="preserve">  Operating Expenses (excludes Federal</t>
  </si>
  <si>
    <t>Ad Valorem</t>
  </si>
  <si>
    <t>Public Service Commission Assessment</t>
  </si>
  <si>
    <t>Organization</t>
  </si>
  <si>
    <t>Land</t>
  </si>
  <si>
    <t>Maintenance of Other Plant</t>
  </si>
  <si>
    <t>Maps and Records</t>
  </si>
  <si>
    <t>840/847</t>
  </si>
  <si>
    <t>SubAccount Titles</t>
  </si>
  <si>
    <t>Intangible Plant</t>
  </si>
  <si>
    <t>Total Intangible Plant</t>
  </si>
  <si>
    <t>Distribution Plant</t>
  </si>
  <si>
    <t>Total Distribution Plant</t>
  </si>
  <si>
    <t>General Plant</t>
  </si>
  <si>
    <t>O P E R A T I N G  E X P E N S E S</t>
  </si>
  <si>
    <t xml:space="preserve">      Natural Gas City Gate Purchases</t>
  </si>
  <si>
    <t>State &amp; Federal Income Taxes</t>
  </si>
  <si>
    <t xml:space="preserve">  Total Mix of Sales</t>
  </si>
  <si>
    <t xml:space="preserve">  Mix of Fuel:</t>
  </si>
  <si>
    <t>Composite Depreciation Rate</t>
  </si>
  <si>
    <t xml:space="preserve">   Plant in Service by functional class:</t>
  </si>
  <si>
    <t>Property Insurance</t>
  </si>
  <si>
    <t>Franchise Requirements</t>
  </si>
  <si>
    <t>Miscellaneous General Expense</t>
  </si>
  <si>
    <t>403-406</t>
  </si>
  <si>
    <t>Revenue Statistics</t>
  </si>
  <si>
    <t>Total Utility</t>
  </si>
  <si>
    <t>13 month</t>
  </si>
  <si>
    <t>Test Period</t>
  </si>
  <si>
    <t>Ending Balance</t>
  </si>
  <si>
    <t>Labor and Benefits</t>
  </si>
  <si>
    <t>Rent, Maintenance and Utilites</t>
  </si>
  <si>
    <t>Other O&amp;M</t>
  </si>
  <si>
    <t>Bad Debt</t>
  </si>
  <si>
    <t>(F)</t>
  </si>
  <si>
    <t xml:space="preserve"> </t>
  </si>
  <si>
    <t>Base Period</t>
  </si>
  <si>
    <t>Forecasted Period</t>
  </si>
  <si>
    <t>Ng. Field Meas. &amp; Reg. Station</t>
  </si>
  <si>
    <t>Purchased Gas Cost - Operation</t>
  </si>
  <si>
    <t>T O T A L  O P E R A T I N G  E X P E N S E</t>
  </si>
  <si>
    <t>Total Operation and Maintenance Expense</t>
  </si>
  <si>
    <t xml:space="preserve">  Return On Total Capital (Average)</t>
  </si>
  <si>
    <t xml:space="preserve">  Return On Net Plant in Service (Average)</t>
  </si>
  <si>
    <t xml:space="preserve">  Mix of Sales:</t>
  </si>
  <si>
    <t>TOTAL OPERATING EXPENSE (incl Gas Cost)</t>
  </si>
  <si>
    <t>NET OPERATING INCOME</t>
  </si>
  <si>
    <t>STDRATE</t>
  </si>
  <si>
    <t>LTDRATE</t>
  </si>
  <si>
    <t xml:space="preserve">Jurisdictional </t>
  </si>
  <si>
    <t>Account</t>
  </si>
  <si>
    <t>N/A</t>
  </si>
  <si>
    <t xml:space="preserve">Sales by Customer Class: </t>
  </si>
  <si>
    <t>Average Volume per Class:</t>
  </si>
  <si>
    <t>Other Tang. Property - Application Software</t>
  </si>
  <si>
    <t>Cushion Gas</t>
  </si>
  <si>
    <t xml:space="preserve">      Odorization</t>
  </si>
  <si>
    <t>N E T  O P E R A T I N G  I N C O M E</t>
  </si>
  <si>
    <t>Atmos Energy Corporation, Kentucky/Mid-States Division</t>
  </si>
  <si>
    <t>Class of Capital</t>
  </si>
  <si>
    <t>Weighted</t>
  </si>
  <si>
    <t>Outstanding</t>
  </si>
  <si>
    <t>Effective</t>
  </si>
  <si>
    <t>Annual</t>
  </si>
  <si>
    <t>Issue</t>
  </si>
  <si>
    <t>Issued</t>
  </si>
  <si>
    <t>Premium</t>
  </si>
  <si>
    <t>or</t>
  </si>
  <si>
    <t>Discount</t>
  </si>
  <si>
    <t>Gain or Loss</t>
  </si>
  <si>
    <t>on Reacquired</t>
  </si>
  <si>
    <t>Stock</t>
  </si>
  <si>
    <t>Net</t>
  </si>
  <si>
    <t>Proceeds</t>
  </si>
  <si>
    <t>At Issue</t>
  </si>
  <si>
    <t>Annualized</t>
  </si>
  <si>
    <t>Dividends</t>
  </si>
  <si>
    <t>Workpaper Reference No(s).____________________</t>
  </si>
  <si>
    <t>1</t>
  </si>
  <si>
    <t>B-1</t>
  </si>
  <si>
    <t>C-1</t>
  </si>
  <si>
    <t>H</t>
  </si>
  <si>
    <t>Data:__X___Base Period______Forecasted Period</t>
  </si>
  <si>
    <t>13 Month Avg</t>
  </si>
  <si>
    <t xml:space="preserve">  Earnings available for common equity</t>
  </si>
  <si>
    <t xml:space="preserve">    Acquisition Adjustments</t>
  </si>
  <si>
    <t xml:space="preserve">   Less:  Accumulated depreciation</t>
  </si>
  <si>
    <t xml:space="preserve">   Net plant in Service</t>
  </si>
  <si>
    <t>% of Construction financed internally</t>
  </si>
  <si>
    <t>Operating Income Percentage</t>
  </si>
  <si>
    <t>834 Storage Maintenance Compressor</t>
  </si>
  <si>
    <t xml:space="preserve">     on Schedule F-2.1, Charitable Contributions.</t>
  </si>
  <si>
    <t>Summary of O &amp; M adjustments.</t>
  </si>
  <si>
    <t>Atmos Energy Corporation has no PREFERRED STOCK OUTSTANDING at this time.</t>
  </si>
  <si>
    <t>Positions included on this schedule are:</t>
  </si>
  <si>
    <t>These costs are total costs for Atmos Energy Corporation, a portion of which are allocated to Kentucky.</t>
  </si>
  <si>
    <t xml:space="preserve">  Labor</t>
  </si>
  <si>
    <t>Dividend Rate,</t>
  </si>
  <si>
    <t>Proposed</t>
  </si>
  <si>
    <t>Adjusted Operating Income Statement</t>
  </si>
  <si>
    <t>Total DEBT</t>
  </si>
  <si>
    <t>Total Capital</t>
  </si>
  <si>
    <t xml:space="preserve">          sub-total</t>
  </si>
  <si>
    <t>Legal Fees</t>
  </si>
  <si>
    <t>Employee Expense</t>
  </si>
  <si>
    <t xml:space="preserve">Note:  Rate Case related expenses are shown separately on Schedule F-6. </t>
  </si>
  <si>
    <t xml:space="preserve">     (airfare, lodging, meals, etc.)</t>
  </si>
  <si>
    <t>Miscellaneous Expense</t>
  </si>
  <si>
    <t xml:space="preserve">     (printing, advertising, etc.)</t>
  </si>
  <si>
    <t>Note:  These items are not included in O&amp;M and therefore not part of revenue requirements.</t>
  </si>
  <si>
    <t>Data:__X____Base Period___X____Forecasted Period</t>
  </si>
  <si>
    <t>(c)</t>
  </si>
  <si>
    <t>Earned Rate of Return (line 2 divided by line 1)</t>
  </si>
  <si>
    <t>Required Operating Income (line 1 times line 4)</t>
  </si>
  <si>
    <t>Operating Income Deficiency (line 5 minus line 2)</t>
  </si>
  <si>
    <t>Revenue Deficiency (line 6 times line 7)</t>
  </si>
  <si>
    <t>Accumulated Depreciation &amp; Amortization</t>
  </si>
  <si>
    <t xml:space="preserve">Gross Payroll </t>
  </si>
  <si>
    <t>Monthly Jurisdictional Operating Income by FERC Account</t>
  </si>
  <si>
    <t xml:space="preserve">     Total     </t>
  </si>
  <si>
    <t>PROFESSIONAL Service Expenses</t>
  </si>
  <si>
    <t xml:space="preserve">      PGA for Commercial</t>
  </si>
  <si>
    <t>Total Distribution Expenses - Maintenance</t>
  </si>
  <si>
    <t>Customer Accounts Expenses - Operation</t>
  </si>
  <si>
    <t>SOCIAL and Service CLUB DUES</t>
  </si>
  <si>
    <t>(2)  All civic Memberships are Included on Schedule F-1, Social and Service Club Dues.</t>
  </si>
  <si>
    <t>Workpaper Reference No(s).</t>
  </si>
  <si>
    <t>Current Rates</t>
  </si>
  <si>
    <t>Proposed Rates</t>
  </si>
  <si>
    <t>Return at</t>
  </si>
  <si>
    <t>Detailed Adjustments</t>
  </si>
  <si>
    <t>Allowance For Working Capital</t>
  </si>
  <si>
    <t xml:space="preserve">   Other</t>
  </si>
  <si>
    <t>Other Capital</t>
  </si>
  <si>
    <t>Other Operating Income</t>
  </si>
  <si>
    <t>Total Production Expense - Operation</t>
  </si>
  <si>
    <t>887 Dist Maint of Mains</t>
  </si>
  <si>
    <t>Div 91 Accumulated Deferred Income Taxes</t>
  </si>
  <si>
    <t>Account 255 - Accumulated Deferred Investment Tax Credits</t>
  </si>
  <si>
    <t>Communication Equipment</t>
  </si>
  <si>
    <t>Wells \ Rights of Way</t>
  </si>
  <si>
    <t>Meter Installaitons</t>
  </si>
  <si>
    <t>House Reg. Installations</t>
  </si>
  <si>
    <t>Ind. Meas. &amp; Reg. Sta. Equipment</t>
  </si>
  <si>
    <t>Air Conditioning Equipment</t>
  </si>
  <si>
    <t>841/847</t>
  </si>
  <si>
    <t>Other Storage Exp. - LNG</t>
  </si>
  <si>
    <t>Sched</t>
  </si>
  <si>
    <t>Ref.</t>
  </si>
  <si>
    <t>Utility budget</t>
  </si>
  <si>
    <t>Other Tang. Property - PC Hardware</t>
  </si>
  <si>
    <t>Misc Cust Serv &amp; Informational Exp</t>
  </si>
  <si>
    <t>Budgeted</t>
  </si>
  <si>
    <t>912 Demonstrating and Selling Expenses</t>
  </si>
  <si>
    <t>913 Advertising Expenses</t>
  </si>
  <si>
    <t>924 Property insurance</t>
  </si>
  <si>
    <t>Other O &amp; M Expenses</t>
  </si>
  <si>
    <t>Workpaper Reference No(s).__________</t>
  </si>
  <si>
    <t>C-2.3</t>
  </si>
  <si>
    <t>Monthly Operating Income by FERC Account</t>
  </si>
  <si>
    <t>Taxes Other than Income Tax by Sub-Account</t>
  </si>
  <si>
    <t>Unallocated</t>
  </si>
  <si>
    <t>Income Tax Calculation</t>
  </si>
  <si>
    <t>ADJ 2</t>
  </si>
  <si>
    <t>ADJ 3</t>
  </si>
  <si>
    <t>ADJ 4</t>
  </si>
  <si>
    <t>ADJ 5</t>
  </si>
  <si>
    <t>Data:__X_____Base Period___X____Forecasted Period</t>
  </si>
  <si>
    <t>ADJ3</t>
  </si>
  <si>
    <t>D-2.1</t>
  </si>
  <si>
    <t>ADJUST.</t>
  </si>
  <si>
    <t>929 Uniforms capitalized</t>
  </si>
  <si>
    <t>840 Other Storage Expense</t>
  </si>
  <si>
    <t>Other Tangible Property - Servers - H/W</t>
  </si>
  <si>
    <t>Measuring &amp; Regulating Station Expense</t>
  </si>
  <si>
    <t>Purification</t>
  </si>
  <si>
    <t>Description of Expenses</t>
  </si>
  <si>
    <t>Supervision</t>
  </si>
  <si>
    <t>Customer Assistance</t>
  </si>
  <si>
    <t>Schedule F-2.3</t>
  </si>
  <si>
    <t xml:space="preserve">  Total Operating Revenue</t>
  </si>
  <si>
    <t xml:space="preserve">  Total Plant Revenue</t>
  </si>
  <si>
    <t xml:space="preserve">  Total DEPRECIATION and Amortization</t>
  </si>
  <si>
    <t xml:space="preserve">Total </t>
  </si>
  <si>
    <t>Total Other Working Capital Allowances</t>
  </si>
  <si>
    <t>Total Working Capital Requirements</t>
  </si>
  <si>
    <t>Construction Work in Progress</t>
  </si>
  <si>
    <t>% Change</t>
  </si>
  <si>
    <t>Executive Compensation</t>
  </si>
  <si>
    <t>Sales Expense</t>
  </si>
  <si>
    <t>Admin. &amp; General Expense</t>
  </si>
  <si>
    <t xml:space="preserve">Plant in Service by Accounts and SubAccounts </t>
  </si>
  <si>
    <t>Other Tangible Property - MF - Hardware</t>
  </si>
  <si>
    <t>TYPE, PAR Amount</t>
  </si>
  <si>
    <t xml:space="preserve">   Distribution Plant</t>
  </si>
  <si>
    <t>* *</t>
  </si>
  <si>
    <t>F-2.2</t>
  </si>
  <si>
    <t>F-3</t>
  </si>
  <si>
    <t>PROPOSED RATES</t>
  </si>
  <si>
    <t>CURRENT RATES</t>
  </si>
  <si>
    <t>Other Tang. Property - PC Software</t>
  </si>
  <si>
    <t>Mains</t>
  </si>
  <si>
    <t>Wells Expense</t>
  </si>
  <si>
    <t>Lines Expense</t>
  </si>
  <si>
    <t>404 Amortization Expense</t>
  </si>
  <si>
    <t>Deferred  Credits and Accumulated Deferred Income Taxes</t>
  </si>
  <si>
    <t>PAYROLL Costs</t>
  </si>
  <si>
    <t>13 Month Average</t>
  </si>
  <si>
    <t>Account 1540- Plant Materials and Operating Supplies</t>
  </si>
  <si>
    <t xml:space="preserve">Account 1630- Stores Expense Undistributed </t>
  </si>
  <si>
    <t>Total Materials &amp; Supplies</t>
  </si>
  <si>
    <t>Gas Stored Underground- Account 1641</t>
  </si>
  <si>
    <t>Prepayments- Account 1650</t>
  </si>
  <si>
    <t>Data Source:</t>
  </si>
  <si>
    <t>Material &amp; Supplies (Account 1540 &amp; 1630)</t>
  </si>
  <si>
    <t>Gas Stored Underground (Account 1641)</t>
  </si>
  <si>
    <t>Prepayments (Account 1650)</t>
  </si>
  <si>
    <t xml:space="preserve">Base Period </t>
  </si>
  <si>
    <t>(F=B+C-D+E)</t>
  </si>
  <si>
    <t>NOTES:</t>
  </si>
  <si>
    <t>ANNUALIZED SHORT-TERM DEBT</t>
  </si>
  <si>
    <t>Remittance Processing Equip</t>
  </si>
  <si>
    <t>Reference No.</t>
  </si>
  <si>
    <t>Accumulated Depreciation and Amortization</t>
  </si>
  <si>
    <t>Plant in Service by Account and Sub Account</t>
  </si>
  <si>
    <t xml:space="preserve">  Dividend Payout Ratio (Declared</t>
  </si>
  <si>
    <t xml:space="preserve">  Market Price - High (Low)</t>
  </si>
  <si>
    <t xml:space="preserve">   1st Quarter - High ($)</t>
  </si>
  <si>
    <t xml:space="preserve">   1st Quarter - Low ($)</t>
  </si>
  <si>
    <t xml:space="preserve">   2nd Quarter - High ($)</t>
  </si>
  <si>
    <t xml:space="preserve">   2nd Quarter - Low ($)</t>
  </si>
  <si>
    <t xml:space="preserve">   3rd Quarter - High ($)</t>
  </si>
  <si>
    <t>Period</t>
  </si>
  <si>
    <t>Type of Filing:___X_____Original________Updated</t>
  </si>
  <si>
    <t>Structures Frame</t>
  </si>
  <si>
    <t>Power Operated Equipment</t>
  </si>
  <si>
    <t>Misc Intangible Plant</t>
  </si>
  <si>
    <t>Total Customer Accounts Expense</t>
  </si>
  <si>
    <t>Customer Service &amp; Information - Operation</t>
  </si>
  <si>
    <t>F-1</t>
  </si>
  <si>
    <t>Social and Service Club Dues</t>
  </si>
  <si>
    <t>F-2.1</t>
  </si>
  <si>
    <t>Charitable Contributions</t>
  </si>
  <si>
    <t>Initiation Fees/Country Club Expenses</t>
  </si>
  <si>
    <t>F-2.3</t>
  </si>
  <si>
    <t>Employee Party, Outing and Gift Expenses</t>
  </si>
  <si>
    <t>Sales and Advertising Expenses</t>
  </si>
  <si>
    <t>F-4</t>
  </si>
  <si>
    <t>F-5</t>
  </si>
  <si>
    <t>Professional Service Expenses</t>
  </si>
  <si>
    <t>F-6</t>
  </si>
  <si>
    <t>F-7</t>
  </si>
  <si>
    <t>Civic, Political and Related Activities</t>
  </si>
  <si>
    <t>Expense Reports</t>
  </si>
  <si>
    <t>Jurisdictional Requirement</t>
  </si>
  <si>
    <t>Allocated O&amp;M</t>
  </si>
  <si>
    <t>*Note:  Debits are shown as positive, and credits are shown as negatives.  Includes the Shared Services allocation.</t>
  </si>
  <si>
    <t xml:space="preserve">                            </t>
  </si>
  <si>
    <t>Mcf</t>
  </si>
  <si>
    <t>Data:__X___Base Period__X___Forecasted Period</t>
  </si>
  <si>
    <t>488 MISC. Service Revenues</t>
  </si>
  <si>
    <t>Income Taxes</t>
  </si>
  <si>
    <t>Customer Service and Informational Expenses</t>
  </si>
  <si>
    <t>408 Taxes, Other than Income</t>
  </si>
  <si>
    <t>Rate</t>
  </si>
  <si>
    <t>Item</t>
  </si>
  <si>
    <t>Schedule F-5</t>
  </si>
  <si>
    <t>Schedule F-7</t>
  </si>
  <si>
    <t>Donations (1)</t>
  </si>
  <si>
    <t>Civic Duties (2)</t>
  </si>
  <si>
    <t xml:space="preserve">  Moody's Preferred Stock Rating</t>
  </si>
  <si>
    <t xml:space="preserve">  S&amp;P Preferred Stock Rating</t>
  </si>
  <si>
    <t>Common Stock Related Data: (1)</t>
  </si>
  <si>
    <t xml:space="preserve">  Shares Outstanding Year End (000)</t>
  </si>
  <si>
    <t xml:space="preserve">  Total SALE of Gas</t>
  </si>
  <si>
    <t>Operating income(loss)</t>
  </si>
  <si>
    <t>Other income</t>
  </si>
  <si>
    <t>Other Income</t>
  </si>
  <si>
    <t>Other</t>
  </si>
  <si>
    <t>Meas. &amp; Reg. Sta. Structues</t>
  </si>
  <si>
    <t>Other Structures</t>
  </si>
  <si>
    <t>Well Construction</t>
  </si>
  <si>
    <t>Well Equipment</t>
  </si>
  <si>
    <t>Leaseholds</t>
  </si>
  <si>
    <t>Storage Rights</t>
  </si>
  <si>
    <t>Compressor Station Equipment</t>
  </si>
  <si>
    <t>Taxes - Other</t>
  </si>
  <si>
    <t>Utility</t>
  </si>
  <si>
    <t>Jurisdiction</t>
  </si>
  <si>
    <t>Revenue</t>
  </si>
  <si>
    <t>Tributary Lines</t>
  </si>
  <si>
    <t>INCOME STATEMENT</t>
  </si>
  <si>
    <t>Operating Revenues</t>
  </si>
  <si>
    <t>Gas service revenue</t>
  </si>
  <si>
    <t xml:space="preserve">Other revenue </t>
  </si>
  <si>
    <t>Total Operating Revenues</t>
  </si>
  <si>
    <t>Purchase gas</t>
  </si>
  <si>
    <t>Purpose and Description</t>
  </si>
  <si>
    <t>ADJ1</t>
  </si>
  <si>
    <t>ADJ2</t>
  </si>
  <si>
    <t>ADJ 1</t>
  </si>
  <si>
    <t>Promotional</t>
  </si>
  <si>
    <t xml:space="preserve">  Employee INSURANCE PLANS</t>
  </si>
  <si>
    <t>Total Employee BENEFITS</t>
  </si>
  <si>
    <t>Employee PARTY, OUTING, and GIFT EXP.</t>
  </si>
  <si>
    <t>Computation of Gross Revenue Conversion Factor</t>
  </si>
  <si>
    <t>Comparative Income Statement</t>
  </si>
  <si>
    <t>(H=GXB)</t>
  </si>
  <si>
    <t>Pages</t>
  </si>
  <si>
    <t>Type of Filing:___X____Original________Updated ________Revised</t>
  </si>
  <si>
    <t>to Total Labor Dollars</t>
  </si>
  <si>
    <t>Employee Benefits</t>
  </si>
  <si>
    <t xml:space="preserve">  Return On Common Equity (Average)</t>
  </si>
  <si>
    <t>Most Recent Ten Calendar Years - as Reported</t>
  </si>
  <si>
    <t xml:space="preserve">  and State Taxes, includes gas cost) </t>
  </si>
  <si>
    <t>(H)</t>
  </si>
  <si>
    <t>(I)</t>
  </si>
  <si>
    <t>$000</t>
  </si>
  <si>
    <t>Various</t>
  </si>
  <si>
    <t>Schedule G-3</t>
  </si>
  <si>
    <t xml:space="preserve">  Taxes Other than Income</t>
  </si>
  <si>
    <t>Allocation</t>
  </si>
  <si>
    <t>Deferred Credits &amp; Accumulated Deferred Income Taxes</t>
  </si>
  <si>
    <t>Ratio of Payroll Taxes</t>
  </si>
  <si>
    <t xml:space="preserve">Expensed to Total Payroll </t>
  </si>
  <si>
    <t xml:space="preserve">   Average (Monthly) (000)</t>
  </si>
  <si>
    <t>Total Payroll Taxes</t>
  </si>
  <si>
    <t>Customer Advances For Construction</t>
  </si>
  <si>
    <t>Taxes</t>
  </si>
  <si>
    <t>Production O&amp;M Expense</t>
  </si>
  <si>
    <t>Storage O&amp;M Expense</t>
  </si>
  <si>
    <t>Storage Well Royalties</t>
  </si>
  <si>
    <t>Structure &amp; Improvements</t>
  </si>
  <si>
    <t>Reservoirs &amp; Wells</t>
  </si>
  <si>
    <t>Compressor Station Equip.</t>
  </si>
  <si>
    <t>Measuring &amp; Regulating Station Equip.</t>
  </si>
  <si>
    <t>Mains Expense</t>
  </si>
  <si>
    <t>Measuring &amp; Regulating Station Exp.</t>
  </si>
  <si>
    <t>Measuring &amp; Reg Station Equip.</t>
  </si>
  <si>
    <t>Other Equipment</t>
  </si>
  <si>
    <t>Other Exp.</t>
  </si>
  <si>
    <t>Supervision and Engineering</t>
  </si>
  <si>
    <t>Distribution Load Dispatching</t>
  </si>
  <si>
    <t>Stores Equipment</t>
  </si>
  <si>
    <t>Miscellaneous Equipment</t>
  </si>
  <si>
    <t>Transmission O&amp;M Expense</t>
  </si>
  <si>
    <t>SALE of Gas - Unbilled - no adjustment.</t>
  </si>
  <si>
    <t>876 Dist Meas/Reg Sta-Ind</t>
  </si>
  <si>
    <t>877 Dist Meas/Reg Sta-Cty.</t>
  </si>
  <si>
    <t>878 Dist Mtr/House Reg</t>
  </si>
  <si>
    <t>879 Dist Cust Install</t>
  </si>
  <si>
    <t>880 Dist Other Exp</t>
  </si>
  <si>
    <t>881 Dist Rents</t>
  </si>
  <si>
    <t>Total Distribution Expenses - Operation</t>
  </si>
  <si>
    <t>Distribution Expenses - Maintenance</t>
  </si>
  <si>
    <t>Production Expense - Operation</t>
  </si>
  <si>
    <t>Other Gas Revenue</t>
  </si>
  <si>
    <t>Political Activities (3)</t>
  </si>
  <si>
    <t>Informational and Instructional Advertising Expenses</t>
  </si>
  <si>
    <t>Customer Assistance Expenses</t>
  </si>
  <si>
    <t>Meter Reading Expenses</t>
  </si>
  <si>
    <t>Uncollectible Accounts</t>
  </si>
  <si>
    <t>Provision for Federal &amp; State Income Taxes</t>
  </si>
  <si>
    <t>Depreciation and Amortization</t>
  </si>
  <si>
    <t>Taxes Other than Income Taxes</t>
  </si>
  <si>
    <t>Operation Supervision &amp; Engineering</t>
  </si>
  <si>
    <t>Distribution O&amp;M Expense</t>
  </si>
  <si>
    <t>Account 190 - Accumulated Deferred Income Taxes</t>
  </si>
  <si>
    <t>Account 282 - Accumulated Deferred Income Taxes</t>
  </si>
  <si>
    <t>Account 283 - Accumulated Deferred Income Taxes - Other</t>
  </si>
  <si>
    <t>DIVISION 91</t>
  </si>
  <si>
    <t>Schedule D-1</t>
  </si>
  <si>
    <t>B-2</t>
  </si>
  <si>
    <t>B-3</t>
  </si>
  <si>
    <t>Data:___X____Base Period___X____Forecasted Period</t>
  </si>
  <si>
    <t xml:space="preserve">     </t>
  </si>
  <si>
    <t xml:space="preserve">  Total Payroll Taxes</t>
  </si>
  <si>
    <t>Total Compensation</t>
  </si>
  <si>
    <t>Data Source</t>
  </si>
  <si>
    <t>Filing Requirement</t>
  </si>
  <si>
    <t>B-2 B</t>
  </si>
  <si>
    <t>B-3 B</t>
  </si>
  <si>
    <t>B-4.2 B</t>
  </si>
  <si>
    <t>B-4.1 B</t>
  </si>
  <si>
    <t>B-6 B</t>
  </si>
  <si>
    <t>B-5 B</t>
  </si>
  <si>
    <t>B-2 F</t>
  </si>
  <si>
    <t>B-3 F</t>
  </si>
  <si>
    <t>B-4.2 F</t>
  </si>
  <si>
    <t>B-4.1 F</t>
  </si>
  <si>
    <t>B-6 F</t>
  </si>
  <si>
    <t>B-5 F</t>
  </si>
  <si>
    <t>Schedule B-3.1</t>
  </si>
  <si>
    <t>Description of methodology</t>
  </si>
  <si>
    <t>used to determine</t>
  </si>
  <si>
    <t>Schedule B-4 B</t>
  </si>
  <si>
    <t>Schedule B-4 F</t>
  </si>
  <si>
    <t>Schedule B-4.1 B</t>
  </si>
  <si>
    <t>Schedule B-4.1 F</t>
  </si>
  <si>
    <t>Schedule B-4.2 B</t>
  </si>
  <si>
    <t>Schedule B-4.2 F</t>
  </si>
  <si>
    <t>Sch. B-5 B</t>
  </si>
  <si>
    <t>Sch. B-5 F</t>
  </si>
  <si>
    <t>Sch. B-6 B</t>
  </si>
  <si>
    <t>Sch. B-6 F</t>
  </si>
  <si>
    <t>Schedule C-2.1 F</t>
  </si>
  <si>
    <t>Schedule C-2.1 B</t>
  </si>
  <si>
    <t>Schedule C-2.3 B</t>
  </si>
  <si>
    <t>Schedule C-2.3 F</t>
  </si>
  <si>
    <t>Schedule F-8</t>
  </si>
  <si>
    <t>Revenue by Customer Class:</t>
  </si>
  <si>
    <t>WP B-5 B</t>
  </si>
  <si>
    <t>Div 012 Accumulated Deferred Income Taxes</t>
  </si>
  <si>
    <t>Total Account 252 - Customer Advances For Construction</t>
  </si>
  <si>
    <t>Total Deferred Inc. Taxes and Investment Tax  Credits</t>
  </si>
  <si>
    <t>Communication Equip. - Telemetering</t>
  </si>
  <si>
    <t xml:space="preserve">     Total interest charges</t>
  </si>
  <si>
    <t>Income Before Taxes</t>
  </si>
  <si>
    <t>Provision for income taxes</t>
  </si>
  <si>
    <t>Meas &amp; Reg. Sta. Equipment T.b.</t>
  </si>
  <si>
    <t xml:space="preserve">  AFUDC - % of Net Income</t>
  </si>
  <si>
    <t xml:space="preserve">  AFUDC - % of earnings available for </t>
  </si>
  <si>
    <t xml:space="preserve">   common equity</t>
  </si>
  <si>
    <t xml:space="preserve">  Embedded cost of short-term debt (%)</t>
  </si>
  <si>
    <t xml:space="preserve">  Embedded cost of long-term debt  (%)</t>
  </si>
  <si>
    <t>Total Administrative and Gen. Exp. - Maintenance</t>
  </si>
  <si>
    <t>4091-4101</t>
  </si>
  <si>
    <t>Operating (Income)Loss*</t>
  </si>
  <si>
    <t>Total Employee Benefits</t>
  </si>
  <si>
    <t>Employee Benefits Expensed</t>
  </si>
  <si>
    <t>Rate of Return</t>
  </si>
  <si>
    <t>Operating Revenue</t>
  </si>
  <si>
    <t>Revenue &amp;</t>
  </si>
  <si>
    <t>Man Hours</t>
  </si>
  <si>
    <t>Labor Dollars</t>
  </si>
  <si>
    <t>Straight-Time Dollars</t>
  </si>
  <si>
    <t>885 Dist Maint Super/Eng</t>
  </si>
  <si>
    <t xml:space="preserve">  Moody's Bond Rating</t>
  </si>
  <si>
    <t xml:space="preserve">  S&amp;P Bond Rating</t>
  </si>
  <si>
    <t>Schedule B-1</t>
  </si>
  <si>
    <t>Structures-Brick</t>
  </si>
  <si>
    <t>Total Plant (Div 009, 091, 002, 012)</t>
  </si>
  <si>
    <t>(a)</t>
  </si>
  <si>
    <t>(b)</t>
  </si>
  <si>
    <t>(d)</t>
  </si>
  <si>
    <t>(e)</t>
  </si>
  <si>
    <t>(g)</t>
  </si>
  <si>
    <t>(h)</t>
  </si>
  <si>
    <t>(i)</t>
  </si>
  <si>
    <t>(c) = (a) + (b)</t>
  </si>
  <si>
    <t>(f) = (c) * (d) * (e)</t>
  </si>
  <si>
    <t>(j) = (g) * (h) * (i)</t>
  </si>
  <si>
    <t>Total Administrative and General Exp. - Operation</t>
  </si>
  <si>
    <t>Administrative and General Salaries</t>
  </si>
  <si>
    <t>Office Supplies and Expenses</t>
  </si>
  <si>
    <t>Administrative Expense Transferred</t>
  </si>
  <si>
    <t>Outside Services Employed</t>
  </si>
  <si>
    <t>Injuries and Damages</t>
  </si>
  <si>
    <t>(3) These expenses are recorded below the line and therefore not included in O&amp;M.</t>
  </si>
  <si>
    <t>Employee Pensions and Benefits</t>
  </si>
  <si>
    <t>Regulatory Commission Expense</t>
  </si>
  <si>
    <t>Rents</t>
  </si>
  <si>
    <t>Demonstrating and Selling Expenses</t>
  </si>
  <si>
    <t>Administrative and General Expense - Maintenance</t>
  </si>
  <si>
    <t>Maintenance of General Plant</t>
  </si>
  <si>
    <t>Account 190 - Accumulated Deferred Income Taxes (1)</t>
  </si>
  <si>
    <t>886 Dist Maint Struc/Improv</t>
  </si>
  <si>
    <t>*</t>
  </si>
  <si>
    <t>Schedule J-1</t>
  </si>
  <si>
    <t>Other - Public Authority</t>
  </si>
  <si>
    <t>Office Furniture &amp; Equipment</t>
  </si>
  <si>
    <t>Office Machines</t>
  </si>
  <si>
    <t>8950</t>
  </si>
  <si>
    <t xml:space="preserve">   Public authority &amp; Other Sales</t>
  </si>
  <si>
    <t xml:space="preserve">  Construction Work in Progress</t>
  </si>
  <si>
    <t>Cash Working Capital</t>
  </si>
  <si>
    <t>Working Capital</t>
  </si>
  <si>
    <t>Cash Working Capital Allowance</t>
  </si>
  <si>
    <t>Total Labor Dollars</t>
  </si>
  <si>
    <t>Data:__X___Base Period_____Forecasted Period</t>
  </si>
  <si>
    <t>Straight Time Hours</t>
  </si>
  <si>
    <t>Prepayments</t>
  </si>
  <si>
    <t>Material &amp; Supplies</t>
  </si>
  <si>
    <t>Rights of Way</t>
  </si>
  <si>
    <t>Operating Income</t>
  </si>
  <si>
    <t xml:space="preserve">  Operating Income</t>
  </si>
  <si>
    <t xml:space="preserve">Ratio of Employee Benefits </t>
  </si>
  <si>
    <t>Expensed to Total Employee</t>
  </si>
  <si>
    <t>Benefits</t>
  </si>
  <si>
    <t>Payroll Taxes</t>
  </si>
  <si>
    <t>Interest Income</t>
  </si>
  <si>
    <t>Costs allocated from SSU and KY-MDS General Office</t>
  </si>
  <si>
    <t>Newspaper, Magazine,bill stuffer &amp; Other</t>
  </si>
  <si>
    <t>Notes:</t>
  </si>
  <si>
    <t>Data:___X___Base Period___X____Forecasted Period</t>
  </si>
  <si>
    <t>Total Base Period</t>
  </si>
  <si>
    <t>BASE PERIOD</t>
  </si>
  <si>
    <t>Sched. B-6</t>
  </si>
  <si>
    <t>B-6</t>
  </si>
  <si>
    <t xml:space="preserve">  Pre-Tax Interest Coverage </t>
  </si>
  <si>
    <t xml:space="preserve">  Pre-Tax Interest Coverage (Excluding AFUDC)</t>
  </si>
  <si>
    <t xml:space="preserve">      Other Gas Purchases / Gas Cost Adjustments</t>
  </si>
  <si>
    <t>Taxable Income</t>
  </si>
  <si>
    <t>Summary</t>
  </si>
  <si>
    <t>B</t>
  </si>
  <si>
    <t>C</t>
  </si>
  <si>
    <t>Operating Income (Revenues &amp; Expenses)</t>
  </si>
  <si>
    <t>D</t>
  </si>
  <si>
    <t>Adjustments to Operating Income by Account</t>
  </si>
  <si>
    <t>F</t>
  </si>
  <si>
    <t>Rule F Compliance Adjustments</t>
  </si>
  <si>
    <t>G</t>
  </si>
  <si>
    <t>Payroll Analysis</t>
  </si>
  <si>
    <t>I</t>
  </si>
  <si>
    <t>Comparative Income Statements</t>
  </si>
  <si>
    <t>J</t>
  </si>
  <si>
    <t>Cost of Capital</t>
  </si>
  <si>
    <t>K</t>
  </si>
  <si>
    <t>E</t>
  </si>
  <si>
    <t>Schedule   E</t>
  </si>
  <si>
    <t>Fully Adjusted</t>
  </si>
  <si>
    <t>Operating Income before Income Tax &amp; Interest</t>
  </si>
  <si>
    <t>(1) Based on fiscal year-end of parent company</t>
  </si>
  <si>
    <t xml:space="preserve">  ESOP PLAN Contributions</t>
  </si>
  <si>
    <t>NOTE:  This schedule contains confidential information, detail of these numbers are available upon request.</t>
  </si>
  <si>
    <t xml:space="preserve">      PGA for Industrial</t>
  </si>
  <si>
    <t xml:space="preserve">      PGA for Public Authority</t>
  </si>
  <si>
    <t>Miscellaneous Sales Expenses</t>
  </si>
  <si>
    <t>Other Gas Supply Expenses - Operation</t>
  </si>
  <si>
    <t xml:space="preserve">  Total Other Gas Supply Expenses - Operation</t>
  </si>
  <si>
    <t>NET Operating Income Impact</t>
  </si>
  <si>
    <t>Schedule G-1</t>
  </si>
  <si>
    <t>Schedule G-2</t>
  </si>
  <si>
    <t xml:space="preserve">  Dividends Declared Per Share ($)</t>
  </si>
  <si>
    <t>Mains Cathodic Protection</t>
  </si>
  <si>
    <t>Mains - Plastic</t>
  </si>
  <si>
    <t>Meters</t>
  </si>
  <si>
    <t>Working Capital Components - 13 Month Averages</t>
  </si>
  <si>
    <t>Cash Working Capital - 1/8 O&amp;M Expenses</t>
  </si>
  <si>
    <t>Payroll Costs</t>
  </si>
  <si>
    <t>Total Payroll Costs</t>
  </si>
  <si>
    <t>Operating Income by Major Accounts</t>
  </si>
  <si>
    <t>Advertising Expenses</t>
  </si>
  <si>
    <t>Sheet 1 of 1</t>
  </si>
  <si>
    <t>13 Mth Avg.</t>
  </si>
  <si>
    <t>Total Customer Accounts Expenses - Operation</t>
  </si>
  <si>
    <t>Structures &amp; Improvements</t>
  </si>
  <si>
    <t>Miscellaneous general expenses</t>
  </si>
  <si>
    <t>Maintenance of general plant</t>
  </si>
  <si>
    <t xml:space="preserve">  Shares Outstanding - Weighted</t>
  </si>
  <si>
    <t>Data:__X____Base Period___X___Forecasted Period</t>
  </si>
  <si>
    <t>Amortization of gas plant acquisition adjustments</t>
  </si>
  <si>
    <t>Taxes other than income taxes, utility operating income</t>
  </si>
  <si>
    <t>Residential sales</t>
  </si>
  <si>
    <t>Other Sales to Public Authorities</t>
  </si>
  <si>
    <t>Miscellaneous service revenues</t>
  </si>
  <si>
    <t>Revenue-Transportation Commercial</t>
  </si>
  <si>
    <t>Intercompany Gas Well-head Purchases</t>
  </si>
  <si>
    <t>Natural gas city gate purchases</t>
  </si>
  <si>
    <t>Other purchases</t>
  </si>
  <si>
    <t>PGA for Residential</t>
  </si>
  <si>
    <t>PGA for Commercial</t>
  </si>
  <si>
    <t>PGA for Industrial</t>
  </si>
  <si>
    <t>PGA for Public Authorities</t>
  </si>
  <si>
    <t>Unbilled PGA Cost</t>
  </si>
  <si>
    <t>PGA Offset to Unrecovered Gas Cost</t>
  </si>
  <si>
    <t>Exchange gas</t>
  </si>
  <si>
    <t>Gas withdrawn from storage-Debit</t>
  </si>
  <si>
    <t>Gas delivered to storage-Credit</t>
  </si>
  <si>
    <t>Gas used for other utility operations-Credit</t>
  </si>
  <si>
    <t>Storage-Operation supervision and engineering</t>
  </si>
  <si>
    <t>Wells expenses</t>
  </si>
  <si>
    <t>EMPLOYEE EXPENSE REPORT EXCLUSIONS</t>
  </si>
  <si>
    <t xml:space="preserve">Data Source: </t>
  </si>
  <si>
    <t>Total Expense Report Exclusions</t>
  </si>
  <si>
    <t>Lines expenses</t>
  </si>
  <si>
    <t>Compressor station expenses</t>
  </si>
  <si>
    <t>Compressor station fuel and power</t>
  </si>
  <si>
    <t>Storage-Measuring and regulating station expenses</t>
  </si>
  <si>
    <t>Storage-Purification expenses</t>
  </si>
  <si>
    <t>Storage-Other expenses</t>
  </si>
  <si>
    <t>Percentage of</t>
  </si>
  <si>
    <t>Incremental</t>
  </si>
  <si>
    <t>Less: Uncollectible Accounts Expense</t>
  </si>
  <si>
    <t>Less: PSC Fees</t>
  </si>
  <si>
    <t>Net Revenues</t>
  </si>
  <si>
    <t>Income before Federal Income Tax</t>
  </si>
  <si>
    <t>(100 % divided by Income after Income Tax)</t>
  </si>
  <si>
    <t>AVERAGE SHORT-TERM DEBT</t>
  </si>
  <si>
    <t>TOTAL SHORT-TERM DEBT</t>
  </si>
  <si>
    <t>AVERAGE SHORT-TERM DEBT (1)</t>
  </si>
  <si>
    <t>Storage well royalties</t>
  </si>
  <si>
    <t>Storage-Maintenance of structures and improvements</t>
  </si>
  <si>
    <t>Maintenance of compressor station equipment</t>
  </si>
  <si>
    <t>Maintenance of measuring and regulating station equipment</t>
  </si>
  <si>
    <t>Processing-Maintenance of purification equipment</t>
  </si>
  <si>
    <t>Transmission-Operation supervision and engineering</t>
  </si>
  <si>
    <t>Mains expenses</t>
  </si>
  <si>
    <t>Transmission-Measuring and regulating station expenses</t>
  </si>
  <si>
    <t>Transmission-Maintenance of mains</t>
  </si>
  <si>
    <t>Transmission-Maintenance of measuring and regulating station equipment</t>
  </si>
  <si>
    <t>Distribution-Operation supervision and engineering</t>
  </si>
  <si>
    <t>Distribution load dispatching</t>
  </si>
  <si>
    <t>Mains and Services Expenses</t>
  </si>
  <si>
    <t>Distribution-Measuring and regulating station expenses</t>
  </si>
  <si>
    <t>Distribution-Measuring and regulating station expenses-Industrial</t>
  </si>
  <si>
    <t>Distribution-Measuring and regulating station expenses-City gate check stations</t>
  </si>
  <si>
    <t>Meter and house regulator expenses</t>
  </si>
  <si>
    <t>Customer installations expenses</t>
  </si>
  <si>
    <t>Distribution-Other expenses</t>
  </si>
  <si>
    <t>Distribution-Rents</t>
  </si>
  <si>
    <t>Distribution-Maintenance supervision and engineering</t>
  </si>
  <si>
    <t>Distribution-Maintenance of structures and improvements</t>
  </si>
  <si>
    <t>Distribution-Maint of mains</t>
  </si>
  <si>
    <t>Maintenance of measuring and regulating station equipment-General</t>
  </si>
  <si>
    <t>Maintenance of measuring and regulating station equipment-Industrial</t>
  </si>
  <si>
    <t>Maintenance of measuring and regulating station equipment-City gate check stations</t>
  </si>
  <si>
    <t>Maintenance of services</t>
  </si>
  <si>
    <t>Maintenance of meters and house regulators</t>
  </si>
  <si>
    <t>Distribution-Maintenance of other equipment</t>
  </si>
  <si>
    <t>Customer accounts-Meter reading expenses</t>
  </si>
  <si>
    <t>Sub Account 07421- Service Awards</t>
  </si>
  <si>
    <t>Grand Total</t>
  </si>
  <si>
    <t>Class Cost Study - P. Raab</t>
  </si>
  <si>
    <t>Customer accounts-Customer records and collections expenses</t>
  </si>
  <si>
    <t>Customer accounts-Uncollectible accounts</t>
  </si>
  <si>
    <t>Customer service-Operating informational and instructional advertising expense</t>
  </si>
  <si>
    <t>Customer service-Miscellaneous customer service</t>
  </si>
  <si>
    <t>Sales-Supervision</t>
  </si>
  <si>
    <t>Sales-Demonstrating and selling expenses</t>
  </si>
  <si>
    <t>Sales-Advertising expenses</t>
  </si>
  <si>
    <t>A&amp;G-Office supplies &amp; expense</t>
  </si>
  <si>
    <t>A&amp;G-Administrative expense transferred-Credit</t>
  </si>
  <si>
    <t>A&amp;G-Outside services employed</t>
  </si>
  <si>
    <t>A&amp;G-Property insurance</t>
  </si>
  <si>
    <t>A&amp;G-Injuries &amp; damages</t>
  </si>
  <si>
    <t>A&amp;G-Employee pensions and benefits</t>
  </si>
  <si>
    <t>A&amp;G-Franchise requirements</t>
  </si>
  <si>
    <t>A&amp;G-Regulatory commission expenses</t>
  </si>
  <si>
    <t>Account Discription</t>
  </si>
  <si>
    <t>Data Sources:</t>
  </si>
  <si>
    <t>Advertising</t>
  </si>
  <si>
    <t>Miscellaneous Sales Expense</t>
  </si>
  <si>
    <t xml:space="preserve">   General Plant</t>
  </si>
  <si>
    <t>Total Projected Rate Case Expense</t>
  </si>
  <si>
    <t>Other Tangible Property - Servers - S/W</t>
  </si>
  <si>
    <t>Compressor Station Labor &amp; Expenses</t>
  </si>
  <si>
    <t>Mains &amp; Services</t>
  </si>
  <si>
    <t>Meters and House Regulator Expense</t>
  </si>
  <si>
    <t>Customer Installations Expense</t>
  </si>
  <si>
    <t>Other Expense</t>
  </si>
  <si>
    <t>Measuring and Regulating Station Exp. - Gen</t>
  </si>
  <si>
    <t>Measuring and Regulating Station Exp. - Ind.</t>
  </si>
  <si>
    <t>Measuring and Regulating Sta. Exp. - City Gate</t>
  </si>
  <si>
    <t>Structures and Improvements</t>
  </si>
  <si>
    <t>Meters and House Regulators</t>
  </si>
  <si>
    <t>Customer Records &amp; Collections</t>
  </si>
  <si>
    <t>F-8</t>
  </si>
  <si>
    <t>Total Manhours</t>
  </si>
  <si>
    <t xml:space="preserve">  AFUDC</t>
  </si>
  <si>
    <t xml:space="preserve">Working Capital Components </t>
  </si>
  <si>
    <t xml:space="preserve">  Embedded cost of preferred stock (%)</t>
  </si>
  <si>
    <t>Supervision (1)</t>
  </si>
  <si>
    <t>Informational Advertising (1)</t>
  </si>
  <si>
    <t>Miscellaneous Customer Service and Informational (1)</t>
  </si>
  <si>
    <t>Demonstration and Selling (1)</t>
  </si>
  <si>
    <t xml:space="preserve">Allocated </t>
  </si>
  <si>
    <t>06111- Contract Labor</t>
  </si>
  <si>
    <t>06121- Legal</t>
  </si>
  <si>
    <t>Fixed Charge Coverage: (1)</t>
  </si>
  <si>
    <t>Description</t>
  </si>
  <si>
    <t>Unadjusted</t>
  </si>
  <si>
    <t>Adjustments</t>
  </si>
  <si>
    <t>Adjusted</t>
  </si>
  <si>
    <t>Interest Charges</t>
  </si>
  <si>
    <t>Operating Expenses</t>
  </si>
  <si>
    <t>Requirement</t>
  </si>
  <si>
    <t>Meas &amp; Reg. Equipment</t>
  </si>
  <si>
    <t>Transmission Plant</t>
  </si>
  <si>
    <t>Other Structues</t>
  </si>
  <si>
    <t>Meas. &amp; Reg. Equipment</t>
  </si>
  <si>
    <t>Land Other</t>
  </si>
  <si>
    <t>Structures &amp; Improvements T.B.</t>
  </si>
  <si>
    <t>Improvements</t>
  </si>
  <si>
    <t>Land Rights</t>
  </si>
  <si>
    <t>Overall Financial Summary</t>
  </si>
  <si>
    <t>Allocation from taxes other SS</t>
  </si>
  <si>
    <t>Factor</t>
  </si>
  <si>
    <t>Other Tangible Property - Network - H/W</t>
  </si>
  <si>
    <t>Total Transmission Expense - Operation</t>
  </si>
  <si>
    <t>Transmission Expense - Maintenance</t>
  </si>
  <si>
    <t>Total Transmission Expense - Maintenance</t>
  </si>
  <si>
    <t xml:space="preserve">      Exchange Gas</t>
  </si>
  <si>
    <t>Schedule B-2 F</t>
  </si>
  <si>
    <t>Schedule B-2 B</t>
  </si>
  <si>
    <t>Schedule B-3 B</t>
  </si>
  <si>
    <t>Schedule B-3 F</t>
  </si>
  <si>
    <t>Natural Gas Storage Expense - Maintenance</t>
  </si>
  <si>
    <t>Forfeited Discounts</t>
  </si>
  <si>
    <t>Misc. Service Revenues</t>
  </si>
  <si>
    <t>480 Gas Rev - Residential</t>
  </si>
  <si>
    <t>480 Gas Rev - Commericial</t>
  </si>
  <si>
    <t>480 Gas Rev - Industrial</t>
  </si>
  <si>
    <t>480 Gas Rev - Public Authority &amp; Other</t>
  </si>
  <si>
    <t>890 Dist Maint Meas/Reg Sta-Ind</t>
  </si>
  <si>
    <t>891 Dist Maint Meas/Reg Sta-Cty</t>
  </si>
  <si>
    <t>892 Dist Maint of Ser</t>
  </si>
  <si>
    <t>893 Dist Maint Mtr/House Reg</t>
  </si>
  <si>
    <t xml:space="preserve">      Gas Used for Other Utility Operations</t>
  </si>
  <si>
    <t>Total Purchased Gas Cost</t>
  </si>
  <si>
    <t>Natural Gas Storage Expense - Operation</t>
  </si>
  <si>
    <t>Total Nat. Gas Storage Expense - Operation</t>
  </si>
  <si>
    <t>Total Nat. Gas Storage Expense - Maintenance</t>
  </si>
  <si>
    <t>Transmission Expense - Operation</t>
  </si>
  <si>
    <t>AVERAGE ANNUALIZED SHORT-TERM DEBT</t>
  </si>
  <si>
    <t xml:space="preserve">  Earnings Per Share - Weighted Avg. ($)</t>
  </si>
  <si>
    <t xml:space="preserve">  Dividends Paid Per Share ($)</t>
  </si>
  <si>
    <t>Tools, Shop &amp; Garage Equipment</t>
  </si>
  <si>
    <t>Improvement to leased Premises</t>
  </si>
  <si>
    <t xml:space="preserve">   Residential</t>
  </si>
  <si>
    <t xml:space="preserve">   Commercial</t>
  </si>
  <si>
    <t>to Straight-Time Dollars</t>
  </si>
  <si>
    <t>Purification Equipment</t>
  </si>
  <si>
    <t>819 Storage Compressor Station Fuel</t>
  </si>
  <si>
    <t>820 Storage Measuring &amp; Regulating</t>
  </si>
  <si>
    <t>821 Storage Purification</t>
  </si>
  <si>
    <t>824 Storage Other Expense</t>
  </si>
  <si>
    <t>825 Storage Royalties</t>
  </si>
  <si>
    <t>831 Storage Maintenance Structure</t>
  </si>
  <si>
    <t>832 Storage Maintenance Res</t>
  </si>
  <si>
    <t>Type of Filing:_______Original________Updated ____X____Revised</t>
  </si>
  <si>
    <t>13 Mth Average</t>
  </si>
  <si>
    <t>Distribution Expenses - Operation</t>
  </si>
  <si>
    <t xml:space="preserve">  Depreciation Expense</t>
  </si>
  <si>
    <t>Services</t>
  </si>
  <si>
    <t>House Regulators</t>
  </si>
  <si>
    <t>Interest Expense</t>
  </si>
  <si>
    <t>Data:_____Base Period___X__Forecasted Period</t>
  </si>
  <si>
    <t>Period End</t>
  </si>
  <si>
    <t>Customer Service and Informational SALES and General ADVERTISING Expense</t>
  </si>
  <si>
    <t>Other Working Capital Allowances (Inventory &amp; Prepaids)</t>
  </si>
  <si>
    <t>100%</t>
  </si>
  <si>
    <t xml:space="preserve">   3rd Quarter - Low ($)</t>
  </si>
  <si>
    <t xml:space="preserve">   4th Quarter - High ($)</t>
  </si>
  <si>
    <t xml:space="preserve">   4th Quarter - Low ($)</t>
  </si>
  <si>
    <t xml:space="preserve">  Book Amount Per Share (Year-end) ($)</t>
  </si>
  <si>
    <t>Data:________Base Period___X____Forecasted Period</t>
  </si>
  <si>
    <t>D-1</t>
  </si>
  <si>
    <t>925 Adm Gen Injuries/Damages</t>
  </si>
  <si>
    <t>926 Adm Gen Empl Pen/Ben</t>
  </si>
  <si>
    <t>(based on year-end accounts))</t>
  </si>
  <si>
    <t xml:space="preserve">  Short-term debt ($000)</t>
  </si>
  <si>
    <t xml:space="preserve">  Long-term debt ($000)</t>
  </si>
  <si>
    <t xml:space="preserve">  Other Income net</t>
  </si>
  <si>
    <t xml:space="preserve">  Income available for fixed charges</t>
  </si>
  <si>
    <t xml:space="preserve">  Interest charges</t>
  </si>
  <si>
    <t xml:space="preserve">  Net Income</t>
  </si>
  <si>
    <t xml:space="preserve">  Preferred dividends accrual</t>
  </si>
  <si>
    <t>Transportation Equipment</t>
  </si>
  <si>
    <t>Summary of Utility Jurisdictional Adjustments to Operating Income by Account</t>
  </si>
  <si>
    <t>LN</t>
  </si>
  <si>
    <t>NO</t>
  </si>
  <si>
    <t>ADJUSTED</t>
  </si>
  <si>
    <t>(A)</t>
  </si>
  <si>
    <t>(B)</t>
  </si>
  <si>
    <t>(C)</t>
  </si>
  <si>
    <t>AVERAGE ANNUALIZED LONG-TERM DEBT</t>
  </si>
  <si>
    <t xml:space="preserve">(1) Included in these accounts are advertising and promotional advertising expenses which are considered Non-recoverable and will be Excluded </t>
  </si>
  <si>
    <t>Rate of Return Measures (1)</t>
  </si>
  <si>
    <t xml:space="preserve">Gas Stored Underground </t>
  </si>
  <si>
    <t xml:space="preserve">  FAS 106</t>
  </si>
  <si>
    <t>D-2.2</t>
  </si>
  <si>
    <t>GRAND</t>
  </si>
  <si>
    <t>D-2.3</t>
  </si>
  <si>
    <t>(1)</t>
  </si>
  <si>
    <t>(2)</t>
  </si>
  <si>
    <t>(3)</t>
  </si>
  <si>
    <t xml:space="preserve"> 1</t>
  </si>
  <si>
    <t>12.50%</t>
  </si>
  <si>
    <t xml:space="preserve">  Salary</t>
  </si>
  <si>
    <t xml:space="preserve">  Other Allowances and Compensation</t>
  </si>
  <si>
    <t xml:space="preserve">  Total Salary and Compensation</t>
  </si>
  <si>
    <t xml:space="preserve">  Pensions</t>
  </si>
  <si>
    <t xml:space="preserve">  Other Benefits</t>
  </si>
  <si>
    <t xml:space="preserve">  Total Employee Benefits</t>
  </si>
  <si>
    <t>Payroll Taxes Expensed</t>
  </si>
  <si>
    <t xml:space="preserve">  After Tax Interest Coverage  </t>
  </si>
  <si>
    <t xml:space="preserve">  After Tax Interest Coverage (Excluding AFUDC)</t>
  </si>
  <si>
    <t xml:space="preserve">  Indenture Provision Coverage</t>
  </si>
  <si>
    <t>Stock and Bond Ratings: (1)</t>
  </si>
  <si>
    <t>Jurisdictional Rate Base Summary</t>
  </si>
  <si>
    <t>Increase</t>
  </si>
  <si>
    <t>Revenue Increase Requested</t>
  </si>
  <si>
    <t>SALE of Gas</t>
  </si>
  <si>
    <t>Total Sales Expenses</t>
  </si>
  <si>
    <t>Administrative and General Expenses - Operation</t>
  </si>
  <si>
    <t>DIVISION 12</t>
  </si>
  <si>
    <t>Jurisdictional Accumulated Depreciation &amp; Amortization</t>
  </si>
  <si>
    <t>B-3.1</t>
  </si>
  <si>
    <t>Field Meas. &amp; Reg. Sta. Equip</t>
  </si>
  <si>
    <t>Total Operating Expenses</t>
  </si>
  <si>
    <t>Type of Filing:___X____Original________Updated</t>
  </si>
  <si>
    <t>Type of Filing:___X____Original________Updated________Revised</t>
  </si>
  <si>
    <t>Type of Filing:___X_____Original________Updated________Revised</t>
  </si>
  <si>
    <t>Type of Filing:___X____Original________Updated_________Revised</t>
  </si>
  <si>
    <t>Type of Filing:___X____Original_______Updated_______Revised</t>
  </si>
  <si>
    <t xml:space="preserve">ACCOUNT No. </t>
  </si>
  <si>
    <t>Base Year</t>
  </si>
  <si>
    <t>Expenses</t>
  </si>
  <si>
    <t>Classification</t>
  </si>
  <si>
    <t>Major Group</t>
  </si>
  <si>
    <t>Kentucky Composite Tax</t>
  </si>
  <si>
    <t>Workpaper Reference NO(S).____________________</t>
  </si>
  <si>
    <t>J-1</t>
  </si>
  <si>
    <t>SALES STATISTICS</t>
  </si>
  <si>
    <t>Schedule I</t>
  </si>
  <si>
    <t xml:space="preserve">      Transportation to City Gate</t>
  </si>
  <si>
    <t xml:space="preserve">Operating Revenue and Expenses by FERC Account </t>
  </si>
  <si>
    <t>Production Expense - Maintenance</t>
  </si>
  <si>
    <t>Ng Main. Supervision &amp; Engineering</t>
  </si>
  <si>
    <t>Ng. Main. Supervision &amp; Engineering</t>
  </si>
  <si>
    <t>Rate Base, Dep. Exp., &amp; Taxes Other</t>
  </si>
  <si>
    <t>Retirement Work in Progress</t>
  </si>
  <si>
    <t>Composite</t>
  </si>
  <si>
    <t>Total Accumulated Depreciation &amp; Amortization (Div 009, 091, 002, 012)</t>
  </si>
  <si>
    <t>Data:_____Base Period___X___Forecasted Period</t>
  </si>
  <si>
    <t>Land &amp; Land Rights</t>
  </si>
  <si>
    <t>State &amp; Federal Income Tax</t>
  </si>
  <si>
    <t>* Interest Expense Calculation:</t>
  </si>
  <si>
    <t>State Tax Rate</t>
  </si>
  <si>
    <t>Federal Tax Rate</t>
  </si>
  <si>
    <t>Other Tangible Property</t>
  </si>
  <si>
    <t>Other Financial and Operating Data:</t>
  </si>
  <si>
    <t>Plant Data: ($000)</t>
  </si>
  <si>
    <t xml:space="preserve">  Total Sales of Gas</t>
  </si>
  <si>
    <t xml:space="preserve">  Total Other Operating Income</t>
  </si>
  <si>
    <t>Cost Rate</t>
  </si>
  <si>
    <t>Employee Levels</t>
  </si>
  <si>
    <t>Average Employee Levels</t>
  </si>
  <si>
    <t>Year end Employee Levels</t>
  </si>
  <si>
    <t>Most Recent Five Calendar Years</t>
  </si>
  <si>
    <t>Payroll Analysis by Employee Classifications/Payroll Distribution/Total Company</t>
  </si>
  <si>
    <t xml:space="preserve">  Total MIX of Fuel (2)</t>
  </si>
  <si>
    <t>(2) Kentucky gas purchases by accounting month.</t>
  </si>
  <si>
    <t>Cash Working Capital Components - 1 / 8 O&amp;M Expenses</t>
  </si>
  <si>
    <t>Period ending</t>
  </si>
  <si>
    <t>Sched. B-5</t>
  </si>
  <si>
    <t>C-2.1</t>
  </si>
  <si>
    <t>General Plant **</t>
  </si>
  <si>
    <t>Base Period Ending Balance</t>
  </si>
  <si>
    <t>Kentucky Direct (Div 009)</t>
  </si>
  <si>
    <t>KY/Mid-States General Office (Div 091)</t>
  </si>
  <si>
    <t>Shared Services General Office (Div 002)</t>
  </si>
  <si>
    <t>Shared Services Customer Support (Div 012)</t>
  </si>
  <si>
    <t>Safety or</t>
  </si>
  <si>
    <t>Req by Law</t>
  </si>
  <si>
    <t>Other Tang. Property - CPU</t>
  </si>
  <si>
    <t xml:space="preserve">    Total CWIP</t>
  </si>
  <si>
    <t>Total LONG-TERM DEBT</t>
  </si>
  <si>
    <t>927 Adm Gen Franchise Req</t>
  </si>
  <si>
    <t>928 Adm Gen Reg Comm Exp</t>
  </si>
  <si>
    <t>9301 Adm Gen Goodwill Adv</t>
  </si>
  <si>
    <t>9302 Adm Gen Gen Exp</t>
  </si>
  <si>
    <t>932 Adm Gen Maint Gen Plant</t>
  </si>
  <si>
    <t>Supporting</t>
  </si>
  <si>
    <t>Adjusted Operating Revenues</t>
  </si>
  <si>
    <t xml:space="preserve">  Operating Revenues </t>
  </si>
  <si>
    <t>Rate Base Component</t>
  </si>
  <si>
    <t>Component</t>
  </si>
  <si>
    <t>Meas &amp; Reg. Sta. Equip - City Gate</t>
  </si>
  <si>
    <t>Net Operating Income</t>
  </si>
  <si>
    <t>817 Storage Lines Expense</t>
  </si>
  <si>
    <t>818 Storage Compressor Station</t>
  </si>
  <si>
    <t>889 Dist Maint Meas/Reg Sta-Gen</t>
  </si>
  <si>
    <t>G-Structures &amp; Improvements</t>
  </si>
  <si>
    <t>G-Office Furniture &amp; Equip.</t>
  </si>
  <si>
    <t>Laboratory Equipment</t>
  </si>
  <si>
    <t>CKV-Land &amp; Land Rights</t>
  </si>
  <si>
    <t>CKV-Structures &amp; Improvements</t>
  </si>
  <si>
    <t>CKV-Communication Equipment</t>
  </si>
  <si>
    <t>CKV-Other Tangible Property</t>
  </si>
  <si>
    <t>CKV-Oth Tang Prop-PC Hardware</t>
  </si>
  <si>
    <t>CKV-Oth Tang Prop-PC Software</t>
  </si>
  <si>
    <t>depreciation expense due to the increased level of depreciable plant investment.</t>
  </si>
  <si>
    <t xml:space="preserve">Taxes Other - The purpose of this adjustment is to account for anticipated </t>
  </si>
  <si>
    <t>changes in Taxes, Other than Income Taxes</t>
  </si>
  <si>
    <t>Natural gas field line purchases</t>
  </si>
  <si>
    <t>Transmission and compression of gas by others</t>
  </si>
  <si>
    <t>Revenue-Transportation Distribution</t>
  </si>
  <si>
    <t xml:space="preserve">      Transmission and compression of gas by others</t>
  </si>
  <si>
    <t xml:space="preserve">      Natural gas field line purchases</t>
  </si>
  <si>
    <t xml:space="preserve">      Gas used for products extraction-Credit</t>
  </si>
  <si>
    <t>4893-4896</t>
  </si>
  <si>
    <t>**Note:  Provision for Income Taxes is not a component of Operating Income but is included on this schedule to develop the 12 month total for use elsewhere in the model</t>
  </si>
  <si>
    <t>Allocation Factors</t>
  </si>
  <si>
    <t>Forecast Period</t>
  </si>
  <si>
    <t>KY/ Md-Sts</t>
  </si>
  <si>
    <t>Charles K. Vaughan Center</t>
  </si>
  <si>
    <t>Greenville Avenue Data Center</t>
  </si>
  <si>
    <t>Forecast</t>
  </si>
  <si>
    <t>489 Revenue From Transporting Gas to Others</t>
  </si>
  <si>
    <t>Payroll Tax Projects</t>
  </si>
  <si>
    <t>Allocation from taxes other Gen Office</t>
  </si>
  <si>
    <t>Sales-Demonstrating and selling</t>
  </si>
  <si>
    <t>Distribution-Measuring and regulating station expenses-Genrl</t>
  </si>
  <si>
    <t>from O &amp; M for ratemaking and therefore the Revenue Requirements.  These amounts are shown properly classified on Schedule F-4, Advertising.</t>
  </si>
  <si>
    <t>ADVERTISING</t>
  </si>
  <si>
    <t>Deferred  Credits</t>
  </si>
  <si>
    <t>(1) Unbilled Revenue is not included in the appropriate customer class.</t>
  </si>
  <si>
    <t>and 10 Most Recent Calendar Years</t>
  </si>
  <si>
    <r>
      <t xml:space="preserve">Capital structure:  </t>
    </r>
    <r>
      <rPr>
        <b/>
        <u/>
        <sz val="10.8"/>
        <rFont val="Helvetica-Narrow"/>
      </rPr>
      <t>(Total Company)</t>
    </r>
  </si>
  <si>
    <t>Account 923 - Outside Services Employed</t>
  </si>
  <si>
    <t>Source:</t>
  </si>
  <si>
    <t>Sources:</t>
  </si>
  <si>
    <t>Labor</t>
  </si>
  <si>
    <t xml:space="preserve">  PENSION &amp; RETIREMENT Income Plan</t>
  </si>
  <si>
    <t>% of</t>
  </si>
  <si>
    <t>forecast</t>
  </si>
  <si>
    <t>Schedule F-9</t>
  </si>
  <si>
    <t>Total Amount</t>
  </si>
  <si>
    <t>Data Sources</t>
  </si>
  <si>
    <t>O&amp;M</t>
  </si>
  <si>
    <t>Base Year Revenues</t>
  </si>
  <si>
    <t>Base Year Gas Costs</t>
  </si>
  <si>
    <t>Base Year Gross Profit</t>
  </si>
  <si>
    <t>Test Year Revenues</t>
  </si>
  <si>
    <t>Test Year Gas costs</t>
  </si>
  <si>
    <t>Test Year Gross Profit</t>
  </si>
  <si>
    <t xml:space="preserve">SALE of Gas-Residential - the purpose of this Adjustment is to reflect the normalization of volumes </t>
  </si>
  <si>
    <t xml:space="preserve">SALE of Gas-Commercial - the purpose of this Adjustment is to reflect the normalization of volumes </t>
  </si>
  <si>
    <t>SALE of Gas-Industrial - the purpose of this Adjustment is to reflect known and measurable changes,</t>
  </si>
  <si>
    <t xml:space="preserve">SALE of Gas-Public Authority - The purpose of this Adjustment is to reflect the normalization of </t>
  </si>
  <si>
    <t>revenues for the base period.</t>
  </si>
  <si>
    <t xml:space="preserve">Revenue from Transportation  - the purpose of this Adjustment is to reflect known and measurable </t>
  </si>
  <si>
    <t xml:space="preserve">Forfeited discounts - the purpose of this adjustment is to reflect anticipated changes in the billed late </t>
  </si>
  <si>
    <t>payment fees from the base period to the test year.</t>
  </si>
  <si>
    <t xml:space="preserve">Benefits are projected as a fixed benefit load percentage of labor expense plus an amount for workers’ comp </t>
  </si>
  <si>
    <t>insurance.  This adjustment pertains to labor and benefits for Kentucky operations.</t>
  </si>
  <si>
    <t>Rent, Maintenance and Utilities - The purpose of this adjustment is to account for forecasted rent, maintenance</t>
  </si>
  <si>
    <t xml:space="preserve">and utilities.  Unlike other O&amp;M categories that are likely to increase with normal inflation, our building rents are  </t>
  </si>
  <si>
    <t xml:space="preserve">driven by leases already in place and can therefore be projected with a high level of accuracy.  The rent portion </t>
  </si>
  <si>
    <t>for Kentucky operations.</t>
  </si>
  <si>
    <t>of this O&amp;M category was projected by reviewing actual lease amounts.  This adjustment pertains to expenses</t>
  </si>
  <si>
    <t xml:space="preserve">Other O&amp;M - The purpose of this adjustment is to account for projected changes in O&amp;M expenses other than </t>
  </si>
  <si>
    <t xml:space="preserve">Bad Debt - The purpose of this adjustment is to account for anticipated bad debt costs due to uncollectible </t>
  </si>
  <si>
    <t xml:space="preserve">accounts.  The projection is made by calculating 0.50% of residential, commercial and public authority  </t>
  </si>
  <si>
    <t xml:space="preserve">Costs allocated from Shared Services and Kentucky-Mid States General Office - The purpose of this </t>
  </si>
  <si>
    <t xml:space="preserve">adjustment is to account for the forecasted amount of expenses that are allocated to Kentucky from the   </t>
  </si>
  <si>
    <t>Shared Services Unit and Division General Office.</t>
  </si>
  <si>
    <t>Schedule F-4</t>
  </si>
  <si>
    <t>F-9</t>
  </si>
  <si>
    <t>931 A&amp;G-Rents</t>
  </si>
  <si>
    <t>920 Administrative and General Salaries</t>
  </si>
  <si>
    <t>COMMITMENT FEE</t>
  </si>
  <si>
    <t>No. (s)</t>
  </si>
  <si>
    <t xml:space="preserve">Account No. </t>
  </si>
  <si>
    <t>NOTE:  This amount is included on ratemaking adjustments on Schedule C-2 and therefore excluded from the Revenue Requirements.</t>
  </si>
  <si>
    <t>A&amp;G-Administrative &amp; General Salaries</t>
  </si>
  <si>
    <t>Total Forecasted Period</t>
  </si>
  <si>
    <t>Unbilled Residential</t>
  </si>
  <si>
    <t>Unbilled Commercial</t>
  </si>
  <si>
    <t>Unbilled Public Authority</t>
  </si>
  <si>
    <t>Unbilled Residential Revenue</t>
  </si>
  <si>
    <t>Unbilled Comm Revenue</t>
  </si>
  <si>
    <t>Unbilled Public Authority Revenue</t>
  </si>
  <si>
    <t>Annualized Amortization of Debt Exp. &amp; Debt Dsct.</t>
  </si>
  <si>
    <t>Less Unamortized Debt Discount</t>
  </si>
  <si>
    <t>Total Plant  (Div 91)</t>
  </si>
  <si>
    <t>Total Plant  (Div 9)</t>
  </si>
  <si>
    <t>Total General Plant  (Div 2)</t>
  </si>
  <si>
    <t>Total General Plant  (Div 12)</t>
  </si>
  <si>
    <t>39103-Office Furn. - Copiers &amp; Type</t>
  </si>
  <si>
    <t>Total Depr Reserves  (Div 9)</t>
  </si>
  <si>
    <t>Total Depr Reserves  (Div 2)</t>
  </si>
  <si>
    <t>Total Depr Reserves  (Div 12)</t>
  </si>
  <si>
    <t>Total Depr Reserves  (Div 91)</t>
  </si>
  <si>
    <t>Ending</t>
  </si>
  <si>
    <t>12 Months</t>
  </si>
  <si>
    <t>Total Depreciation Expense  (Div 91)</t>
  </si>
  <si>
    <t>Total Depreciation Expense  (Div 9)</t>
  </si>
  <si>
    <t>Total Depreciation Expense  (Div 2)</t>
  </si>
  <si>
    <t>Total Depreciation Expense  (Div 12)</t>
  </si>
  <si>
    <t>Total General Plant Depr</t>
  </si>
  <si>
    <t>Total Distribution Plant Depr</t>
  </si>
  <si>
    <t>Total Intangible Plant Depr</t>
  </si>
  <si>
    <t>Total Storage Plant Depr</t>
  </si>
  <si>
    <t>Total Production Plant - (LPG)  Depr</t>
  </si>
  <si>
    <t>Total Natural Gas Production Plant Depr</t>
  </si>
  <si>
    <t>Total Intangible Plant Amort.</t>
  </si>
  <si>
    <t>Maintenance of other equipment</t>
  </si>
  <si>
    <t>Communication system expenses</t>
  </si>
  <si>
    <t>Transmission-Maintenance of compressor sta equipment</t>
  </si>
  <si>
    <t>Distribution-Compressor station labor and expenses</t>
  </si>
  <si>
    <t>Unbilled Industrial Revenue</t>
  </si>
  <si>
    <t xml:space="preserve">Depreciation  Expense - The purpose of this adjustment is to reflect the change in </t>
  </si>
  <si>
    <t>Production and gathering-Other</t>
  </si>
  <si>
    <t>Unbilled Industrial</t>
  </si>
  <si>
    <t>Total Transmission Plant</t>
  </si>
  <si>
    <t>Occupational Licenses</t>
  </si>
  <si>
    <t>Dot Transmission User Tax</t>
  </si>
  <si>
    <t>Rate of Return on Equity</t>
  </si>
  <si>
    <t>SSU</t>
  </si>
  <si>
    <t>Billing</t>
  </si>
  <si>
    <t>Adjs</t>
  </si>
  <si>
    <t>Schedule F-10</t>
  </si>
  <si>
    <t>Div</t>
  </si>
  <si>
    <t>Category</t>
  </si>
  <si>
    <t>Totals</t>
  </si>
  <si>
    <t>Variable Pay &amp; Management Incentive Plans</t>
  </si>
  <si>
    <t>VPP &amp; MIP</t>
  </si>
  <si>
    <t>Restricted Stock Plans</t>
  </si>
  <si>
    <t>Total Allocated Restricted Stock Plans</t>
  </si>
  <si>
    <t>Total Allocated VPP &amp; MIP Plans</t>
  </si>
  <si>
    <t>Grand Total Allocated Expense</t>
  </si>
  <si>
    <t>INCENTIVE COMPENSATION EXPENSE</t>
  </si>
  <si>
    <t>F-10</t>
  </si>
  <si>
    <t>RSU-LTIP - Performance Based</t>
  </si>
  <si>
    <t>CHARITABLE CONTRIBUTIONS</t>
  </si>
  <si>
    <t>TEST PERIOD</t>
  </si>
  <si>
    <t xml:space="preserve">Misc Service Revenues - the purpose of this adjustment is to reflect modest reduction in service charge </t>
  </si>
  <si>
    <t>837 Maintenance of other equipment</t>
  </si>
  <si>
    <t>852 Communication system expenses</t>
  </si>
  <si>
    <t>Total General Plant Reserves</t>
  </si>
  <si>
    <t>Total Distribution Plant Reserves</t>
  </si>
  <si>
    <t>Total Production Plant - LPG Reserves</t>
  </si>
  <si>
    <t>Total Storage Plant Reserves</t>
  </si>
  <si>
    <t>Total Natural Gas Production Plant Reserves</t>
  </si>
  <si>
    <t>Total Intangible Plant Reserves</t>
  </si>
  <si>
    <t>Commercial Revenue</t>
  </si>
  <si>
    <t>Industrial Revenue</t>
  </si>
  <si>
    <t>4060</t>
  </si>
  <si>
    <t>Field measuring and regulating station expenses</t>
  </si>
  <si>
    <t>39924-Oth Tang Prop - Gen.</t>
  </si>
  <si>
    <t>* Standby Pay included in regular hours and dollars</t>
  </si>
  <si>
    <t>855 Other Fuel &amp; Power Comp</t>
  </si>
  <si>
    <t>Other fuel and power for Compression</t>
  </si>
  <si>
    <t>Other fuel &amp; power for compression</t>
  </si>
  <si>
    <t>Other Fuel &amp; Power for Compression</t>
  </si>
  <si>
    <t>Transmission-Maintenance of me - Non-Inventory Supplies 8650-02005</t>
  </si>
  <si>
    <t>FR 16(8)(a)</t>
  </si>
  <si>
    <t>FR 16(8)(b)</t>
  </si>
  <si>
    <t>FR 16(8)(c)</t>
  </si>
  <si>
    <t>FR 16(8)(d)</t>
  </si>
  <si>
    <t>FR 16(8)(e)</t>
  </si>
  <si>
    <t>FR 16(8)(f)</t>
  </si>
  <si>
    <t>FR 16(8)(g)</t>
  </si>
  <si>
    <t>FR 16(8)(h)</t>
  </si>
  <si>
    <t>FR 16(8)(i)</t>
  </si>
  <si>
    <t>FR 16(8)(j)</t>
  </si>
  <si>
    <t>FR 16(8)(k)</t>
  </si>
  <si>
    <t>FR 16(8)(b)                 SCHEDULE B</t>
  </si>
  <si>
    <t>FR 16(8)(b)1</t>
  </si>
  <si>
    <t>FR 16(8)(b)2</t>
  </si>
  <si>
    <t>FR 16(8)(b)3</t>
  </si>
  <si>
    <t>FR 16(8)(b)3.1</t>
  </si>
  <si>
    <t>FR 16(8)(b)4</t>
  </si>
  <si>
    <t>FR 16(8)(b)4.1</t>
  </si>
  <si>
    <t>FR 16(8)(b)4.2</t>
  </si>
  <si>
    <t>FR 16(8)(b)5</t>
  </si>
  <si>
    <t>FR 16(8)(b)6</t>
  </si>
  <si>
    <t>FR 16(8)(c)                 SCHEDULE C</t>
  </si>
  <si>
    <t>FR 16(8)(c)1</t>
  </si>
  <si>
    <t>FR 16(8)(c)2</t>
  </si>
  <si>
    <t>FR 16(8)(c)2.1</t>
  </si>
  <si>
    <t>FR 16(8)(c)2.2</t>
  </si>
  <si>
    <t>FR 16(8)(c)2.3</t>
  </si>
  <si>
    <t>FR 16(8)(d)                 SCHEDULE D</t>
  </si>
  <si>
    <t>FR 16(8)(d)1</t>
  </si>
  <si>
    <t>FR 16(8)(d)2.1</t>
  </si>
  <si>
    <t>FR 16(8)(d)2.2</t>
  </si>
  <si>
    <t>FR 16(8)(d)2.3</t>
  </si>
  <si>
    <t>FR 16(8)(e)                 SCHEDULE E</t>
  </si>
  <si>
    <t>FR 16(8)(f)                 SCHEDULE F</t>
  </si>
  <si>
    <t>FR 16(8)(i)1</t>
  </si>
  <si>
    <t>FR 16(8)(i)2</t>
  </si>
  <si>
    <t>FR 16(8)(i)3</t>
  </si>
  <si>
    <t>Change in NOLC</t>
  </si>
  <si>
    <t>Amortization Expense</t>
  </si>
  <si>
    <t>(13 Month Average)</t>
  </si>
  <si>
    <t xml:space="preserve">Calculation of Change in NOLC </t>
  </si>
  <si>
    <t>(from 13-month average Base Period to 13-month average Forecasted Period</t>
  </si>
  <si>
    <t>13-month average Rate Base</t>
  </si>
  <si>
    <t>Forecasted Test Period</t>
  </si>
  <si>
    <t>B.1 F</t>
  </si>
  <si>
    <t>Required Operating Income</t>
  </si>
  <si>
    <t>A.1</t>
  </si>
  <si>
    <t>E.1</t>
  </si>
  <si>
    <t>Return on Equity Portion of Rate Base</t>
  </si>
  <si>
    <t>Return, grossed up for Income Tax</t>
  </si>
  <si>
    <t>B.1 F; B.1 B</t>
  </si>
  <si>
    <t>13-Month Average ADIT, Forecasted Period, excl, Change in NOLC</t>
  </si>
  <si>
    <t>Total Required Change in Accumulated Deferred Income Taxes</t>
  </si>
  <si>
    <t>ADIT Reconciliation</t>
  </si>
  <si>
    <t>Change In ADIT, excluding forecasted change in NOLC</t>
  </si>
  <si>
    <t>Required Change in NOLC</t>
  </si>
  <si>
    <t>Forecasted Change in NOLC</t>
  </si>
  <si>
    <t>Forecasted 13-month Average ADIT in Rate Base</t>
  </si>
  <si>
    <t>Tax Expense on Return</t>
  </si>
  <si>
    <t>B.5 B</t>
  </si>
  <si>
    <r>
      <t>Total Required Change in Accumulated Deferred Income Taxes</t>
    </r>
    <r>
      <rPr>
        <b/>
        <vertAlign val="superscript"/>
        <sz val="8.4"/>
        <rFont val="Helvetica-Narrow"/>
      </rPr>
      <t>1</t>
    </r>
  </si>
  <si>
    <r>
      <rPr>
        <i/>
        <vertAlign val="superscript"/>
        <sz val="8.4"/>
        <rFont val="Helvetica-Narrow"/>
      </rPr>
      <t>1</t>
    </r>
    <r>
      <rPr>
        <i/>
        <sz val="12"/>
        <rFont val="Helvetica-Narrow"/>
      </rPr>
      <t>Because the Company is in a NOLC position, the total change in ADIT must equal the tax expenses included in revenue requirement</t>
    </r>
  </si>
  <si>
    <t xml:space="preserve">      (excluding forecasted change in NOLC)</t>
  </si>
  <si>
    <t>Line 71 - Line 67</t>
  </si>
  <si>
    <t>Line 37</t>
  </si>
  <si>
    <t>Line 39</t>
  </si>
  <si>
    <t>line 50 - line 52</t>
  </si>
  <si>
    <t>Line 56 x tax rate</t>
  </si>
  <si>
    <t>Line 54 / (1-tax rate)</t>
  </si>
  <si>
    <t>Line 37; B.5 B</t>
  </si>
  <si>
    <t>13 Month Average Capital Structure</t>
  </si>
  <si>
    <t>Capital Structure</t>
  </si>
  <si>
    <t>6.75% Debentures Unsecured due July 2028</t>
  </si>
  <si>
    <t>6.67% MTN A1 due Dec 2025</t>
  </si>
  <si>
    <t>5.95% Sr Note due 10/15/2034</t>
  </si>
  <si>
    <t>Sr Note 5.50% Due 06/15/2041</t>
  </si>
  <si>
    <t>4.15% Sr Note due 1/15/2043</t>
  </si>
  <si>
    <t>Incentive Compensation Expense</t>
  </si>
  <si>
    <t>This adjustment pertains to expenses for Kentucky operations.</t>
  </si>
  <si>
    <t>Labor and Benefits - The purpose of this adjustment is to account for forecasted labor and benefits expense</t>
  </si>
  <si>
    <t>due primarily to adjustments to labor capitalization rate versus the base period.</t>
  </si>
  <si>
    <t xml:space="preserve">Other gas service revenues - the purpose of this adjustment is to reflect pro forma adjustments for </t>
  </si>
  <si>
    <t>individual customers and special contract reformations</t>
  </si>
  <si>
    <t>margins from the revenues projection.</t>
  </si>
  <si>
    <t xml:space="preserve">labor, benefits, rent, and bad debt.  </t>
  </si>
  <si>
    <t xml:space="preserve">*Test Period ending ADIT balance does not include forecasted change in NOLC.  Forecasted change in NOLC is calculated on B.5F on a 13 month average basis only and included in rate base and revenue requirement.  </t>
  </si>
  <si>
    <t>Gas Purchase Costs - The purpose of this Adjustment is to reflect the purchase quantities</t>
  </si>
  <si>
    <t>Communication Equip.</t>
  </si>
  <si>
    <t>Servers Hardware</t>
  </si>
  <si>
    <t>Servers Software</t>
  </si>
  <si>
    <t>Office Furniture And</t>
  </si>
  <si>
    <t>Struct &amp; Improv AEAM</t>
  </si>
  <si>
    <t>Improv-Leased AEAM</t>
  </si>
  <si>
    <t>Off Furn &amp; Equip-AEAM</t>
  </si>
  <si>
    <t>Tools And Garage-AEAM</t>
  </si>
  <si>
    <t>Commun Equip AEAM</t>
  </si>
  <si>
    <t>Misc Equip - AEAM</t>
  </si>
  <si>
    <t>Servers-Hardware-AEAM</t>
  </si>
  <si>
    <t>Servers-Software-AEAM</t>
  </si>
  <si>
    <t>Network Hardware-AEAM</t>
  </si>
  <si>
    <t>Remittance Processing</t>
  </si>
  <si>
    <t>CKV-Office Furn &amp; Eq</t>
  </si>
  <si>
    <t>CKV-Transportation Eq</t>
  </si>
  <si>
    <t>CKV-Tools Shop Garage</t>
  </si>
  <si>
    <t>CKV-Laboratory Equip</t>
  </si>
  <si>
    <t>CKV-Misc Equipment</t>
  </si>
  <si>
    <t>CKV-Oth Tang Prop-App</t>
  </si>
  <si>
    <t>Oth Tang Prop - Gen.</t>
  </si>
  <si>
    <t>Pc Hardware-AEAM</t>
  </si>
  <si>
    <t>Application SW-AEAM</t>
  </si>
  <si>
    <t>ALGN-Servers-Hardware</t>
  </si>
  <si>
    <t>ALGN-Servers-Software</t>
  </si>
  <si>
    <t>ALGN-Application SW</t>
  </si>
  <si>
    <t>38900-Land &amp; Land Rights</t>
  </si>
  <si>
    <t>39000-Structures &amp; Improvements</t>
  </si>
  <si>
    <t>39002-Structures - Brick</t>
  </si>
  <si>
    <t>39003-Improvements</t>
  </si>
  <si>
    <t>39004-Air Conditioning Equipment</t>
  </si>
  <si>
    <t>39009-Improv. to Leased Premises</t>
  </si>
  <si>
    <t>39100-Office Furniture &amp; Equipment</t>
  </si>
  <si>
    <t>39200-Transportation Equipment</t>
  </si>
  <si>
    <t>39202-WKG Trailers</t>
  </si>
  <si>
    <t>39400-Tools, Shop, &amp; Garage Equip.</t>
  </si>
  <si>
    <t>39603-Ditchers</t>
  </si>
  <si>
    <t>39604-Backhoes</t>
  </si>
  <si>
    <t>39605-Welders</t>
  </si>
  <si>
    <t>39700-Communication Equipment</t>
  </si>
  <si>
    <t>39705-Comm. Equip. - Telemetering</t>
  </si>
  <si>
    <t>39800-Miscellaneous Equipment</t>
  </si>
  <si>
    <t>39903-Oth Tang Prop - Network - H/W</t>
  </si>
  <si>
    <t>39906-Oth Tang Prop - PC Hardware</t>
  </si>
  <si>
    <t>39907-Oth Tang Prop - PC Software</t>
  </si>
  <si>
    <t>39908-Oth Tang Prop - Appl Software</t>
  </si>
  <si>
    <t>39001-Structures - Frame</t>
  </si>
  <si>
    <t>39200-Trans Equip- Group</t>
  </si>
  <si>
    <t>39600-Power Operated Equipment</t>
  </si>
  <si>
    <t>39900-Other Tangible Property</t>
  </si>
  <si>
    <t>39901-Oth Tang Prop - Servers - H/W</t>
  </si>
  <si>
    <t>39902-Oth Tang Prop - Servers - S/W</t>
  </si>
  <si>
    <t>39005-G-Structures &amp; Improvements</t>
  </si>
  <si>
    <t>39102-Remittance Processing Equipment</t>
  </si>
  <si>
    <t>39104-G-Office Furniture &amp; Equip.</t>
  </si>
  <si>
    <t>39300-Stores Equipment</t>
  </si>
  <si>
    <t>39500-Laboratory Equipment</t>
  </si>
  <si>
    <t>39900-Other Tangible Equipm</t>
  </si>
  <si>
    <t>39904-Oth Tang Prop - CPU</t>
  </si>
  <si>
    <t>39905-Oth Tang Prop - MF Hardware</t>
  </si>
  <si>
    <t>39909-Oth Tang Prop - Mainframe S/W</t>
  </si>
  <si>
    <t>38900-Land</t>
  </si>
  <si>
    <t>38910-CKV-Land &amp; Land Rights</t>
  </si>
  <si>
    <t>39010-CKV-Structures &amp; Improvements</t>
  </si>
  <si>
    <t>39710-CKV-Communication Equipment</t>
  </si>
  <si>
    <t>39910-CKV-Other Tangible Property</t>
  </si>
  <si>
    <t>39916-CKV-Oth Tang Prop-PC Hardware</t>
  </si>
  <si>
    <t>39917-CKV-Oth Tang Prop-PC Software</t>
  </si>
  <si>
    <t>RWIP</t>
  </si>
  <si>
    <t>AEAM</t>
  </si>
  <si>
    <t>ALGN</t>
  </si>
  <si>
    <t>Less Unamortized Debt Expenses</t>
  </si>
  <si>
    <t>COMMITMENT FEE &amp; BANK ADMIN</t>
  </si>
  <si>
    <t>Donations</t>
  </si>
  <si>
    <t xml:space="preserve">  SERP</t>
  </si>
  <si>
    <t xml:space="preserve">  FICA/FUTA/SUTA</t>
  </si>
  <si>
    <t>changes in gas costs between the periods.</t>
  </si>
  <si>
    <t xml:space="preserve">SVP, CFO </t>
  </si>
  <si>
    <t>for sales service.  The Base Period includes Unbilled Gas Costs that will zero out by the end</t>
  </si>
  <si>
    <t xml:space="preserve">changes in demand for existing industries and account for migration to/from transportation service </t>
  </si>
  <si>
    <t>increases and reductions, shifts from base period to test year and</t>
  </si>
  <si>
    <t>Deferred Liablity Amortization</t>
  </si>
  <si>
    <t>ADIT Excess Deferred Liabilities</t>
  </si>
  <si>
    <t>Regulatory Assets / Liabilities</t>
  </si>
  <si>
    <t>Regulatory Assets / Liabilities*</t>
  </si>
  <si>
    <t>Sales-Miscellaneous sales expenses</t>
  </si>
  <si>
    <t>Provision for Rate Refunds</t>
  </si>
  <si>
    <t>Amortization of Excess ADIT</t>
  </si>
  <si>
    <t>Regulatory Liability Balance</t>
  </si>
  <si>
    <t>Mains - Anodes</t>
  </si>
  <si>
    <t>Mains - Leak Clamps</t>
  </si>
  <si>
    <t>SSU Direct O&amp;M</t>
  </si>
  <si>
    <t>O&amp;M Comparison</t>
  </si>
  <si>
    <t>Maintenance Supervision and Engineering</t>
  </si>
  <si>
    <t>Mains Expenses</t>
  </si>
  <si>
    <t>002</t>
  </si>
  <si>
    <t>Directors Retirement Expenses - 04113</t>
  </si>
  <si>
    <t>Budget Sub Account</t>
  </si>
  <si>
    <t>Amortization</t>
  </si>
  <si>
    <t xml:space="preserve">Depreciation </t>
  </si>
  <si>
    <t>2017-00349 O&amp;M Adjustments</t>
  </si>
  <si>
    <t>Removal of Retirement Benefits</t>
  </si>
  <si>
    <t xml:space="preserve">Three (3) Year Amortization of Rate Case Expenses </t>
  </si>
  <si>
    <t>Avg ADIT, Base Period</t>
  </si>
  <si>
    <t>Lead/Lag Study</t>
  </si>
  <si>
    <t>012</t>
  </si>
  <si>
    <t>009</t>
  </si>
  <si>
    <t>091</t>
  </si>
  <si>
    <t xml:space="preserve">Payroll </t>
  </si>
  <si>
    <t>Payroll</t>
  </si>
  <si>
    <t>due to cold weather in base period, and changes in gas costs between the periods</t>
  </si>
  <si>
    <t>volumes due to cold weather in base period, and changes in gas costs between the periods</t>
  </si>
  <si>
    <t>primarily due to lower estimated GCA price</t>
  </si>
  <si>
    <t>(1) Based on fiscal year-end of parent company, except for Base Period &amp; Test Period which are based on Atmos Energy Corporation, Kentucky.  Return calculations cannot be used for revenue requirement purposes</t>
  </si>
  <si>
    <t>Thirteen Month Average as of September 30, 2022</t>
  </si>
  <si>
    <t>4.3% Sr Note due 10/1/2048</t>
  </si>
  <si>
    <t>4.125% Sr Note due 10/15/2044 (500MM(2014) &amp; 250MM(2017)</t>
  </si>
  <si>
    <t>3.00% Sr Note due 6/15/2027</t>
  </si>
  <si>
    <t>4.125% Sr Note due 3/15/49</t>
  </si>
  <si>
    <t xml:space="preserve">2.625% Sr Notes Due 2029 </t>
  </si>
  <si>
    <t xml:space="preserve">3.375% Sr Notes Due 2049 </t>
  </si>
  <si>
    <t xml:space="preserve">1.500% Sr Notes Due 2031 </t>
  </si>
  <si>
    <t>OM for KY-2021.xlsx</t>
  </si>
  <si>
    <t>projected</t>
  </si>
  <si>
    <t>SSU TB BS &amp; IS end Mar-21_DIV 002 &amp; DIV 012 IS Activity.xlsx</t>
  </si>
  <si>
    <t>Income Statement_Report-9220 Accts - end Mar-21.xlsx</t>
  </si>
  <si>
    <t>Gas Cost by FERC-end Mar-21.xlsx</t>
  </si>
  <si>
    <t>Balance Sheet_Report-Misc BS Accts_with projections.xlsx</t>
  </si>
  <si>
    <t>F.6 Schedule Rate Case Expenses - 2019.2020.xlsx</t>
  </si>
  <si>
    <t>DATA SOURCES:</t>
  </si>
  <si>
    <t>(000s)</t>
  </si>
  <si>
    <t>SOURCE:</t>
  </si>
  <si>
    <t>SOURCES:</t>
  </si>
  <si>
    <t>DATA SOURCE:</t>
  </si>
  <si>
    <t>(3) No longer required to provide Computation of Earnings to Fixed charges in SEC filings.</t>
  </si>
  <si>
    <t xml:space="preserve">  SEC Coverage (3)</t>
  </si>
  <si>
    <t xml:space="preserve">  After Tax Fixed Charge Coverage (3)</t>
  </si>
  <si>
    <t>Witness: Christian</t>
  </si>
  <si>
    <t>F-11</t>
  </si>
  <si>
    <t>F-12</t>
  </si>
  <si>
    <t>Schedule F-12</t>
  </si>
  <si>
    <t>Misc Regulatory Liabilities</t>
  </si>
  <si>
    <t>Payroll Taxes Expense Adjustment</t>
  </si>
  <si>
    <t>Adjustment %</t>
  </si>
  <si>
    <t>Adjusted Amount</t>
  </si>
  <si>
    <t xml:space="preserve"> 2021 * * Composite Tax Rate Calculation:  5.00% + 21%(100% - 5.00%)  =  24.95%</t>
  </si>
  <si>
    <t>NOTE: CWIP is excluded</t>
  </si>
  <si>
    <t>Regulatory Liabilities</t>
  </si>
  <si>
    <t>(13-Month Avg)</t>
  </si>
  <si>
    <t>Total Regulatory Liabilities</t>
  </si>
  <si>
    <t>Balance (13-Mo.)</t>
  </si>
  <si>
    <t>Amortization of COS and Depreciation Reserves</t>
  </si>
  <si>
    <t>Regulatory Liability</t>
  </si>
  <si>
    <t>Depreciation Reserve 2540-27913</t>
  </si>
  <si>
    <t>Revenue Requirements (line 12 plus line 13)</t>
  </si>
  <si>
    <t>WP B.5 B1, WP B.5 F1</t>
  </si>
  <si>
    <t>WP B-5 B1; F-6</t>
  </si>
  <si>
    <t>WP B-5 F1; F-6</t>
  </si>
  <si>
    <t>Deferred Income Taxes and Investment Tax Credits</t>
  </si>
  <si>
    <t>Wtd Avg</t>
  </si>
  <si>
    <t>SERP Expense</t>
  </si>
  <si>
    <t>SERP EXPENSE</t>
  </si>
  <si>
    <t>SERP Expense Adjustment</t>
  </si>
  <si>
    <t>Links to schedule C.2</t>
  </si>
  <si>
    <t>F-1, F-6, F-8, F-9, F-10, F-11</t>
  </si>
  <si>
    <t>Most Recent Five Years*</t>
  </si>
  <si>
    <t>Prorated</t>
  </si>
  <si>
    <t>Full Amortization Schedule</t>
  </si>
  <si>
    <t>Beginning Regulatory Liability</t>
  </si>
  <si>
    <t>Accelerated Unprotected</t>
  </si>
  <si>
    <t>Protected</t>
  </si>
  <si>
    <t>Unprotected</t>
  </si>
  <si>
    <t>New Rate Set</t>
  </si>
  <si>
    <t>Total Reg Liability</t>
  </si>
  <si>
    <t>First Change in Rates</t>
  </si>
  <si>
    <t>Test Period Ending Balance</t>
  </si>
  <si>
    <t>Test Period 13-Month Balance</t>
  </si>
  <si>
    <t>Test Period Amort. Expense</t>
  </si>
  <si>
    <t>* The Payroll System accumulates data most readily on a fiscal year basis (Oct. 1 - Sept. 30) rather than calendar basis.  However, data presented here on calendar year basis.</t>
  </si>
  <si>
    <t xml:space="preserve">of the base period when replaced by actuals.  Gas costs in the Forecasted Period are higher </t>
  </si>
  <si>
    <t xml:space="preserve">   (1)  Interest Rate is the actual average rate for 12 Months Ended March 31, 2021</t>
  </si>
  <si>
    <t>President and CEO</t>
  </si>
  <si>
    <t>Rate Strike Difference</t>
  </si>
  <si>
    <t>Subtotal (line 8 plus line 9 plus line 10)</t>
  </si>
  <si>
    <t>this links to C.2 and B.1 F for a ratemaking adjustment</t>
  </si>
  <si>
    <t>Account 1560- Other Materials and Supplies</t>
  </si>
  <si>
    <t>Meter and House Regulator Expenses</t>
  </si>
  <si>
    <t>as of June 30, 2024</t>
  </si>
  <si>
    <t xml:space="preserve">   (1)  Interest Rate is the actual average rate for 12 Months Ended June 30, 2024</t>
  </si>
  <si>
    <t xml:space="preserve">2.850% Sr Notes Due 2052 </t>
  </si>
  <si>
    <t>5.450% Sr Notes Due 2032</t>
  </si>
  <si>
    <t>5.750% Sr Notes Due 2052</t>
  </si>
  <si>
    <t>5.900% Sr Notes Due 2033 400MM(2023)&amp; 325MM(2024)</t>
  </si>
  <si>
    <t>6.200% Sr Notes Due 2053</t>
  </si>
  <si>
    <t>For Forecast, reflects balance outstanding for 13 months in 13-month average rather than 9 months for Base; large issuance in June 2024</t>
  </si>
  <si>
    <t>For Forecast, reflects balance outstanding for 13 months in 13-month average rather than 9 months for Base</t>
  </si>
  <si>
    <t xml:space="preserve">SVP, Utility Operations </t>
  </si>
  <si>
    <t xml:space="preserve">SVP, General Counsel &amp; Corporate Secretary </t>
  </si>
  <si>
    <t>SVP, Human Resources</t>
  </si>
  <si>
    <t xml:space="preserve">Kentucky Jurisdiction Case No. 2024-00276 </t>
  </si>
  <si>
    <t>Sales-Advertising expenses - Contract Labor</t>
  </si>
  <si>
    <t>Customer service-Miscellaneous - Building Maintenance</t>
  </si>
  <si>
    <t>Miscellaneous general expenses - Misc General Expense</t>
  </si>
  <si>
    <t xml:space="preserve">Sales-Miscellaneous sales expe - Customer Relations &amp; Assist </t>
  </si>
  <si>
    <t>Customer accounts-Meter readin - Non-project Labor</t>
  </si>
  <si>
    <t>ck fig</t>
  </si>
  <si>
    <t>KY Plant Data-2024.xlsx</t>
  </si>
  <si>
    <t>Forecasted Test Period End</t>
  </si>
  <si>
    <t>KY Reg Liability Summary.xlsx</t>
  </si>
  <si>
    <t>KY Revenue  Billing Unit Forecast TYE 6.30.2024.xlsx</t>
  </si>
  <si>
    <t>Depreciation Study - N. Allis</t>
  </si>
  <si>
    <t>Cost of Capital - D'Ascendis</t>
  </si>
  <si>
    <t>Allocated to Kentucky Jurisdiction (Div 009)</t>
  </si>
  <si>
    <t>ADJ</t>
  </si>
  <si>
    <t>Other Working Capital Allowances (Inventory)</t>
  </si>
  <si>
    <t xml:space="preserve">     (J. Hughes/A. Honaker)</t>
  </si>
  <si>
    <t>WTW Adjustment (1)</t>
  </si>
  <si>
    <t>Link to CWC Model:</t>
  </si>
  <si>
    <t>Synronization to WP B</t>
  </si>
  <si>
    <t>B.4 B</t>
  </si>
  <si>
    <t>Base Period CWC</t>
  </si>
  <si>
    <t>Forecast Period CWC</t>
  </si>
  <si>
    <t>B.4 F</t>
  </si>
  <si>
    <t>Check formula (s/b $0)</t>
  </si>
  <si>
    <t>Base Period Ad Valorem - Accrual</t>
  </si>
  <si>
    <t>Adjusted Base Period Ad Valorem</t>
  </si>
  <si>
    <t>C.2.3 B</t>
  </si>
  <si>
    <t>Ending Base Period Gross Plant</t>
  </si>
  <si>
    <t>B.2 B</t>
  </si>
  <si>
    <t>Ad Valorem Rate</t>
  </si>
  <si>
    <t>Ending Forecasted Period Gross Plant</t>
  </si>
  <si>
    <t>B.2 F</t>
  </si>
  <si>
    <t>Forecasted Period Ad Valorem - Accrual</t>
  </si>
  <si>
    <t>Base Period: Twelve Months Ended December 31, 2024</t>
  </si>
  <si>
    <t>Forecasted Test Period:  Twelve Months Ended March 31, 2026</t>
  </si>
  <si>
    <r>
      <t xml:space="preserve">Ad Valorem Recovered in PRP Rates </t>
    </r>
    <r>
      <rPr>
        <sz val="11"/>
        <rFont val="Helvetica-Narrow"/>
      </rPr>
      <t>CASE NO. 2023-00231</t>
    </r>
  </si>
  <si>
    <r>
      <t xml:space="preserve">Remove non-recurring adjustment </t>
    </r>
    <r>
      <rPr>
        <vertAlign val="superscript"/>
        <sz val="10.199999999999999"/>
        <rFont val="Helvetica-Narrow"/>
      </rPr>
      <t>(1)</t>
    </r>
  </si>
  <si>
    <r>
      <t xml:space="preserve">Note:  </t>
    </r>
    <r>
      <rPr>
        <vertAlign val="superscript"/>
        <sz val="9.35"/>
        <rFont val="Helvetica-Narrow"/>
      </rPr>
      <t xml:space="preserve">1) </t>
    </r>
    <r>
      <rPr>
        <sz val="11"/>
        <rFont val="Helvetica-Narrow"/>
        <family val="2"/>
      </rPr>
      <t>Adjustment to remove non-recurring true-up in Feb 2024 related to prior years settlement (2020-2022).</t>
    </r>
  </si>
  <si>
    <t>Ad Valorem Accrual Forecast</t>
  </si>
  <si>
    <t>Protected Balance and Amortization Only</t>
  </si>
  <si>
    <t>2023 KY ADIT Actuals and 2026 updated projection 9-12-24.xlsx</t>
  </si>
  <si>
    <t>Witness: Waller</t>
  </si>
  <si>
    <t>Witness: Waller, Multer</t>
  </si>
  <si>
    <t>WP B.4.1 F</t>
  </si>
  <si>
    <t>Type of Filing:___X___Original________Updated ________Revised</t>
  </si>
  <si>
    <t>Data:___X___Base Period___X___Forecasted Period</t>
  </si>
  <si>
    <t>Data:______Base Period___X___Forecasted Period</t>
  </si>
  <si>
    <t>(4) The high cost of short-term debt for 2020 and more recent years is due to fixed commitment fees and low short-term borrowings.</t>
  </si>
  <si>
    <t>Costs of Capital: (4)</t>
  </si>
  <si>
    <t>Witness: Wiebe, Christian, Waller</t>
  </si>
  <si>
    <r>
      <t>WTW Adjustment</t>
    </r>
    <r>
      <rPr>
        <vertAlign val="superscript"/>
        <sz val="12"/>
        <rFont val="Helvetica-Narrow"/>
      </rPr>
      <t>1</t>
    </r>
  </si>
  <si>
    <t>Note: 1.  This amount relates to the reclass of depreciaiton and amortization expense due to the Willis Towers Watson identified adjustment during years 2018-2021.  This amount began being amortized in November 2021 and will continue for 5 years.</t>
  </si>
  <si>
    <t>Accounts 2530 - 27909, 2420 - 27909</t>
  </si>
  <si>
    <t>Waller</t>
  </si>
  <si>
    <t>Witness:  Waller</t>
  </si>
  <si>
    <t>Witness: Wiebe, Waller, Troup</t>
  </si>
  <si>
    <t>Witness: Wiebe; Waller</t>
  </si>
  <si>
    <t>Fiscal Year</t>
  </si>
  <si>
    <t>Includes 5 Officers</t>
  </si>
  <si>
    <t>Witness: Christian, Waller</t>
  </si>
  <si>
    <t>Witness: Waller, Wiebe, Troup</t>
  </si>
  <si>
    <t>Gas Storage 2024.xlsx</t>
  </si>
  <si>
    <t>Balance Sheet_Report-Misc BS Accts_with projections 2024.xlsx</t>
  </si>
  <si>
    <t>KY ADIT - EDIT Tax Update June 2024.xlsx</t>
  </si>
  <si>
    <t>Balance Sheet_Report-AIC Accts_w projections 2024.xlsx</t>
  </si>
  <si>
    <t>KMD Trial Balance - Jun''23-Jun''24.xlsx</t>
  </si>
  <si>
    <t>O&amp;M Detail - TME Jun-24.xlsx</t>
  </si>
  <si>
    <t>SSU Trial Balance - TME June 2024.xlsx</t>
  </si>
  <si>
    <t>Income Statement_Report-9220 Accts.xlsx</t>
  </si>
  <si>
    <t>Income Statement - Taxes Other Historical 2024.xlsx</t>
  </si>
  <si>
    <t>F.1 Social &amp; Service Club Dues - June 2024.xlsx</t>
  </si>
  <si>
    <t>F.2 Donations 009 Jul23-Jun24.xlsx</t>
  </si>
  <si>
    <t>Advertising &amp; Acct 4264 - 2024.xlsx</t>
  </si>
  <si>
    <t>F.6 Schedule Rate Case Expenses - 2023.2024.xlsx</t>
  </si>
  <si>
    <t>KMD Expense Report Review Jul23-Jun24 (009)</t>
  </si>
  <si>
    <t>KMD Expense Report Review Jul23-Jun24 (091).xlsx</t>
  </si>
  <si>
    <t>Jul''23-Jun''24 002 WEXP Review - DONE.xlsx</t>
  </si>
  <si>
    <t>Jul''23-Jun''24 012 WEXP Review - DONE.xlsx</t>
  </si>
  <si>
    <t>G.1 Benefits rate calc mailout 2024.xlsx</t>
  </si>
  <si>
    <t>G.2 KY CY2020-2024 Benefit,Tax&amp;Labor mailout.xlsx</t>
  </si>
  <si>
    <t>G.3 - Exec Comp Jul23-Jun24 mailout 081224 Co 50.xlsx</t>
  </si>
  <si>
    <t>H.1 PSC Assessment fees 2024.xlsx</t>
  </si>
  <si>
    <t>Income Statement_Report-Historic Statements CY17-CY23.xlsx</t>
  </si>
  <si>
    <t>2026-2028 numeric inputs from enterprise model</t>
  </si>
  <si>
    <t>FR_16(8)(k)_Att1 - Schedule K_2024.xlsx</t>
  </si>
  <si>
    <t>AGA</t>
  </si>
  <si>
    <t>ASME</t>
  </si>
  <si>
    <t>AUCSC</t>
  </si>
  <si>
    <t>B2B PRIME</t>
  </si>
  <si>
    <t>BEACON / QPUBLIC.NET</t>
  </si>
  <si>
    <t>BIA OF LOUISVILLE</t>
  </si>
  <si>
    <t>BUILDERS ASSOCIATION OF SOUTH CENTRAL KY</t>
  </si>
  <si>
    <t>CADIZ TRIGG COUNTY ECONOMIC DEVELOP COMM</t>
  </si>
  <si>
    <t>CHAMBER OF COMMERCE</t>
  </si>
  <si>
    <t>CHRISTIAN COUNTY PVA</t>
  </si>
  <si>
    <t>CNA SURETY</t>
  </si>
  <si>
    <t>COMCAST CABLE</t>
  </si>
  <si>
    <t>CRITTENDEN COUNTY ECONOMIC</t>
  </si>
  <si>
    <t>ECONOMIC DEVELOPMENT COUNCIL</t>
  </si>
  <si>
    <t>FRANKLIN SIMPSON INDUSTRIAL AUTHORITY</t>
  </si>
  <si>
    <t>GRAVES COUNTY</t>
  </si>
  <si>
    <t>GREATER OWENSBORO ECONOMIC DEVELOPMENT CORP</t>
  </si>
  <si>
    <t>GREATER PADUCAH ECONOMIC DEVELOPMENT COUNCIL INC</t>
  </si>
  <si>
    <t>HOME BUILDERS ASSOCIATION</t>
  </si>
  <si>
    <t>HOME BUILDERS ASSOCIATION OF OWENSBORO</t>
  </si>
  <si>
    <t>HOPKINS COUNTY HOME BUILDERS ASSOCIATION</t>
  </si>
  <si>
    <t>HOPKINS COUNTY PVA</t>
  </si>
  <si>
    <t>KENTUCKY ASSOCIATION FOR ECONOMIC DEVELOPMENT</t>
  </si>
  <si>
    <t>KENTUCKY ASSOCIATION OF MAPPING PROFESSIONALS</t>
  </si>
  <si>
    <t>KENTUCKY ASSOCIATION OF MASTER CONTRACTORS INC</t>
  </si>
  <si>
    <t>KENTUCKY GAS ASSOCIATION</t>
  </si>
  <si>
    <t>KENTUCKY LAKE ECONOMIC DEVELOPMENT</t>
  </si>
  <si>
    <t>KENTUCKY OIL AND GAS ASSOCIATION</t>
  </si>
  <si>
    <t>KENTUCKY PROFESSIONAL ENGINEER</t>
  </si>
  <si>
    <t>KENTUCKY PROFESSIONAL GEOLGIST LICENSE RENEWAL</t>
  </si>
  <si>
    <t>KENTUCKY RESTAURANT ASSOCIATION</t>
  </si>
  <si>
    <t>KENTUCKY SECRETARY OF STATE</t>
  </si>
  <si>
    <t>LEADERSHIP KENTUCKY</t>
  </si>
  <si>
    <t>MAD HOP CO BOARD OF REALTORS</t>
  </si>
  <si>
    <t>MASTERCRAFT PRINTED PRODUCTS AND SERVICES INC</t>
  </si>
  <si>
    <t>MCCRACKEN COUNTY TAX</t>
  </si>
  <si>
    <t>NACE INTERNATIONAL</t>
  </si>
  <si>
    <t>OBION COUNTY INDUSTRIAL DEVELOPMENT CORP</t>
  </si>
  <si>
    <t>OBION COUNTY JEDC</t>
  </si>
  <si>
    <t>OHIO COUNTY CHAMBER OF COMMERCE</t>
  </si>
  <si>
    <t>PADUCAH BOARD OF REALTORS INC</t>
  </si>
  <si>
    <t>REALTOR ASSOCIATION</t>
  </si>
  <si>
    <t>SAM'S CLUB</t>
  </si>
  <si>
    <t>THE MESSENGER</t>
  </si>
  <si>
    <t>TNGIC</t>
  </si>
  <si>
    <t>TRIGG COUNTY PVA</t>
  </si>
  <si>
    <t>Community Welfare</t>
  </si>
  <si>
    <t>Education</t>
  </si>
  <si>
    <t>Health</t>
  </si>
  <si>
    <t>Museums &amp; Arts</t>
  </si>
  <si>
    <t>United Way Agencies</t>
  </si>
  <si>
    <t>Youth Clubs &amp; Centers</t>
  </si>
  <si>
    <t>American Red Cross</t>
  </si>
  <si>
    <t>Energy Assistance Program</t>
  </si>
  <si>
    <t>FY23</t>
  </si>
  <si>
    <t>FY24</t>
  </si>
  <si>
    <t>A1</t>
  </si>
  <si>
    <t>A2</t>
  </si>
  <si>
    <t>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</si>
</sst>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000_)"/>
    <numFmt numFmtId="166" formatCode="0.000000_)"/>
    <numFmt numFmtId="167" formatCode="mm/dd/yy_)"/>
    <numFmt numFmtId="168" formatCode="hh:mm:ss_)"/>
    <numFmt numFmtId="169" formatCode="0.000%"/>
    <numFmt numFmtId="170" formatCode="0.0000%"/>
    <numFmt numFmtId="171" formatCode="#,##0.0_);\(#,##0.0\)"/>
    <numFmt numFmtId="172" formatCode="0.000_)"/>
    <numFmt numFmtId="173" formatCode="0.0%"/>
    <numFmt numFmtId="174" formatCode="0.000000%"/>
    <numFmt numFmtId="175" formatCode="#,##0.000_);\(#,##0.000\)"/>
    <numFmt numFmtId="176" formatCode="#,##0.000000_);\(#,##0.000000\)"/>
    <numFmt numFmtId="177" formatCode="_(* #,##0.0000_);_(* \(#,##0.0000\);_(* &quot;-&quot;??_);_(@_)"/>
    <numFmt numFmtId="178" formatCode="_(* #,##0.00000_);_(* \(#,##0.00000\);_(* &quot;-&quot;??_);_(@_)"/>
    <numFmt numFmtId="179" formatCode="0.00000%"/>
    <numFmt numFmtId="180" formatCode="0_);\(0\)"/>
    <numFmt numFmtId="181" formatCode="&quot;$&quot;#,##0"/>
    <numFmt numFmtId="182" formatCode="_(&quot;$&quot;* #,##0_);_(&quot;$&quot;* \(#,##0\);_(&quot;$&quot;* &quot;-&quot;??_);_(@_)"/>
    <numFmt numFmtId="183" formatCode="0000"/>
    <numFmt numFmtId="184" formatCode="000.0"/>
    <numFmt numFmtId="185" formatCode="_(* #,##0_);_(* \(#,##0\);_(* &quot;-&quot;??_);_(@_)"/>
    <numFmt numFmtId="186" formatCode="[$-409]mmm\-yy;@"/>
    <numFmt numFmtId="187" formatCode="_(* #,##0.0_);_(* \(#,##0.0\);_(* &quot;-&quot;??_);_(@_)"/>
    <numFmt numFmtId="188" formatCode="0.0000000%"/>
    <numFmt numFmtId="189" formatCode="mm/dd/yy;@"/>
    <numFmt numFmtId="190" formatCode="#,##0.0000_);\(#,##0.0000\)"/>
    <numFmt numFmtId="191" formatCode="0.000000000000000%"/>
  </numFmts>
  <fonts count="100">
    <font>
      <sz val="12"/>
      <name val="Helvetica-Narrow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Helvetica-Narrow"/>
      <family val="2"/>
    </font>
    <font>
      <b/>
      <sz val="12"/>
      <name val="Helvetica-Narrow"/>
      <family val="2"/>
    </font>
    <font>
      <u/>
      <sz val="12"/>
      <name val="Helvetica-Narrow"/>
      <family val="2"/>
    </font>
    <font>
      <u val="double"/>
      <sz val="12"/>
      <name val="Helvetica-Narrow"/>
      <family val="2"/>
    </font>
    <font>
      <sz val="12"/>
      <color indexed="12"/>
      <name val="Helvetica-Narrow"/>
      <family val="2"/>
    </font>
    <font>
      <sz val="12"/>
      <name val="Helvetica-Narrow"/>
      <family val="2"/>
    </font>
    <font>
      <sz val="12"/>
      <color indexed="10"/>
      <name val="Helvetica-Narrow"/>
      <family val="2"/>
    </font>
    <font>
      <sz val="12"/>
      <color indexed="10"/>
      <name val="Helvetica-Narrow"/>
    </font>
    <font>
      <sz val="12"/>
      <color indexed="12"/>
      <name val="Helvetica-Narrow"/>
    </font>
    <font>
      <sz val="12"/>
      <name val="Helvetica-Narrow"/>
    </font>
    <font>
      <u/>
      <sz val="12"/>
      <name val="Helvetica-Narrow"/>
    </font>
    <font>
      <b/>
      <sz val="12"/>
      <name val="Helvetica-Narrow"/>
    </font>
    <font>
      <u val="double"/>
      <sz val="12"/>
      <name val="Helvetica-Narrow"/>
    </font>
    <font>
      <b/>
      <sz val="12"/>
      <color indexed="14"/>
      <name val="Helvetica-Narrow"/>
    </font>
    <font>
      <sz val="12"/>
      <name val="Arial"/>
      <family val="2"/>
    </font>
    <font>
      <b/>
      <sz val="12"/>
      <name val="Arial"/>
      <family val="2"/>
    </font>
    <font>
      <sz val="12"/>
      <name val="Helvetica-Narrow"/>
      <family val="2"/>
    </font>
    <font>
      <sz val="8"/>
      <name val="Helvetica-Narrow"/>
      <family val="2"/>
    </font>
    <font>
      <sz val="12"/>
      <color indexed="20"/>
      <name val="Helvetica-Narrow"/>
      <family val="2"/>
    </font>
    <font>
      <sz val="12"/>
      <color indexed="20"/>
      <name val="Helvetica-Narrow"/>
    </font>
    <font>
      <sz val="10"/>
      <name val="Arial"/>
      <family val="2"/>
    </font>
    <font>
      <u/>
      <sz val="9"/>
      <color indexed="12"/>
      <name val="Helvetica-Narrow"/>
      <family val="2"/>
    </font>
    <font>
      <sz val="10"/>
      <name val="Arial"/>
      <family val="2"/>
    </font>
    <font>
      <b/>
      <sz val="10"/>
      <name val="Times New Roman"/>
      <family val="1"/>
    </font>
    <font>
      <b/>
      <i/>
      <sz val="16"/>
      <name val="Helv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Helvetica-Narrow"/>
      <family val="2"/>
    </font>
    <font>
      <b/>
      <u/>
      <sz val="12"/>
      <name val="Helvetica-Narrow"/>
    </font>
    <font>
      <sz val="12"/>
      <name val="Helvetica-Narrow"/>
      <family val="2"/>
    </font>
    <font>
      <sz val="9"/>
      <name val="Helvetica-Narrow"/>
      <family val="2"/>
    </font>
    <font>
      <sz val="12"/>
      <name val="Helvetica Narrow"/>
      <family val="2"/>
    </font>
    <font>
      <b/>
      <sz val="9"/>
      <name val="Helvetica-Narrow"/>
      <family val="2"/>
    </font>
    <font>
      <sz val="12"/>
      <name val="Helvetica-Narrow"/>
      <family val="2"/>
    </font>
    <font>
      <u/>
      <sz val="12"/>
      <color indexed="12"/>
      <name val="Helvetica-Narrow"/>
      <family val="2"/>
    </font>
    <font>
      <sz val="12"/>
      <color rgb="FF0000FF"/>
      <name val="Helvetica-Narrow"/>
      <family val="2"/>
    </font>
    <font>
      <b/>
      <sz val="12"/>
      <color rgb="FF0000FF"/>
      <name val="Helvetica-Narrow"/>
    </font>
    <font>
      <sz val="12"/>
      <color rgb="FF0000FF"/>
      <name val="Helvetica-Narrow"/>
    </font>
    <font>
      <sz val="12"/>
      <color rgb="FFFF0000"/>
      <name val="Helvetica-Narrow"/>
      <family val="2"/>
    </font>
    <font>
      <b/>
      <sz val="12"/>
      <color rgb="FF00B050"/>
      <name val="Helvetica-Narrow"/>
    </font>
    <font>
      <sz val="10"/>
      <color rgb="FF0000FF"/>
      <name val="Helvetica-Narrow"/>
      <family val="2"/>
    </font>
    <font>
      <sz val="12"/>
      <color rgb="FF0000FF"/>
      <name val="Times New Roman"/>
      <family val="1"/>
    </font>
    <font>
      <b/>
      <u/>
      <sz val="10.8"/>
      <name val="Helvetica-Narrow"/>
    </font>
    <font>
      <u/>
      <sz val="12"/>
      <name val="Helvetica Narrow"/>
      <family val="2"/>
    </font>
    <font>
      <sz val="12"/>
      <color theme="0" tint="-0.34998626667073579"/>
      <name val="Helvetica-Narrow"/>
      <family val="2"/>
    </font>
    <font>
      <sz val="12"/>
      <color theme="0" tint="-0.249977111117893"/>
      <name val="Helvetica-Narrow"/>
    </font>
    <font>
      <sz val="12"/>
      <color theme="0" tint="-0.249977111117893"/>
      <name val="Helvetica-Narrow"/>
      <family val="2"/>
    </font>
    <font>
      <b/>
      <sz val="12"/>
      <color rgb="FFFF0000"/>
      <name val="Helvetica-Narrow"/>
    </font>
    <font>
      <b/>
      <sz val="10"/>
      <color rgb="FFFF0000"/>
      <name val="Arial"/>
      <family val="2"/>
    </font>
    <font>
      <sz val="12"/>
      <color theme="0" tint="-0.499984740745262"/>
      <name val="Helvetica-Narrow"/>
      <family val="2"/>
    </font>
    <font>
      <sz val="10"/>
      <color theme="0" tint="-0.499984740745262"/>
      <name val="Helvetica-Narrow"/>
      <family val="2"/>
    </font>
    <font>
      <u/>
      <sz val="12"/>
      <color rgb="FF0000FF"/>
      <name val="Helvetica-Narrow"/>
      <family val="2"/>
    </font>
    <font>
      <sz val="10"/>
      <name val="Arial"/>
      <family val="2"/>
    </font>
    <font>
      <sz val="12"/>
      <color rgb="FFFF0000"/>
      <name val="Helvetica-Narrow"/>
    </font>
    <font>
      <sz val="10.8"/>
      <color rgb="FFFF0000"/>
      <name val="Helvetica-Narrow"/>
    </font>
    <font>
      <sz val="12"/>
      <color theme="0"/>
      <name val="Helvetica-Narrow"/>
      <family val="2"/>
    </font>
    <font>
      <b/>
      <vertAlign val="superscript"/>
      <sz val="8.4"/>
      <name val="Helvetica-Narrow"/>
    </font>
    <font>
      <i/>
      <sz val="12"/>
      <name val="Helvetica-Narrow"/>
    </font>
    <font>
      <i/>
      <vertAlign val="superscript"/>
      <sz val="8.4"/>
      <name val="Helvetica-Narrow"/>
    </font>
    <font>
      <i/>
      <sz val="8"/>
      <name val="Helvetica-Narrow"/>
    </font>
    <font>
      <sz val="12"/>
      <name val="Arial MT"/>
    </font>
    <font>
      <sz val="10"/>
      <name val="Helvetica-Narrow"/>
    </font>
    <font>
      <sz val="11"/>
      <color rgb="FF000000"/>
      <name val="Calibri"/>
      <family val="2"/>
    </font>
    <font>
      <sz val="12"/>
      <color rgb="FF7030A0"/>
      <name val="Helvetica-Narrow"/>
      <family val="2"/>
    </font>
    <font>
      <sz val="12"/>
      <color rgb="FF008000"/>
      <name val="Helvetica-Narrow"/>
      <family val="2"/>
    </font>
    <font>
      <sz val="12"/>
      <color rgb="FF7030A0"/>
      <name val="Helvetica-Narrow"/>
    </font>
    <font>
      <sz val="12"/>
      <color rgb="FF008000"/>
      <name val="Helvetica-Narrow"/>
    </font>
    <font>
      <sz val="10"/>
      <color theme="1"/>
      <name val="Arial"/>
      <family val="2"/>
    </font>
    <font>
      <sz val="10"/>
      <color rgb="FFFF0000"/>
      <name val="Helvetica-Narrow"/>
    </font>
    <font>
      <sz val="10"/>
      <color rgb="FFFF0000"/>
      <name val="Helvetica-Narrow"/>
      <family val="2"/>
    </font>
    <font>
      <i/>
      <sz val="10"/>
      <color rgb="FFFF0000"/>
      <name val="Helvetica-Narrow"/>
    </font>
    <font>
      <i/>
      <sz val="10"/>
      <name val="Helvetica-Narrow"/>
    </font>
    <font>
      <sz val="12"/>
      <color rgb="FF0070C0"/>
      <name val="Helvetica-Narrow"/>
      <family val="2"/>
    </font>
    <font>
      <b/>
      <sz val="11"/>
      <name val="Helvetica-Narrow"/>
    </font>
    <font>
      <b/>
      <sz val="10"/>
      <name val="Helvetica-Narrow"/>
    </font>
    <font>
      <sz val="11"/>
      <name val="Helvetica-Narrow"/>
      <family val="2"/>
    </font>
    <font>
      <sz val="11"/>
      <color theme="0" tint="-0.499984740745262"/>
      <name val="Helvetica-Narrow"/>
      <family val="2"/>
    </font>
    <font>
      <sz val="9"/>
      <color rgb="FFFF0000"/>
      <name val="Helvetica-Narrow"/>
    </font>
    <font>
      <sz val="9"/>
      <name val="Helvetica-Narrow"/>
    </font>
    <font>
      <b/>
      <sz val="12"/>
      <color rgb="FF0000FF"/>
      <name val="Helvetica-Narrow"/>
      <family val="2"/>
    </font>
    <font>
      <b/>
      <sz val="12"/>
      <color rgb="FF7030A0"/>
      <name val="Helvetica-Narrow"/>
    </font>
    <font>
      <u val="double"/>
      <sz val="12"/>
      <color rgb="FF0000FF"/>
      <name val="Helvetica-Narrow"/>
    </font>
    <font>
      <u val="double"/>
      <sz val="12"/>
      <color rgb="FF7030A0"/>
      <name val="Helvetica-Narrow"/>
    </font>
    <font>
      <b/>
      <sz val="12"/>
      <color rgb="FF7030A0"/>
      <name val="Helvetica-Narrow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u val="double"/>
      <sz val="12"/>
      <color rgb="FF0000FF"/>
      <name val="Helvetica-Narrow"/>
      <family val="2"/>
    </font>
    <font>
      <u val="double"/>
      <sz val="12"/>
      <color rgb="FF7030A0"/>
      <name val="Helvetica-Narrow"/>
      <family val="2"/>
    </font>
    <font>
      <sz val="12"/>
      <color rgb="FF008000"/>
      <name val="Arial MT"/>
    </font>
    <font>
      <sz val="12"/>
      <color rgb="FF7030A0"/>
      <name val="Arial MT"/>
    </font>
    <font>
      <sz val="11"/>
      <name val="Helvetica-Narrow"/>
    </font>
    <font>
      <vertAlign val="superscript"/>
      <sz val="10.199999999999999"/>
      <name val="Helvetica-Narrow"/>
    </font>
    <font>
      <vertAlign val="superscript"/>
      <sz val="9.35"/>
      <name val="Helvetica-Narrow"/>
    </font>
    <font>
      <vertAlign val="superscript"/>
      <sz val="12"/>
      <name val="Helvetica-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4">
    <xf numFmtId="37" fontId="0" fillId="0" borderId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27" fillId="0" borderId="0"/>
    <xf numFmtId="37" fontId="3" fillId="0" borderId="0" applyProtection="0"/>
    <xf numFmtId="0" fontId="23" fillId="0" borderId="0"/>
    <xf numFmtId="0" fontId="23" fillId="0" borderId="0"/>
    <xf numFmtId="40" fontId="28" fillId="2" borderId="0">
      <alignment horizontal="right"/>
    </xf>
    <xf numFmtId="0" fontId="29" fillId="3" borderId="0">
      <alignment horizontal="center"/>
    </xf>
    <xf numFmtId="0" fontId="30" fillId="2" borderId="1"/>
    <xf numFmtId="0" fontId="31" fillId="0" borderId="0" applyBorder="0">
      <alignment horizontal="centerContinuous"/>
    </xf>
    <xf numFmtId="0" fontId="32" fillId="0" borderId="0" applyBorder="0">
      <alignment horizontal="centerContinuous"/>
    </xf>
    <xf numFmtId="9" fontId="2" fillId="0" borderId="0" applyFont="0" applyFill="0" applyBorder="0" applyAlignment="0" applyProtection="0"/>
    <xf numFmtId="0" fontId="58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58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7" fontId="3" fillId="0" borderId="0" applyProtection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23" fillId="0" borderId="0"/>
    <xf numFmtId="9" fontId="2" fillId="0" borderId="0" applyFont="0" applyFill="0" applyBorder="0" applyAlignment="0" applyProtection="0"/>
    <xf numFmtId="0" fontId="68" fillId="0" borderId="0" applyNumberFormat="0" applyBorder="0" applyAlignment="0"/>
    <xf numFmtId="37" fontId="3" fillId="0" borderId="0" applyProtection="0"/>
  </cellStyleXfs>
  <cellXfs count="1099">
    <xf numFmtId="37" fontId="0" fillId="0" borderId="0" xfId="0"/>
    <xf numFmtId="37" fontId="3" fillId="0" borderId="0" xfId="0" applyFont="1"/>
    <xf numFmtId="37" fontId="3" fillId="0" borderId="0" xfId="0" applyFont="1" applyAlignment="1" applyProtection="1">
      <alignment horizontal="center"/>
    </xf>
    <xf numFmtId="164" fontId="3" fillId="0" borderId="0" xfId="0" applyNumberFormat="1" applyFont="1" applyProtection="1"/>
    <xf numFmtId="37" fontId="3" fillId="0" borderId="0" xfId="0" applyFont="1" applyAlignment="1" applyProtection="1">
      <alignment horizontal="left"/>
    </xf>
    <xf numFmtId="37" fontId="3" fillId="0" borderId="2" xfId="0" applyFont="1" applyBorder="1" applyAlignment="1" applyProtection="1">
      <alignment horizontal="left"/>
    </xf>
    <xf numFmtId="37" fontId="3" fillId="0" borderId="2" xfId="0" applyFont="1" applyBorder="1"/>
    <xf numFmtId="165" fontId="3" fillId="0" borderId="2" xfId="0" applyNumberFormat="1" applyFont="1" applyBorder="1" applyProtection="1"/>
    <xf numFmtId="165" fontId="3" fillId="0" borderId="0" xfId="0" applyNumberFormat="1" applyFont="1" applyProtection="1"/>
    <xf numFmtId="37" fontId="3" fillId="0" borderId="2" xfId="0" applyFont="1" applyBorder="1" applyAlignment="1" applyProtection="1">
      <alignment horizontal="center"/>
    </xf>
    <xf numFmtId="37" fontId="3" fillId="0" borderId="0" xfId="0" applyFont="1" applyProtection="1"/>
    <xf numFmtId="10" fontId="3" fillId="0" borderId="0" xfId="0" applyNumberFormat="1" applyFont="1" applyProtection="1"/>
    <xf numFmtId="37" fontId="4" fillId="0" borderId="0" xfId="0" applyFont="1"/>
    <xf numFmtId="37" fontId="3" fillId="0" borderId="3" xfId="0" applyFont="1" applyBorder="1"/>
    <xf numFmtId="168" fontId="3" fillId="0" borderId="0" xfId="0" applyNumberFormat="1" applyFont="1" applyProtection="1"/>
    <xf numFmtId="37" fontId="5" fillId="0" borderId="0" xfId="0" applyFont="1"/>
    <xf numFmtId="37" fontId="5" fillId="0" borderId="0" xfId="0" applyFont="1" applyAlignment="1" applyProtection="1">
      <alignment horizontal="left"/>
    </xf>
    <xf numFmtId="37" fontId="3" fillId="0" borderId="0" xfId="0" applyFont="1" applyAlignment="1" applyProtection="1">
      <alignment horizontal="right"/>
    </xf>
    <xf numFmtId="173" fontId="3" fillId="0" borderId="0" xfId="0" applyNumberFormat="1" applyFont="1" applyProtection="1"/>
    <xf numFmtId="37" fontId="5" fillId="0" borderId="0" xfId="0" applyFont="1" applyAlignment="1" applyProtection="1">
      <alignment horizontal="center"/>
    </xf>
    <xf numFmtId="174" fontId="3" fillId="0" borderId="0" xfId="0" applyNumberFormat="1" applyFont="1" applyProtection="1"/>
    <xf numFmtId="37" fontId="7" fillId="0" borderId="0" xfId="0" applyFont="1" applyProtection="1">
      <protection locked="0"/>
    </xf>
    <xf numFmtId="37" fontId="4" fillId="0" borderId="0" xfId="0" applyFont="1" applyAlignment="1" applyProtection="1">
      <alignment horizontal="left"/>
    </xf>
    <xf numFmtId="5" fontId="3" fillId="0" borderId="0" xfId="0" applyNumberFormat="1" applyFont="1" applyProtection="1"/>
    <xf numFmtId="171" fontId="3" fillId="0" borderId="0" xfId="0" applyNumberFormat="1" applyFont="1" applyProtection="1"/>
    <xf numFmtId="37" fontId="3" fillId="0" borderId="0" xfId="0" applyFont="1" applyAlignment="1">
      <alignment horizontal="centerContinuous"/>
    </xf>
    <xf numFmtId="37" fontId="3" fillId="0" borderId="0" xfId="0" applyFont="1" applyAlignment="1" applyProtection="1">
      <alignment horizontal="centerContinuous"/>
    </xf>
    <xf numFmtId="37" fontId="3" fillId="0" borderId="5" xfId="0" applyFont="1" applyBorder="1" applyAlignment="1" applyProtection="1">
      <alignment horizontal="center"/>
    </xf>
    <xf numFmtId="37" fontId="3" fillId="0" borderId="5" xfId="0" applyFont="1" applyBorder="1"/>
    <xf numFmtId="37" fontId="3" fillId="0" borderId="2" xfId="0" applyFont="1" applyBorder="1" applyProtection="1"/>
    <xf numFmtId="37" fontId="8" fillId="0" borderId="0" xfId="0" applyFont="1"/>
    <xf numFmtId="37" fontId="5" fillId="0" borderId="0" xfId="0" applyFont="1" applyAlignment="1" applyProtection="1">
      <alignment horizontal="left"/>
      <protection locked="0"/>
    </xf>
    <xf numFmtId="176" fontId="3" fillId="0" borderId="0" xfId="0" applyNumberFormat="1" applyFont="1" applyProtection="1"/>
    <xf numFmtId="10" fontId="3" fillId="0" borderId="0" xfId="13" applyNumberFormat="1" applyFont="1" applyProtection="1"/>
    <xf numFmtId="10" fontId="3" fillId="0" borderId="0" xfId="13" applyNumberFormat="1" applyFont="1"/>
    <xf numFmtId="37" fontId="3" fillId="0" borderId="5" xfId="0" applyFont="1" applyBorder="1" applyAlignment="1" applyProtection="1">
      <alignment horizontal="left"/>
    </xf>
    <xf numFmtId="37" fontId="0" fillId="0" borderId="5" xfId="0" applyBorder="1"/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10" fontId="0" fillId="0" borderId="0" xfId="13" applyNumberFormat="1" applyFont="1"/>
    <xf numFmtId="37" fontId="3" fillId="0" borderId="5" xfId="0" applyFont="1" applyBorder="1" applyAlignment="1">
      <alignment horizontal="center"/>
    </xf>
    <xf numFmtId="37" fontId="0" fillId="0" borderId="5" xfId="0" applyBorder="1" applyAlignment="1">
      <alignment horizontal="center"/>
    </xf>
    <xf numFmtId="37" fontId="3" fillId="0" borderId="7" xfId="0" applyFont="1" applyBorder="1"/>
    <xf numFmtId="37" fontId="8" fillId="0" borderId="5" xfId="0" applyFont="1" applyBorder="1"/>
    <xf numFmtId="37" fontId="11" fillId="0" borderId="0" xfId="0" applyFont="1" applyProtection="1"/>
    <xf numFmtId="37" fontId="12" fillId="0" borderId="0" xfId="0" applyFont="1"/>
    <xf numFmtId="37" fontId="12" fillId="0" borderId="0" xfId="0" applyFont="1" applyProtection="1"/>
    <xf numFmtId="37" fontId="12" fillId="0" borderId="0" xfId="0" applyFont="1" applyAlignment="1" applyProtection="1">
      <alignment horizontal="centerContinuous"/>
      <protection locked="0"/>
    </xf>
    <xf numFmtId="37" fontId="12" fillId="0" borderId="0" xfId="0" applyFont="1" applyAlignment="1" applyProtection="1">
      <alignment horizontal="left"/>
    </xf>
    <xf numFmtId="9" fontId="11" fillId="0" borderId="0" xfId="13" applyFont="1"/>
    <xf numFmtId="37" fontId="8" fillId="0" borderId="0" xfId="0" applyFont="1" applyAlignment="1">
      <alignment horizontal="center"/>
    </xf>
    <xf numFmtId="39" fontId="0" fillId="0" borderId="0" xfId="0" applyNumberFormat="1"/>
    <xf numFmtId="37" fontId="0" fillId="0" borderId="0" xfId="0" applyAlignment="1" applyProtection="1">
      <alignment horizontal="centerContinuous"/>
    </xf>
    <xf numFmtId="37" fontId="0" fillId="0" borderId="0" xfId="0" applyAlignment="1" applyProtection="1">
      <alignment horizontal="left"/>
    </xf>
    <xf numFmtId="37" fontId="0" fillId="0" borderId="2" xfId="0" applyBorder="1" applyAlignment="1" applyProtection="1">
      <alignment horizontal="left"/>
    </xf>
    <xf numFmtId="37" fontId="0" fillId="0" borderId="2" xfId="0" applyBorder="1"/>
    <xf numFmtId="37" fontId="0" fillId="0" borderId="0" xfId="0" applyAlignment="1">
      <alignment horizontal="centerContinuous"/>
    </xf>
    <xf numFmtId="37" fontId="0" fillId="0" borderId="0" xfId="0" applyAlignment="1" applyProtection="1">
      <alignment horizontal="center"/>
    </xf>
    <xf numFmtId="37" fontId="0" fillId="0" borderId="2" xfId="0" applyBorder="1" applyAlignment="1" applyProtection="1">
      <alignment horizontal="center"/>
    </xf>
    <xf numFmtId="37" fontId="14" fillId="0" borderId="0" xfId="0" applyFont="1"/>
    <xf numFmtId="37" fontId="0" fillId="0" borderId="0" xfId="0" applyProtection="1"/>
    <xf numFmtId="10" fontId="0" fillId="0" borderId="0" xfId="0" applyNumberFormat="1" applyProtection="1"/>
    <xf numFmtId="37" fontId="0" fillId="0" borderId="2" xfId="0" applyBorder="1" applyProtection="1"/>
    <xf numFmtId="10" fontId="12" fillId="0" borderId="0" xfId="13" applyNumberFormat="1" applyFont="1" applyProtection="1"/>
    <xf numFmtId="10" fontId="6" fillId="0" borderId="0" xfId="0" applyNumberFormat="1" applyFont="1" applyProtection="1"/>
    <xf numFmtId="37" fontId="16" fillId="0" borderId="0" xfId="0" applyFont="1"/>
    <xf numFmtId="37" fontId="11" fillId="0" borderId="0" xfId="0" applyFont="1" applyAlignment="1" applyProtection="1">
      <alignment horizontal="left"/>
    </xf>
    <xf numFmtId="37" fontId="0" fillId="0" borderId="3" xfId="0" applyBorder="1"/>
    <xf numFmtId="37" fontId="0" fillId="0" borderId="3" xfId="0" applyBorder="1" applyAlignment="1" applyProtection="1">
      <alignment horizontal="center"/>
    </xf>
    <xf numFmtId="37" fontId="0" fillId="0" borderId="0" xfId="0" applyProtection="1">
      <protection locked="0"/>
    </xf>
    <xf numFmtId="37" fontId="12" fillId="0" borderId="2" xfId="0" applyFont="1" applyBorder="1" applyProtection="1"/>
    <xf numFmtId="10" fontId="0" fillId="0" borderId="0" xfId="0" applyNumberFormat="1" applyAlignment="1" applyProtection="1">
      <alignment horizontal="center"/>
    </xf>
    <xf numFmtId="10" fontId="0" fillId="0" borderId="0" xfId="0" applyNumberFormat="1" applyAlignment="1" applyProtection="1">
      <alignment horizontal="left"/>
    </xf>
    <xf numFmtId="37" fontId="0" fillId="0" borderId="2" xfId="0" applyBorder="1" applyAlignment="1" applyProtection="1">
      <alignment horizontal="left"/>
      <protection locked="0"/>
    </xf>
    <xf numFmtId="169" fontId="6" fillId="0" borderId="0" xfId="0" applyNumberFormat="1" applyFont="1" applyProtection="1"/>
    <xf numFmtId="164" fontId="0" fillId="0" borderId="0" xfId="0" applyNumberFormat="1" applyProtection="1"/>
    <xf numFmtId="3" fontId="0" fillId="0" borderId="0" xfId="0" applyNumberFormat="1"/>
    <xf numFmtId="181" fontId="0" fillId="0" borderId="0" xfId="0" applyNumberFormat="1"/>
    <xf numFmtId="3" fontId="0" fillId="0" borderId="0" xfId="1" applyNumberFormat="1" applyFont="1"/>
    <xf numFmtId="37" fontId="17" fillId="0" borderId="0" xfId="0" applyFont="1"/>
    <xf numFmtId="37" fontId="18" fillId="0" borderId="0" xfId="0" applyFont="1"/>
    <xf numFmtId="37" fontId="19" fillId="0" borderId="0" xfId="0" applyFont="1"/>
    <xf numFmtId="10" fontId="3" fillId="0" borderId="0" xfId="0" applyNumberFormat="1" applyFont="1"/>
    <xf numFmtId="37" fontId="12" fillId="0" borderId="0" xfId="0" applyFont="1" applyProtection="1">
      <protection locked="0"/>
    </xf>
    <xf numFmtId="37" fontId="3" fillId="0" borderId="0" xfId="0" applyFont="1" applyAlignment="1">
      <alignment horizontal="right"/>
    </xf>
    <xf numFmtId="37" fontId="3" fillId="0" borderId="0" xfId="0" applyFont="1" applyAlignment="1">
      <alignment horizontal="left" indent="2"/>
    </xf>
    <xf numFmtId="37" fontId="3" fillId="0" borderId="0" xfId="0" applyFont="1" applyAlignment="1">
      <alignment horizontal="left" indent="3"/>
    </xf>
    <xf numFmtId="169" fontId="3" fillId="0" borderId="5" xfId="13" applyNumberFormat="1" applyFont="1" applyBorder="1" applyAlignment="1" applyProtection="1">
      <alignment horizontal="right"/>
    </xf>
    <xf numFmtId="37" fontId="14" fillId="0" borderId="0" xfId="0" applyFont="1" applyAlignment="1">
      <alignment horizontal="left" indent="1"/>
    </xf>
    <xf numFmtId="37" fontId="14" fillId="0" borderId="0" xfId="0" applyFont="1" applyAlignment="1" applyProtection="1">
      <alignment horizontal="right"/>
    </xf>
    <xf numFmtId="37" fontId="13" fillId="0" borderId="0" xfId="0" applyFont="1"/>
    <xf numFmtId="10" fontId="3" fillId="0" borderId="0" xfId="13" applyNumberFormat="1" applyFont="1" applyAlignment="1"/>
    <xf numFmtId="37" fontId="0" fillId="0" borderId="0" xfId="0" applyAlignment="1">
      <alignment horizontal="left"/>
    </xf>
    <xf numFmtId="37" fontId="22" fillId="0" borderId="0" xfId="0" applyFont="1" applyAlignment="1" applyProtection="1">
      <alignment horizontal="centerContinuous"/>
    </xf>
    <xf numFmtId="37" fontId="10" fillId="0" borderId="0" xfId="0" applyFont="1" applyAlignment="1" applyProtection="1">
      <alignment horizontal="left"/>
    </xf>
    <xf numFmtId="43" fontId="25" fillId="0" borderId="0" xfId="1" applyFont="1"/>
    <xf numFmtId="43" fontId="25" fillId="0" borderId="0" xfId="1" applyFont="1" applyFill="1"/>
    <xf numFmtId="9" fontId="0" fillId="0" borderId="0" xfId="13" applyFont="1"/>
    <xf numFmtId="37" fontId="8" fillId="0" borderId="0" xfId="0" applyFont="1" applyAlignment="1" applyProtection="1">
      <alignment horizontal="left"/>
    </xf>
    <xf numFmtId="10" fontId="12" fillId="0" borderId="0" xfId="0" applyNumberFormat="1" applyFont="1" applyAlignment="1" applyProtection="1">
      <alignment horizontal="center"/>
    </xf>
    <xf numFmtId="0" fontId="23" fillId="0" borderId="0" xfId="7"/>
    <xf numFmtId="9" fontId="3" fillId="0" borderId="0" xfId="13" applyFont="1" applyProtection="1"/>
    <xf numFmtId="37" fontId="3" fillId="0" borderId="0" xfId="0" applyFont="1" applyAlignment="1" applyProtection="1">
      <alignment horizontal="centerContinuous"/>
      <protection locked="0"/>
    </xf>
    <xf numFmtId="37" fontId="8" fillId="0" borderId="0" xfId="0" applyFont="1" applyProtection="1"/>
    <xf numFmtId="37" fontId="8" fillId="0" borderId="0" xfId="0" applyFont="1" applyAlignment="1" applyProtection="1">
      <alignment horizontal="center"/>
    </xf>
    <xf numFmtId="37" fontId="8" fillId="0" borderId="5" xfId="0" applyFont="1" applyBorder="1" applyProtection="1"/>
    <xf numFmtId="37" fontId="8" fillId="0" borderId="2" xfId="0" applyFont="1" applyBorder="1"/>
    <xf numFmtId="37" fontId="8" fillId="0" borderId="2" xfId="0" applyFont="1" applyBorder="1" applyProtection="1"/>
    <xf numFmtId="37" fontId="34" fillId="0" borderId="0" xfId="0" applyFont="1" applyAlignment="1" applyProtection="1">
      <alignment horizontal="left"/>
    </xf>
    <xf numFmtId="37" fontId="12" fillId="0" borderId="0" xfId="0" applyFont="1" applyAlignment="1">
      <alignment horizontal="centerContinuous"/>
    </xf>
    <xf numFmtId="37" fontId="8" fillId="0" borderId="0" xfId="0" applyFont="1" applyAlignment="1">
      <alignment horizontal="centerContinuous"/>
    </xf>
    <xf numFmtId="37" fontId="8" fillId="0" borderId="2" xfId="0" applyFont="1" applyBorder="1" applyAlignment="1" applyProtection="1">
      <alignment horizontal="left"/>
    </xf>
    <xf numFmtId="37" fontId="8" fillId="0" borderId="2" xfId="0" applyFont="1" applyBorder="1" applyAlignment="1" applyProtection="1">
      <alignment horizontal="left"/>
      <protection locked="0"/>
    </xf>
    <xf numFmtId="37" fontId="8" fillId="0" borderId="0" xfId="0" applyFont="1" applyAlignment="1" applyProtection="1">
      <alignment horizontal="left"/>
      <protection locked="0"/>
    </xf>
    <xf numFmtId="37" fontId="8" fillId="0" borderId="0" xfId="0" applyFont="1" applyAlignment="1" applyProtection="1">
      <alignment horizontal="center"/>
      <protection locked="0"/>
    </xf>
    <xf numFmtId="183" fontId="19" fillId="0" borderId="0" xfId="0" applyNumberFormat="1" applyFont="1" applyAlignment="1" applyProtection="1">
      <alignment horizontal="left"/>
      <protection locked="0"/>
    </xf>
    <xf numFmtId="37" fontId="35" fillId="0" borderId="0" xfId="0" applyFont="1"/>
    <xf numFmtId="37" fontId="35" fillId="2" borderId="0" xfId="0" applyFont="1" applyFill="1"/>
    <xf numFmtId="5" fontId="35" fillId="0" borderId="0" xfId="0" applyNumberFormat="1" applyFont="1"/>
    <xf numFmtId="10" fontId="35" fillId="0" borderId="0" xfId="13" applyNumberFormat="1" applyFont="1"/>
    <xf numFmtId="37" fontId="8" fillId="0" borderId="0" xfId="0" applyFont="1" applyProtection="1">
      <protection locked="0"/>
    </xf>
    <xf numFmtId="37" fontId="8" fillId="0" borderId="5" xfId="0" applyFont="1" applyBorder="1" applyAlignment="1">
      <alignment horizontal="center"/>
    </xf>
    <xf numFmtId="37" fontId="8" fillId="0" borderId="0" xfId="0" quotePrefix="1" applyFont="1" applyAlignment="1">
      <alignment horizontal="left"/>
    </xf>
    <xf numFmtId="10" fontId="8" fillId="0" borderId="0" xfId="13" applyNumberFormat="1" applyFont="1" applyBorder="1" applyAlignment="1">
      <alignment horizontal="left"/>
    </xf>
    <xf numFmtId="37" fontId="8" fillId="0" borderId="0" xfId="0" applyFont="1" applyAlignment="1">
      <alignment horizontal="left" indent="1"/>
    </xf>
    <xf numFmtId="10" fontId="8" fillId="0" borderId="0" xfId="0" applyNumberFormat="1" applyFont="1" applyProtection="1"/>
    <xf numFmtId="37" fontId="8" fillId="0" borderId="2" xfId="0" applyFont="1" applyBorder="1" applyAlignment="1" applyProtection="1">
      <alignment horizontal="center"/>
    </xf>
    <xf numFmtId="180" fontId="8" fillId="0" borderId="0" xfId="0" applyNumberFormat="1" applyFont="1" applyAlignment="1">
      <alignment horizontal="center"/>
    </xf>
    <xf numFmtId="37" fontId="37" fillId="0" borderId="0" xfId="0" applyFont="1"/>
    <xf numFmtId="37" fontId="12" fillId="0" borderId="2" xfId="0" applyFont="1" applyBorder="1" applyAlignment="1" applyProtection="1">
      <alignment horizontal="left"/>
    </xf>
    <xf numFmtId="37" fontId="12" fillId="0" borderId="2" xfId="0" applyFont="1" applyBorder="1"/>
    <xf numFmtId="37" fontId="12" fillId="0" borderId="0" xfId="0" applyFont="1" applyAlignment="1" applyProtection="1">
      <alignment horizontal="center"/>
    </xf>
    <xf numFmtId="10" fontId="12" fillId="0" borderId="0" xfId="0" applyNumberFormat="1" applyFont="1" applyProtection="1"/>
    <xf numFmtId="37" fontId="8" fillId="0" borderId="0" xfId="0" applyFont="1" applyAlignment="1" applyProtection="1">
      <alignment horizontal="left" indent="2"/>
    </xf>
    <xf numFmtId="37" fontId="8" fillId="0" borderId="0" xfId="0" applyFont="1" applyAlignment="1">
      <alignment horizontal="left" indent="2"/>
    </xf>
    <xf numFmtId="37" fontId="3" fillId="0" borderId="23" xfId="0" applyFont="1" applyBorder="1"/>
    <xf numFmtId="37" fontId="8" fillId="0" borderId="0" xfId="0" applyFont="1" applyAlignment="1" applyProtection="1">
      <alignment horizontal="left" indent="1"/>
    </xf>
    <xf numFmtId="37" fontId="3" fillId="0" borderId="0" xfId="0" applyFont="1" applyProtection="1">
      <protection locked="0"/>
    </xf>
    <xf numFmtId="37" fontId="3" fillId="0" borderId="0" xfId="0" applyFont="1" applyAlignment="1" applyProtection="1">
      <alignment horizontal="left"/>
      <protection locked="0"/>
    </xf>
    <xf numFmtId="37" fontId="3" fillId="0" borderId="2" xfId="0" applyFont="1" applyBorder="1" applyAlignment="1" applyProtection="1">
      <alignment horizontal="left"/>
      <protection locked="0"/>
    </xf>
    <xf numFmtId="37" fontId="5" fillId="0" borderId="0" xfId="0" applyFont="1" applyProtection="1">
      <protection locked="0"/>
    </xf>
    <xf numFmtId="37" fontId="8" fillId="0" borderId="2" xfId="0" applyFont="1" applyBorder="1" applyAlignment="1" applyProtection="1">
      <alignment horizontal="center"/>
      <protection locked="0"/>
    </xf>
    <xf numFmtId="37" fontId="8" fillId="0" borderId="2" xfId="0" applyFont="1" applyBorder="1" applyAlignment="1">
      <alignment horizontal="center"/>
    </xf>
    <xf numFmtId="180" fontId="8" fillId="0" borderId="0" xfId="0" applyNumberFormat="1" applyFont="1" applyAlignment="1" applyProtection="1">
      <alignment horizontal="center"/>
      <protection locked="0"/>
    </xf>
    <xf numFmtId="37" fontId="8" fillId="0" borderId="0" xfId="0" applyFont="1" applyAlignment="1" applyProtection="1">
      <alignment horizontal="left" indent="1"/>
      <protection locked="0"/>
    </xf>
    <xf numFmtId="169" fontId="8" fillId="0" borderId="0" xfId="0" applyNumberFormat="1" applyFont="1" applyProtection="1"/>
    <xf numFmtId="37" fontId="8" fillId="0" borderId="2" xfId="0" applyFont="1" applyBorder="1" applyProtection="1">
      <protection locked="0"/>
    </xf>
    <xf numFmtId="37" fontId="8" fillId="0" borderId="5" xfId="0" applyFont="1" applyBorder="1" applyProtection="1">
      <protection locked="0"/>
    </xf>
    <xf numFmtId="37" fontId="8" fillId="0" borderId="0" xfId="0" quotePrefix="1" applyFont="1" applyProtection="1"/>
    <xf numFmtId="37" fontId="38" fillId="0" borderId="0" xfId="0" quotePrefix="1" applyFont="1"/>
    <xf numFmtId="37" fontId="39" fillId="0" borderId="0" xfId="0" applyFont="1"/>
    <xf numFmtId="37" fontId="39" fillId="0" borderId="0" xfId="0" applyFont="1" applyProtection="1"/>
    <xf numFmtId="180" fontId="39" fillId="0" borderId="0" xfId="0" applyNumberFormat="1" applyFont="1" applyAlignment="1" applyProtection="1">
      <alignment horizontal="center"/>
      <protection locked="0"/>
    </xf>
    <xf numFmtId="37" fontId="36" fillId="0" borderId="0" xfId="0" quotePrefix="1" applyFont="1"/>
    <xf numFmtId="10" fontId="39" fillId="0" borderId="0" xfId="0" applyNumberFormat="1" applyFont="1" applyProtection="1"/>
    <xf numFmtId="169" fontId="39" fillId="0" borderId="0" xfId="0" applyNumberFormat="1" applyFont="1" applyProtection="1"/>
    <xf numFmtId="37" fontId="12" fillId="0" borderId="0" xfId="0" applyFont="1" applyAlignment="1" applyProtection="1">
      <alignment horizontal="center"/>
      <protection locked="0"/>
    </xf>
    <xf numFmtId="37" fontId="12" fillId="0" borderId="0" xfId="0" applyFont="1" applyAlignment="1" applyProtection="1">
      <alignment horizontal="left"/>
      <protection locked="0"/>
    </xf>
    <xf numFmtId="37" fontId="12" fillId="0" borderId="2" xfId="0" applyFont="1" applyBorder="1" applyAlignment="1" applyProtection="1">
      <alignment horizontal="left"/>
      <protection locked="0"/>
    </xf>
    <xf numFmtId="37" fontId="12" fillId="0" borderId="2" xfId="0" applyFont="1" applyBorder="1" applyAlignment="1" applyProtection="1">
      <alignment horizontal="center"/>
      <protection locked="0"/>
    </xf>
    <xf numFmtId="37" fontId="13" fillId="0" borderId="0" xfId="0" applyFont="1" applyAlignment="1" applyProtection="1">
      <alignment horizontal="left"/>
      <protection locked="0"/>
    </xf>
    <xf numFmtId="37" fontId="12" fillId="0" borderId="0" xfId="0" applyFont="1" applyAlignment="1" applyProtection="1">
      <alignment horizontal="left" indent="2"/>
      <protection locked="0"/>
    </xf>
    <xf numFmtId="37" fontId="15" fillId="0" borderId="0" xfId="0" applyFont="1" applyProtection="1"/>
    <xf numFmtId="37" fontId="13" fillId="0" borderId="0" xfId="0" applyFont="1" applyAlignment="1" applyProtection="1">
      <alignment horizontal="left" indent="1"/>
      <protection locked="0"/>
    </xf>
    <xf numFmtId="37" fontId="12" fillId="0" borderId="0" xfId="0" applyFont="1" applyAlignment="1" applyProtection="1">
      <alignment horizontal="left" indent="1"/>
      <protection locked="0"/>
    </xf>
    <xf numFmtId="37" fontId="12" fillId="0" borderId="0" xfId="0" applyFont="1" applyAlignment="1" applyProtection="1">
      <alignment horizontal="left" indent="2"/>
    </xf>
    <xf numFmtId="37" fontId="8" fillId="0" borderId="0" xfId="0" applyFont="1" applyAlignment="1" applyProtection="1">
      <alignment horizontal="left" indent="2"/>
      <protection locked="0"/>
    </xf>
    <xf numFmtId="37" fontId="5" fillId="0" borderId="0" xfId="0" applyFont="1" applyAlignment="1" applyProtection="1">
      <alignment horizontal="left" indent="1"/>
      <protection locked="0"/>
    </xf>
    <xf numFmtId="37" fontId="0" fillId="0" borderId="0" xfId="0" applyAlignment="1" applyProtection="1">
      <alignment horizontal="centerContinuous"/>
      <protection locked="0"/>
    </xf>
    <xf numFmtId="37" fontId="14" fillId="0" borderId="0" xfId="0" applyFont="1" applyAlignment="1">
      <alignment horizontal="center"/>
    </xf>
    <xf numFmtId="177" fontId="8" fillId="0" borderId="0" xfId="1" applyNumberFormat="1" applyFont="1"/>
    <xf numFmtId="49" fontId="3" fillId="0" borderId="0" xfId="0" applyNumberFormat="1" applyFont="1" applyAlignment="1">
      <alignment horizontal="center"/>
    </xf>
    <xf numFmtId="37" fontId="14" fillId="0" borderId="5" xfId="0" applyFont="1" applyBorder="1" applyAlignment="1">
      <alignment horizontal="center"/>
    </xf>
    <xf numFmtId="37" fontId="40" fillId="0" borderId="0" xfId="3" applyNumberFormat="1" applyFont="1" applyAlignment="1" applyProtection="1"/>
    <xf numFmtId="182" fontId="3" fillId="0" borderId="0" xfId="2" applyNumberFormat="1" applyFont="1"/>
    <xf numFmtId="182" fontId="3" fillId="0" borderId="0" xfId="2" applyNumberFormat="1" applyFont="1" applyFill="1" applyProtection="1"/>
    <xf numFmtId="185" fontId="8" fillId="0" borderId="0" xfId="1" applyNumberFormat="1" applyFont="1" applyFill="1" applyProtection="1"/>
    <xf numFmtId="185" fontId="3" fillId="0" borderId="0" xfId="1" applyNumberFormat="1" applyFont="1"/>
    <xf numFmtId="0" fontId="8" fillId="0" borderId="0" xfId="0" applyNumberFormat="1" applyFont="1" applyAlignment="1">
      <alignment horizontal="center"/>
    </xf>
    <xf numFmtId="37" fontId="8" fillId="0" borderId="23" xfId="0" applyFont="1" applyBorder="1"/>
    <xf numFmtId="37" fontId="8" fillId="0" borderId="21" xfId="0" applyFont="1" applyBorder="1"/>
    <xf numFmtId="37" fontId="0" fillId="0" borderId="0" xfId="0" applyAlignment="1">
      <alignment horizontal="left" indent="1"/>
    </xf>
    <xf numFmtId="37" fontId="0" fillId="0" borderId="5" xfId="0" applyBorder="1" applyAlignment="1">
      <alignment horizontal="center" wrapText="1"/>
    </xf>
    <xf numFmtId="37" fontId="0" fillId="0" borderId="0" xfId="0" applyAlignment="1">
      <alignment horizontal="center" wrapText="1"/>
    </xf>
    <xf numFmtId="37" fontId="12" fillId="0" borderId="0" xfId="0" applyFont="1" applyAlignment="1" applyProtection="1">
      <alignment horizontal="left" indent="1"/>
    </xf>
    <xf numFmtId="182" fontId="0" fillId="0" borderId="0" xfId="2" applyNumberFormat="1" applyFont="1" applyBorder="1"/>
    <xf numFmtId="182" fontId="0" fillId="0" borderId="0" xfId="2" applyNumberFormat="1" applyFont="1" applyFill="1" applyBorder="1"/>
    <xf numFmtId="10" fontId="0" fillId="0" borderId="0" xfId="13" applyNumberFormat="1" applyFont="1" applyFill="1" applyAlignment="1">
      <alignment horizontal="center"/>
    </xf>
    <xf numFmtId="10" fontId="0" fillId="0" borderId="0" xfId="13" applyNumberFormat="1" applyFont="1" applyAlignment="1">
      <alignment horizontal="center"/>
    </xf>
    <xf numFmtId="182" fontId="3" fillId="0" borderId="0" xfId="2" applyNumberFormat="1" applyFont="1" applyFill="1" applyBorder="1"/>
    <xf numFmtId="37" fontId="3" fillId="0" borderId="1" xfId="0" applyFont="1" applyBorder="1" applyAlignment="1" applyProtection="1">
      <alignment horizontal="center"/>
    </xf>
    <xf numFmtId="37" fontId="3" fillId="0" borderId="21" xfId="0" applyFont="1" applyBorder="1" applyAlignment="1" applyProtection="1">
      <alignment horizontal="center"/>
    </xf>
    <xf numFmtId="37" fontId="3" fillId="0" borderId="25" xfId="0" applyFont="1" applyBorder="1" applyAlignment="1" applyProtection="1">
      <alignment horizontal="center"/>
    </xf>
    <xf numFmtId="37" fontId="3" fillId="0" borderId="8" xfId="0" applyFont="1" applyBorder="1" applyAlignment="1" applyProtection="1">
      <alignment horizontal="center"/>
    </xf>
    <xf numFmtId="37" fontId="3" fillId="0" borderId="8" xfId="0" applyFont="1" applyBorder="1" applyAlignment="1">
      <alignment horizontal="center"/>
    </xf>
    <xf numFmtId="9" fontId="0" fillId="0" borderId="0" xfId="13" applyFont="1" applyFill="1" applyAlignment="1">
      <alignment horizontal="center"/>
    </xf>
    <xf numFmtId="37" fontId="3" fillId="0" borderId="7" xfId="0" applyFont="1" applyBorder="1" applyAlignment="1">
      <alignment horizontal="center"/>
    </xf>
    <xf numFmtId="37" fontId="3" fillId="0" borderId="7" xfId="0" applyFont="1" applyBorder="1" applyAlignment="1" applyProtection="1">
      <alignment horizontal="center"/>
    </xf>
    <xf numFmtId="182" fontId="12" fillId="0" borderId="0" xfId="2" applyNumberFormat="1" applyFont="1" applyFill="1" applyProtection="1"/>
    <xf numFmtId="37" fontId="12" fillId="0" borderId="23" xfId="0" applyFont="1" applyBorder="1"/>
    <xf numFmtId="37" fontId="12" fillId="0" borderId="9" xfId="0" applyFont="1" applyBorder="1"/>
    <xf numFmtId="37" fontId="12" fillId="0" borderId="1" xfId="0" applyFont="1" applyBorder="1" applyAlignment="1" applyProtection="1">
      <alignment horizontal="center"/>
    </xf>
    <xf numFmtId="37" fontId="12" fillId="0" borderId="25" xfId="0" applyFont="1" applyBorder="1" applyAlignment="1" applyProtection="1">
      <alignment horizontal="center"/>
    </xf>
    <xf numFmtId="182" fontId="3" fillId="0" borderId="0" xfId="2" applyNumberFormat="1" applyFont="1" applyFill="1"/>
    <xf numFmtId="185" fontId="12" fillId="0" borderId="0" xfId="1" applyNumberFormat="1" applyFont="1" applyFill="1" applyProtection="1"/>
    <xf numFmtId="185" fontId="12" fillId="0" borderId="5" xfId="1" applyNumberFormat="1" applyFont="1" applyFill="1" applyBorder="1" applyProtection="1"/>
    <xf numFmtId="185" fontId="3" fillId="0" borderId="0" xfId="1" applyNumberFormat="1" applyFont="1" applyFill="1" applyProtection="1"/>
    <xf numFmtId="185" fontId="12" fillId="0" borderId="0" xfId="1" applyNumberFormat="1" applyFont="1" applyBorder="1" applyProtection="1"/>
    <xf numFmtId="9" fontId="12" fillId="0" borderId="0" xfId="13" applyFont="1" applyFill="1" applyAlignment="1" applyProtection="1">
      <alignment horizontal="center"/>
    </xf>
    <xf numFmtId="182" fontId="0" fillId="0" borderId="0" xfId="2" applyNumberFormat="1" applyFont="1" applyFill="1"/>
    <xf numFmtId="183" fontId="3" fillId="0" borderId="0" xfId="0" applyNumberFormat="1" applyFont="1" applyAlignment="1">
      <alignment horizontal="left"/>
    </xf>
    <xf numFmtId="185" fontId="8" fillId="0" borderId="0" xfId="1" applyNumberFormat="1" applyFont="1" applyFill="1" applyBorder="1" applyProtection="1"/>
    <xf numFmtId="0" fontId="19" fillId="0" borderId="0" xfId="0" applyNumberFormat="1" applyFont="1" applyAlignment="1">
      <alignment horizontal="center"/>
    </xf>
    <xf numFmtId="37" fontId="35" fillId="0" borderId="0" xfId="0" applyFont="1" applyAlignment="1">
      <alignment horizontal="left" indent="1"/>
    </xf>
    <xf numFmtId="37" fontId="3" fillId="0" borderId="2" xfId="0" applyFont="1" applyBorder="1" applyAlignment="1">
      <alignment horizontal="center"/>
    </xf>
    <xf numFmtId="180" fontId="3" fillId="0" borderId="0" xfId="0" applyNumberFormat="1" applyFont="1" applyProtection="1"/>
    <xf numFmtId="180" fontId="3" fillId="0" borderId="0" xfId="0" applyNumberFormat="1" applyFont="1"/>
    <xf numFmtId="180" fontId="3" fillId="0" borderId="0" xfId="0" quotePrefix="1" applyNumberFormat="1" applyFont="1" applyAlignment="1" applyProtection="1">
      <alignment horizontal="center"/>
    </xf>
    <xf numFmtId="185" fontId="3" fillId="0" borderId="0" xfId="1" applyNumberFormat="1" applyFont="1" applyFill="1" applyBorder="1" applyProtection="1"/>
    <xf numFmtId="185" fontId="3" fillId="0" borderId="0" xfId="1" applyNumberFormat="1" applyFont="1" applyBorder="1" applyProtection="1"/>
    <xf numFmtId="185" fontId="3" fillId="0" borderId="0" xfId="1" applyNumberFormat="1" applyFont="1" applyBorder="1"/>
    <xf numFmtId="185" fontId="3" fillId="0" borderId="0" xfId="1" applyNumberFormat="1" applyFont="1" applyFill="1" applyBorder="1"/>
    <xf numFmtId="185" fontId="3" fillId="0" borderId="0" xfId="1" applyNumberFormat="1" applyFont="1" applyFill="1" applyBorder="1" applyAlignment="1" applyProtection="1">
      <alignment horizontal="center"/>
    </xf>
    <xf numFmtId="185" fontId="3" fillId="0" borderId="0" xfId="1" applyNumberFormat="1" applyFont="1" applyFill="1" applyBorder="1" applyAlignment="1">
      <alignment horizontal="center"/>
    </xf>
    <xf numFmtId="37" fontId="0" fillId="0" borderId="0" xfId="0" applyAlignment="1">
      <alignment horizontal="left" indent="2"/>
    </xf>
    <xf numFmtId="37" fontId="14" fillId="0" borderId="5" xfId="0" applyFont="1" applyBorder="1"/>
    <xf numFmtId="37" fontId="35" fillId="0" borderId="0" xfId="0" applyFont="1" applyAlignment="1">
      <alignment horizontal="right"/>
    </xf>
    <xf numFmtId="37" fontId="3" fillId="0" borderId="9" xfId="0" applyFont="1" applyBorder="1"/>
    <xf numFmtId="0" fontId="3" fillId="0" borderId="0" xfId="0" applyNumberFormat="1" applyFont="1"/>
    <xf numFmtId="37" fontId="3" fillId="0" borderId="21" xfId="0" applyFont="1" applyBorder="1"/>
    <xf numFmtId="185" fontId="12" fillId="0" borderId="0" xfId="1" applyNumberFormat="1" applyFont="1" applyFill="1"/>
    <xf numFmtId="10" fontId="3" fillId="0" borderId="0" xfId="13" applyNumberFormat="1" applyFont="1" applyAlignment="1" applyProtection="1">
      <alignment horizontal="center"/>
    </xf>
    <xf numFmtId="37" fontId="12" fillId="0" borderId="0" xfId="0" applyFont="1" applyAlignment="1">
      <alignment horizontal="left" indent="1"/>
    </xf>
    <xf numFmtId="37" fontId="0" fillId="0" borderId="5" xfId="0" applyBorder="1" applyAlignment="1" applyProtection="1">
      <alignment horizontal="center"/>
    </xf>
    <xf numFmtId="185" fontId="8" fillId="0" borderId="0" xfId="1" applyNumberFormat="1" applyFont="1"/>
    <xf numFmtId="5" fontId="12" fillId="0" borderId="0" xfId="0" applyNumberFormat="1" applyFont="1" applyProtection="1"/>
    <xf numFmtId="10" fontId="12" fillId="0" borderId="0" xfId="13" applyNumberFormat="1" applyFont="1"/>
    <xf numFmtId="185" fontId="3" fillId="0" borderId="0" xfId="1" applyNumberFormat="1" applyFont="1" applyBorder="1" applyAlignment="1">
      <alignment horizontal="center"/>
    </xf>
    <xf numFmtId="10" fontId="3" fillId="0" borderId="0" xfId="13" applyNumberFormat="1" applyFont="1" applyBorder="1" applyAlignment="1">
      <alignment horizontal="center"/>
    </xf>
    <xf numFmtId="37" fontId="0" fillId="0" borderId="0" xfId="0" applyAlignment="1">
      <alignment horizontal="left" indent="3"/>
    </xf>
    <xf numFmtId="185" fontId="3" fillId="0" borderId="5" xfId="1" applyNumberFormat="1" applyFont="1" applyFill="1" applyBorder="1" applyProtection="1"/>
    <xf numFmtId="9" fontId="3" fillId="0" borderId="0" xfId="13" applyFont="1" applyFill="1" applyBorder="1" applyAlignment="1">
      <alignment horizontal="center"/>
    </xf>
    <xf numFmtId="10" fontId="3" fillId="0" borderId="0" xfId="13" applyNumberFormat="1" applyFont="1" applyFill="1" applyBorder="1" applyAlignment="1">
      <alignment horizontal="center"/>
    </xf>
    <xf numFmtId="10" fontId="0" fillId="0" borderId="0" xfId="13" applyNumberFormat="1" applyFont="1" applyFill="1"/>
    <xf numFmtId="173" fontId="12" fillId="0" borderId="0" xfId="13" applyNumberFormat="1" applyFont="1" applyFill="1"/>
    <xf numFmtId="188" fontId="12" fillId="0" borderId="0" xfId="13" applyNumberFormat="1" applyFont="1" applyFill="1"/>
    <xf numFmtId="37" fontId="0" fillId="0" borderId="5" xfId="0" applyBorder="1" applyProtection="1"/>
    <xf numFmtId="9" fontId="0" fillId="0" borderId="0" xfId="13" applyFont="1" applyFill="1"/>
    <xf numFmtId="185" fontId="3" fillId="0" borderId="0" xfId="1" applyNumberFormat="1" applyFont="1" applyFill="1"/>
    <xf numFmtId="37" fontId="3" fillId="0" borderId="0" xfId="0" applyFont="1" applyAlignment="1" applyProtection="1">
      <alignment horizontal="center"/>
      <protection locked="0"/>
    </xf>
    <xf numFmtId="37" fontId="3" fillId="0" borderId="0" xfId="5"/>
    <xf numFmtId="37" fontId="4" fillId="0" borderId="0" xfId="5" applyFont="1"/>
    <xf numFmtId="37" fontId="3" fillId="0" borderId="0" xfId="5" applyAlignment="1" applyProtection="1">
      <alignment horizontal="left"/>
    </xf>
    <xf numFmtId="37" fontId="3" fillId="0" borderId="3" xfId="5" applyBorder="1" applyAlignment="1" applyProtection="1">
      <alignment horizontal="center"/>
    </xf>
    <xf numFmtId="37" fontId="3" fillId="0" borderId="3" xfId="5" applyBorder="1"/>
    <xf numFmtId="37" fontId="3" fillId="0" borderId="2" xfId="5" applyBorder="1" applyAlignment="1" applyProtection="1">
      <alignment horizontal="center"/>
    </xf>
    <xf numFmtId="37" fontId="3" fillId="0" borderId="0" xfId="5" applyProtection="1"/>
    <xf numFmtId="37" fontId="3" fillId="0" borderId="0" xfId="5" applyAlignment="1" applyProtection="1">
      <alignment horizontal="center"/>
    </xf>
    <xf numFmtId="37" fontId="6" fillId="0" borderId="0" xfId="5" applyFont="1" applyAlignment="1" applyProtection="1">
      <alignment horizontal="center"/>
    </xf>
    <xf numFmtId="179" fontId="3" fillId="0" borderId="0" xfId="5" applyNumberFormat="1"/>
    <xf numFmtId="37" fontId="4" fillId="0" borderId="0" xfId="5" applyFont="1" applyAlignment="1" applyProtection="1">
      <alignment horizontal="right"/>
    </xf>
    <xf numFmtId="37" fontId="14" fillId="0" borderId="5" xfId="5" applyFont="1" applyBorder="1" applyAlignment="1" applyProtection="1">
      <alignment horizontal="left"/>
    </xf>
    <xf numFmtId="185" fontId="12" fillId="0" borderId="0" xfId="1" applyNumberFormat="1" applyFont="1" applyFill="1" applyProtection="1">
      <protection locked="0"/>
    </xf>
    <xf numFmtId="185" fontId="12" fillId="0" borderId="0" xfId="1" applyNumberFormat="1" applyFont="1" applyFill="1" applyBorder="1" applyProtection="1"/>
    <xf numFmtId="44" fontId="0" fillId="0" borderId="0" xfId="2" applyFont="1" applyFill="1"/>
    <xf numFmtId="37" fontId="12" fillId="0" borderId="5" xfId="0" applyFont="1" applyBorder="1" applyProtection="1"/>
    <xf numFmtId="9" fontId="3" fillId="0" borderId="0" xfId="13" applyFont="1" applyFill="1" applyAlignment="1">
      <alignment horizontal="center"/>
    </xf>
    <xf numFmtId="10" fontId="3" fillId="0" borderId="0" xfId="13" applyNumberFormat="1" applyFont="1" applyFill="1" applyAlignment="1">
      <alignment horizontal="center"/>
    </xf>
    <xf numFmtId="37" fontId="12" fillId="0" borderId="8" xfId="0" applyFont="1" applyBorder="1"/>
    <xf numFmtId="37" fontId="12" fillId="0" borderId="1" xfId="0" applyFont="1" applyBorder="1"/>
    <xf numFmtId="37" fontId="12" fillId="0" borderId="8" xfId="0" applyFont="1" applyBorder="1" applyAlignment="1" applyProtection="1">
      <alignment horizontal="center"/>
    </xf>
    <xf numFmtId="37" fontId="12" fillId="0" borderId="21" xfId="0" applyFont="1" applyBorder="1" applyAlignment="1" applyProtection="1">
      <alignment horizontal="center"/>
    </xf>
    <xf numFmtId="37" fontId="12" fillId="0" borderId="25" xfId="0" applyFont="1" applyBorder="1" applyAlignment="1" applyProtection="1">
      <alignment horizontal="left"/>
    </xf>
    <xf numFmtId="182" fontId="8" fillId="0" borderId="0" xfId="2" applyNumberFormat="1" applyFont="1" applyProtection="1"/>
    <xf numFmtId="9" fontId="3" fillId="0" borderId="0" xfId="0" applyNumberFormat="1" applyFont="1" applyAlignment="1" applyProtection="1">
      <alignment horizontal="center"/>
    </xf>
    <xf numFmtId="9" fontId="3" fillId="0" borderId="0" xfId="13" applyFont="1" applyAlignment="1" applyProtection="1">
      <alignment horizontal="center"/>
    </xf>
    <xf numFmtId="9" fontId="3" fillId="0" borderId="0" xfId="0" applyNumberFormat="1" applyFont="1" applyAlignment="1">
      <alignment horizontal="center"/>
    </xf>
    <xf numFmtId="37" fontId="3" fillId="0" borderId="23" xfId="0" applyFont="1" applyBorder="1" applyAlignment="1">
      <alignment horizontal="center"/>
    </xf>
    <xf numFmtId="37" fontId="3" fillId="0" borderId="9" xfId="0" applyFont="1" applyBorder="1" applyAlignment="1" applyProtection="1">
      <alignment horizontal="center"/>
    </xf>
    <xf numFmtId="37" fontId="3" fillId="0" borderId="21" xfId="0" applyFont="1" applyBorder="1" applyAlignment="1">
      <alignment horizontal="center"/>
    </xf>
    <xf numFmtId="37" fontId="3" fillId="0" borderId="23" xfId="0" applyFont="1" applyBorder="1" applyAlignment="1" applyProtection="1">
      <alignment horizontal="center"/>
    </xf>
    <xf numFmtId="37" fontId="3" fillId="0" borderId="25" xfId="0" applyFont="1" applyBorder="1" applyAlignment="1">
      <alignment horizontal="center"/>
    </xf>
    <xf numFmtId="37" fontId="3" fillId="0" borderId="2" xfId="0" applyFont="1" applyBorder="1" applyAlignment="1" applyProtection="1">
      <alignment horizontal="right"/>
    </xf>
    <xf numFmtId="37" fontId="3" fillId="0" borderId="0" xfId="0" applyFont="1" applyAlignment="1" applyProtection="1">
      <alignment horizontal="right"/>
      <protection locked="0"/>
    </xf>
    <xf numFmtId="182" fontId="12" fillId="0" borderId="5" xfId="2" applyNumberFormat="1" applyFont="1" applyFill="1" applyBorder="1" applyProtection="1"/>
    <xf numFmtId="182" fontId="12" fillId="0" borderId="0" xfId="2" applyNumberFormat="1" applyFont="1" applyFill="1" applyBorder="1" applyProtection="1"/>
    <xf numFmtId="37" fontId="12" fillId="0" borderId="0" xfId="0" applyFont="1" applyAlignment="1">
      <alignment horizontal="right"/>
    </xf>
    <xf numFmtId="37" fontId="12" fillId="0" borderId="0" xfId="0" applyFont="1" applyAlignment="1" applyProtection="1">
      <alignment horizontal="right"/>
      <protection locked="0"/>
    </xf>
    <xf numFmtId="182" fontId="3" fillId="0" borderId="0" xfId="2" applyNumberFormat="1" applyFont="1" applyFill="1" applyBorder="1" applyProtection="1"/>
    <xf numFmtId="182" fontId="3" fillId="0" borderId="5" xfId="2" applyNumberFormat="1" applyFont="1" applyFill="1" applyBorder="1" applyProtection="1"/>
    <xf numFmtId="182" fontId="3" fillId="0" borderId="0" xfId="2" applyNumberFormat="1" applyFont="1" applyFill="1" applyProtection="1">
      <protection locked="0"/>
    </xf>
    <xf numFmtId="37" fontId="8" fillId="0" borderId="0" xfId="0" applyFont="1" applyAlignment="1">
      <alignment horizontal="right"/>
    </xf>
    <xf numFmtId="37" fontId="8" fillId="0" borderId="0" xfId="0" applyFont="1" applyAlignment="1" applyProtection="1">
      <alignment horizontal="right"/>
      <protection locked="0"/>
    </xf>
    <xf numFmtId="185" fontId="8" fillId="0" borderId="0" xfId="1" applyNumberFormat="1" applyFont="1" applyFill="1"/>
    <xf numFmtId="0" fontId="3" fillId="0" borderId="0" xfId="0" applyNumberFormat="1" applyFont="1" applyAlignment="1" applyProtection="1">
      <alignment horizontal="center"/>
    </xf>
    <xf numFmtId="37" fontId="14" fillId="0" borderId="0" xfId="0" applyFont="1" applyAlignment="1" applyProtection="1">
      <alignment horizontal="left"/>
    </xf>
    <xf numFmtId="37" fontId="3" fillId="0" borderId="27" xfId="0" applyFont="1" applyBorder="1" applyAlignment="1">
      <alignment horizontal="center"/>
    </xf>
    <xf numFmtId="37" fontId="3" fillId="0" borderId="27" xfId="0" applyFont="1" applyBorder="1" applyAlignment="1" applyProtection="1">
      <alignment horizontal="center"/>
    </xf>
    <xf numFmtId="185" fontId="8" fillId="0" borderId="0" xfId="1" applyNumberFormat="1" applyFont="1" applyProtection="1"/>
    <xf numFmtId="183" fontId="12" fillId="0" borderId="0" xfId="0" applyNumberFormat="1" applyFont="1" applyAlignment="1" applyProtection="1">
      <alignment horizontal="center"/>
      <protection locked="0"/>
    </xf>
    <xf numFmtId="37" fontId="12" fillId="0" borderId="0" xfId="0" applyFont="1" applyAlignment="1">
      <alignment horizontal="center"/>
    </xf>
    <xf numFmtId="183" fontId="12" fillId="0" borderId="0" xfId="0" applyNumberFormat="1" applyFont="1" applyAlignment="1" applyProtection="1">
      <alignment horizontal="center"/>
    </xf>
    <xf numFmtId="183" fontId="12" fillId="0" borderId="0" xfId="0" applyNumberFormat="1" applyFont="1" applyAlignment="1">
      <alignment horizontal="center"/>
    </xf>
    <xf numFmtId="37" fontId="12" fillId="0" borderId="0" xfId="0" quotePrefix="1" applyFont="1" applyAlignment="1">
      <alignment horizontal="center"/>
    </xf>
    <xf numFmtId="184" fontId="12" fillId="0" borderId="0" xfId="0" applyNumberFormat="1" applyFont="1" applyAlignment="1" applyProtection="1">
      <alignment horizontal="center"/>
      <protection locked="0"/>
    </xf>
    <xf numFmtId="183" fontId="8" fillId="0" borderId="0" xfId="0" applyNumberFormat="1" applyFont="1" applyAlignment="1" applyProtection="1">
      <alignment horizontal="center"/>
      <protection locked="0"/>
    </xf>
    <xf numFmtId="183" fontId="8" fillId="0" borderId="0" xfId="0" applyNumberFormat="1" applyFont="1" applyAlignment="1" applyProtection="1">
      <alignment horizontal="center"/>
    </xf>
    <xf numFmtId="183" fontId="8" fillId="0" borderId="0" xfId="0" applyNumberFormat="1" applyFont="1" applyAlignment="1">
      <alignment horizontal="center"/>
    </xf>
    <xf numFmtId="37" fontId="8" fillId="0" borderId="0" xfId="0" quotePrefix="1" applyFont="1" applyAlignment="1">
      <alignment horizontal="center"/>
    </xf>
    <xf numFmtId="183" fontId="8" fillId="0" borderId="0" xfId="0" quotePrefix="1" applyNumberFormat="1" applyFont="1" applyAlignment="1" applyProtection="1">
      <alignment horizontal="center"/>
      <protection locked="0"/>
    </xf>
    <xf numFmtId="184" fontId="8" fillId="0" borderId="0" xfId="0" applyNumberFormat="1" applyFont="1" applyAlignment="1" applyProtection="1">
      <alignment horizontal="center"/>
      <protection locked="0"/>
    </xf>
    <xf numFmtId="37" fontId="12" fillId="0" borderId="0" xfId="5" applyFont="1" applyAlignment="1" applyProtection="1">
      <alignment horizontal="left"/>
    </xf>
    <xf numFmtId="37" fontId="3" fillId="0" borderId="0" xfId="5" applyAlignment="1">
      <alignment horizontal="right"/>
    </xf>
    <xf numFmtId="37" fontId="3" fillId="0" borderId="0" xfId="5" applyAlignment="1" applyProtection="1">
      <alignment horizontal="right"/>
    </xf>
    <xf numFmtId="37" fontId="0" fillId="0" borderId="0" xfId="0" applyAlignment="1" applyProtection="1">
      <alignment horizontal="right"/>
    </xf>
    <xf numFmtId="37" fontId="0" fillId="0" borderId="28" xfId="0" applyBorder="1"/>
    <xf numFmtId="37" fontId="4" fillId="0" borderId="19" xfId="0" applyFont="1" applyBorder="1" applyAlignment="1" applyProtection="1">
      <alignment horizontal="center"/>
    </xf>
    <xf numFmtId="37" fontId="0" fillId="0" borderId="24" xfId="0" applyBorder="1"/>
    <xf numFmtId="37" fontId="17" fillId="0" borderId="0" xfId="0" applyFont="1" applyAlignment="1">
      <alignment horizontal="right"/>
    </xf>
    <xf numFmtId="37" fontId="12" fillId="0" borderId="5" xfId="0" applyFont="1" applyBorder="1" applyAlignment="1" applyProtection="1">
      <alignment horizontal="left"/>
    </xf>
    <xf numFmtId="182" fontId="0" fillId="0" borderId="0" xfId="2" applyNumberFormat="1" applyFont="1" applyFill="1" applyProtection="1"/>
    <xf numFmtId="174" fontId="11" fillId="0" borderId="0" xfId="0" applyNumberFormat="1" applyFont="1" applyProtection="1"/>
    <xf numFmtId="169" fontId="12" fillId="0" borderId="0" xfId="13" applyNumberFormat="1" applyFont="1"/>
    <xf numFmtId="10" fontId="8" fillId="0" borderId="0" xfId="13" applyNumberFormat="1" applyFont="1" applyBorder="1"/>
    <xf numFmtId="10" fontId="8" fillId="0" borderId="0" xfId="13" applyNumberFormat="1" applyFont="1" applyFill="1"/>
    <xf numFmtId="37" fontId="3" fillId="0" borderId="27" xfId="0" applyFont="1" applyBorder="1"/>
    <xf numFmtId="37" fontId="3" fillId="0" borderId="29" xfId="0" applyFont="1" applyBorder="1" applyAlignment="1" applyProtection="1">
      <alignment horizontal="center"/>
    </xf>
    <xf numFmtId="37" fontId="3" fillId="0" borderId="30" xfId="0" applyFont="1" applyBorder="1" applyAlignment="1" applyProtection="1">
      <alignment horizontal="center"/>
    </xf>
    <xf numFmtId="37" fontId="3" fillId="0" borderId="30" xfId="0" applyFont="1" applyBorder="1" applyAlignment="1">
      <alignment horizontal="center"/>
    </xf>
    <xf numFmtId="37" fontId="41" fillId="0" borderId="0" xfId="0" applyFont="1"/>
    <xf numFmtId="37" fontId="42" fillId="0" borderId="0" xfId="0" applyFont="1"/>
    <xf numFmtId="14" fontId="14" fillId="0" borderId="8" xfId="0" applyNumberFormat="1" applyFont="1" applyBorder="1" applyAlignment="1">
      <alignment horizontal="center"/>
    </xf>
    <xf numFmtId="37" fontId="43" fillId="0" borderId="0" xfId="0" applyFont="1"/>
    <xf numFmtId="185" fontId="3" fillId="0" borderId="0" xfId="1" applyNumberFormat="1" applyFont="1" applyFill="1" applyBorder="1" applyAlignment="1" applyProtection="1">
      <alignment horizontal="right"/>
    </xf>
    <xf numFmtId="185" fontId="3" fillId="0" borderId="0" xfId="1" applyNumberFormat="1" applyFont="1" applyFill="1" applyAlignment="1">
      <alignment horizontal="right"/>
    </xf>
    <xf numFmtId="186" fontId="0" fillId="0" borderId="5" xfId="0" applyNumberFormat="1" applyBorder="1" applyAlignment="1">
      <alignment horizontal="center"/>
    </xf>
    <xf numFmtId="37" fontId="3" fillId="0" borderId="0" xfId="0" applyFont="1" applyAlignment="1" applyProtection="1">
      <alignment horizontal="left" wrapText="1"/>
    </xf>
    <xf numFmtId="9" fontId="0" fillId="0" borderId="0" xfId="13" applyFont="1" applyFill="1" applyBorder="1" applyAlignment="1">
      <alignment horizontal="center"/>
    </xf>
    <xf numFmtId="185" fontId="0" fillId="0" borderId="0" xfId="1" applyNumberFormat="1" applyFont="1" applyFill="1"/>
    <xf numFmtId="37" fontId="0" fillId="0" borderId="7" xfId="0" applyBorder="1"/>
    <xf numFmtId="187" fontId="0" fillId="0" borderId="0" xfId="1" applyNumberFormat="1" applyFont="1" applyFill="1"/>
    <xf numFmtId="187" fontId="3" fillId="0" borderId="0" xfId="1" applyNumberFormat="1" applyFont="1" applyFill="1"/>
    <xf numFmtId="9" fontId="3" fillId="0" borderId="0" xfId="1" applyNumberFormat="1" applyFont="1" applyFill="1" applyAlignment="1">
      <alignment horizontal="center"/>
    </xf>
    <xf numFmtId="183" fontId="42" fillId="0" borderId="0" xfId="0" applyNumberFormat="1" applyFont="1" applyAlignment="1" applyProtection="1">
      <alignment horizontal="left"/>
      <protection locked="0"/>
    </xf>
    <xf numFmtId="0" fontId="42" fillId="0" borderId="0" xfId="0" applyNumberFormat="1" applyFont="1" applyAlignment="1">
      <alignment horizontal="center"/>
    </xf>
    <xf numFmtId="185" fontId="41" fillId="0" borderId="0" xfId="1" applyNumberFormat="1" applyFont="1" applyFill="1"/>
    <xf numFmtId="185" fontId="0" fillId="0" borderId="0" xfId="1" applyNumberFormat="1" applyFont="1" applyFill="1" applyProtection="1"/>
    <xf numFmtId="185" fontId="0" fillId="0" borderId="5" xfId="1" applyNumberFormat="1" applyFont="1" applyFill="1" applyBorder="1" applyProtection="1"/>
    <xf numFmtId="185" fontId="8" fillId="0" borderId="0" xfId="1" applyNumberFormat="1" applyFont="1" applyFill="1" applyAlignment="1">
      <alignment horizontal="right"/>
    </xf>
    <xf numFmtId="37" fontId="46" fillId="0" borderId="0" xfId="0" applyFont="1"/>
    <xf numFmtId="180" fontId="0" fillId="0" borderId="0" xfId="0" applyNumberFormat="1" applyAlignment="1">
      <alignment horizontal="center"/>
    </xf>
    <xf numFmtId="37" fontId="0" fillId="0" borderId="19" xfId="0" applyBorder="1"/>
    <xf numFmtId="37" fontId="0" fillId="0" borderId="10" xfId="0" applyBorder="1"/>
    <xf numFmtId="37" fontId="0" fillId="0" borderId="0" xfId="0" quotePrefix="1"/>
    <xf numFmtId="10" fontId="41" fillId="0" borderId="0" xfId="13" applyNumberFormat="1" applyFont="1"/>
    <xf numFmtId="37" fontId="0" fillId="0" borderId="0" xfId="0" quotePrefix="1" applyAlignment="1">
      <alignment horizontal="center"/>
    </xf>
    <xf numFmtId="37" fontId="49" fillId="0" borderId="0" xfId="0" applyFont="1"/>
    <xf numFmtId="169" fontId="26" fillId="0" borderId="0" xfId="13" applyNumberFormat="1" applyFont="1" applyFill="1"/>
    <xf numFmtId="10" fontId="3" fillId="0" borderId="0" xfId="13" applyNumberFormat="1" applyFont="1" applyFill="1" applyAlignment="1"/>
    <xf numFmtId="37" fontId="41" fillId="0" borderId="0" xfId="0" applyFont="1" applyProtection="1"/>
    <xf numFmtId="10" fontId="41" fillId="0" borderId="0" xfId="13" applyNumberFormat="1" applyFont="1" applyFill="1" applyAlignment="1">
      <alignment horizontal="center"/>
    </xf>
    <xf numFmtId="37" fontId="4" fillId="0" borderId="5" xfId="0" applyFont="1" applyBorder="1"/>
    <xf numFmtId="37" fontId="13" fillId="0" borderId="0" xfId="0" applyFont="1" applyAlignment="1" applyProtection="1">
      <alignment horizontal="left"/>
    </xf>
    <xf numFmtId="37" fontId="50" fillId="0" borderId="0" xfId="0" applyFont="1"/>
    <xf numFmtId="37" fontId="50" fillId="0" borderId="0" xfId="0" applyFont="1" applyProtection="1"/>
    <xf numFmtId="185" fontId="50" fillId="0" borderId="0" xfId="1" applyNumberFormat="1" applyFont="1" applyFill="1" applyProtection="1"/>
    <xf numFmtId="37" fontId="52" fillId="0" borderId="0" xfId="0" applyFont="1" applyAlignment="1">
      <alignment horizontal="right"/>
    </xf>
    <xf numFmtId="37" fontId="52" fillId="0" borderId="0" xfId="0" applyFont="1"/>
    <xf numFmtId="37" fontId="0" fillId="0" borderId="0" xfId="0" applyAlignment="1" applyProtection="1">
      <alignment horizontal="left" indent="1"/>
      <protection locked="0"/>
    </xf>
    <xf numFmtId="37" fontId="8" fillId="0" borderId="0" xfId="0" applyFont="1" applyAlignment="1" applyProtection="1">
      <alignment horizontal="right"/>
    </xf>
    <xf numFmtId="169" fontId="41" fillId="0" borderId="0" xfId="0" applyNumberFormat="1" applyFont="1" applyProtection="1"/>
    <xf numFmtId="37" fontId="41" fillId="0" borderId="0" xfId="0" applyFont="1" applyProtection="1">
      <protection locked="0"/>
    </xf>
    <xf numFmtId="10" fontId="41" fillId="0" borderId="0" xfId="0" applyNumberFormat="1" applyFont="1" applyProtection="1"/>
    <xf numFmtId="173" fontId="0" fillId="0" borderId="0" xfId="0" applyNumberFormat="1" applyProtection="1"/>
    <xf numFmtId="0" fontId="0" fillId="0" borderId="2" xfId="0" applyNumberFormat="1" applyBorder="1" applyAlignment="1" applyProtection="1">
      <alignment horizontal="center"/>
    </xf>
    <xf numFmtId="37" fontId="44" fillId="0" borderId="0" xfId="0" applyFont="1"/>
    <xf numFmtId="39" fontId="41" fillId="0" borderId="0" xfId="0" applyNumberFormat="1" applyFont="1"/>
    <xf numFmtId="175" fontId="3" fillId="0" borderId="0" xfId="0" applyNumberFormat="1" applyFont="1"/>
    <xf numFmtId="37" fontId="12" fillId="0" borderId="0" xfId="0" applyFont="1" applyAlignment="1" applyProtection="1">
      <alignment horizontal="right"/>
    </xf>
    <xf numFmtId="37" fontId="12" fillId="0" borderId="5" xfId="0" applyFont="1" applyBorder="1"/>
    <xf numFmtId="180" fontId="8" fillId="0" borderId="0" xfId="0" applyNumberFormat="1" applyFont="1"/>
    <xf numFmtId="37" fontId="3" fillId="0" borderId="0" xfId="0" quotePrefix="1" applyFont="1"/>
    <xf numFmtId="0" fontId="3" fillId="0" borderId="0" xfId="0" applyNumberFormat="1" applyFont="1" applyAlignment="1">
      <alignment horizontal="center"/>
    </xf>
    <xf numFmtId="182" fontId="3" fillId="0" borderId="0" xfId="2" applyNumberFormat="1" applyFont="1" applyFill="1" applyAlignment="1">
      <alignment horizontal="center"/>
    </xf>
    <xf numFmtId="185" fontId="3" fillId="0" borderId="0" xfId="1" applyNumberFormat="1" applyFont="1" applyFill="1" applyAlignment="1">
      <alignment horizontal="center"/>
    </xf>
    <xf numFmtId="3" fontId="0" fillId="0" borderId="0" xfId="0" quotePrefix="1" applyNumberFormat="1" applyAlignment="1">
      <alignment horizontal="left"/>
    </xf>
    <xf numFmtId="3" fontId="0" fillId="0" borderId="0" xfId="0" quotePrefix="1" applyNumberFormat="1" applyAlignment="1">
      <alignment horizontal="right"/>
    </xf>
    <xf numFmtId="10" fontId="0" fillId="0" borderId="0" xfId="13" quotePrefix="1" applyNumberFormat="1" applyFont="1" applyFill="1" applyAlignment="1">
      <alignment horizontal="right"/>
    </xf>
    <xf numFmtId="3" fontId="0" fillId="0" borderId="0" xfId="0" quotePrefix="1" applyNumberFormat="1"/>
    <xf numFmtId="37" fontId="41" fillId="0" borderId="0" xfId="0" applyFont="1" applyAlignment="1">
      <alignment horizontal="center"/>
    </xf>
    <xf numFmtId="37" fontId="0" fillId="4" borderId="0" xfId="0" applyFill="1"/>
    <xf numFmtId="182" fontId="0" fillId="0" borderId="7" xfId="2" applyNumberFormat="1" applyFont="1" applyFill="1" applyBorder="1"/>
    <xf numFmtId="37" fontId="54" fillId="0" borderId="0" xfId="0" applyFont="1"/>
    <xf numFmtId="37" fontId="50" fillId="0" borderId="0" xfId="0" applyFont="1" applyAlignment="1" applyProtection="1">
      <alignment horizontal="center"/>
    </xf>
    <xf numFmtId="183" fontId="19" fillId="0" borderId="0" xfId="0" applyNumberFormat="1" applyFont="1" applyAlignment="1">
      <alignment horizontal="left"/>
    </xf>
    <xf numFmtId="37" fontId="12" fillId="0" borderId="7" xfId="0" applyFont="1" applyBorder="1" applyProtection="1"/>
    <xf numFmtId="37" fontId="50" fillId="0" borderId="0" xfId="0" applyFont="1" applyAlignment="1" applyProtection="1">
      <alignment horizontal="left"/>
    </xf>
    <xf numFmtId="37" fontId="55" fillId="0" borderId="0" xfId="0" applyFont="1"/>
    <xf numFmtId="37" fontId="55" fillId="0" borderId="0" xfId="0" quotePrefix="1" applyFont="1" applyAlignment="1">
      <alignment horizontal="center"/>
    </xf>
    <xf numFmtId="37" fontId="55" fillId="0" borderId="0" xfId="0" applyFont="1" applyAlignment="1" applyProtection="1">
      <alignment horizontal="center"/>
    </xf>
    <xf numFmtId="165" fontId="55" fillId="0" borderId="0" xfId="0" applyNumberFormat="1" applyFont="1" applyProtection="1"/>
    <xf numFmtId="10" fontId="55" fillId="0" borderId="0" xfId="0" applyNumberFormat="1" applyFont="1" applyProtection="1"/>
    <xf numFmtId="170" fontId="51" fillId="0" borderId="0" xfId="0" applyNumberFormat="1" applyFont="1" applyProtection="1"/>
    <xf numFmtId="170" fontId="8" fillId="0" borderId="0" xfId="0" applyNumberFormat="1" applyFont="1" applyProtection="1"/>
    <xf numFmtId="37" fontId="5" fillId="0" borderId="0" xfId="0" applyFont="1" applyAlignment="1">
      <alignment horizontal="center"/>
    </xf>
    <xf numFmtId="37" fontId="50" fillId="0" borderId="0" xfId="0" applyFont="1" applyAlignment="1">
      <alignment horizontal="center"/>
    </xf>
    <xf numFmtId="37" fontId="55" fillId="0" borderId="0" xfId="0" applyFont="1" applyAlignment="1">
      <alignment horizontal="center"/>
    </xf>
    <xf numFmtId="37" fontId="55" fillId="0" borderId="0" xfId="0" applyFont="1" applyAlignment="1">
      <alignment horizontal="left"/>
    </xf>
    <xf numFmtId="185" fontId="55" fillId="0" borderId="0" xfId="1" applyNumberFormat="1" applyFont="1" applyFill="1" applyProtection="1"/>
    <xf numFmtId="37" fontId="55" fillId="0" borderId="0" xfId="0" applyFont="1" applyProtection="1"/>
    <xf numFmtId="185" fontId="55" fillId="0" borderId="0" xfId="1" applyNumberFormat="1" applyFont="1" applyFill="1"/>
    <xf numFmtId="185" fontId="55" fillId="0" borderId="0" xfId="1" applyNumberFormat="1" applyFont="1"/>
    <xf numFmtId="185" fontId="55" fillId="0" borderId="0" xfId="1" applyNumberFormat="1" applyFont="1" applyProtection="1"/>
    <xf numFmtId="37" fontId="4" fillId="0" borderId="0" xfId="0" applyFont="1" applyAlignment="1">
      <alignment horizontal="center"/>
    </xf>
    <xf numFmtId="3" fontId="41" fillId="0" borderId="0" xfId="0" applyNumberFormat="1" applyFont="1"/>
    <xf numFmtId="37" fontId="57" fillId="0" borderId="0" xfId="0" applyFont="1"/>
    <xf numFmtId="173" fontId="55" fillId="0" borderId="0" xfId="13" applyNumberFormat="1" applyFont="1" applyProtection="1"/>
    <xf numFmtId="37" fontId="8" fillId="0" borderId="7" xfId="0" applyFont="1" applyBorder="1" applyAlignment="1" applyProtection="1">
      <alignment horizontal="center"/>
    </xf>
    <xf numFmtId="37" fontId="50" fillId="0" borderId="0" xfId="0" applyFont="1" applyAlignment="1">
      <alignment horizontal="right"/>
    </xf>
    <xf numFmtId="37" fontId="50" fillId="0" borderId="0" xfId="0" quotePrefix="1" applyFont="1" applyProtection="1"/>
    <xf numFmtId="37" fontId="3" fillId="5" borderId="0" xfId="0" applyFont="1" applyFill="1"/>
    <xf numFmtId="37" fontId="3" fillId="5" borderId="0" xfId="0" applyFont="1" applyFill="1" applyProtection="1"/>
    <xf numFmtId="10" fontId="3" fillId="5" borderId="0" xfId="0" applyNumberFormat="1" applyFont="1" applyFill="1" applyProtection="1"/>
    <xf numFmtId="10" fontId="3" fillId="5" borderId="0" xfId="13" applyNumberFormat="1" applyFont="1" applyFill="1" applyBorder="1"/>
    <xf numFmtId="166" fontId="3" fillId="5" borderId="0" xfId="0" applyNumberFormat="1" applyFont="1" applyFill="1" applyProtection="1"/>
    <xf numFmtId="182" fontId="4" fillId="5" borderId="0" xfId="2" applyNumberFormat="1" applyFont="1" applyFill="1" applyProtection="1"/>
    <xf numFmtId="37" fontId="8" fillId="5" borderId="0" xfId="0" applyFont="1" applyFill="1"/>
    <xf numFmtId="37" fontId="0" fillId="0" borderId="0" xfId="0" applyAlignment="1" applyProtection="1">
      <alignment horizontal="left"/>
      <protection locked="0"/>
    </xf>
    <xf numFmtId="0" fontId="23" fillId="0" borderId="0" xfId="0" applyNumberFormat="1" applyFont="1"/>
    <xf numFmtId="37" fontId="44" fillId="0" borderId="0" xfId="0" applyFont="1" applyAlignment="1">
      <alignment horizontal="centerContinuous"/>
    </xf>
    <xf numFmtId="37" fontId="59" fillId="0" borderId="0" xfId="0" applyFont="1"/>
    <xf numFmtId="37" fontId="44" fillId="0" borderId="0" xfId="0" applyFont="1" applyProtection="1"/>
    <xf numFmtId="190" fontId="3" fillId="0" borderId="0" xfId="0" applyNumberFormat="1" applyFont="1"/>
    <xf numFmtId="37" fontId="0" fillId="0" borderId="31" xfId="0" applyBorder="1"/>
    <xf numFmtId="37" fontId="3" fillId="0" borderId="31" xfId="0" applyFont="1" applyBorder="1"/>
    <xf numFmtId="37" fontId="59" fillId="0" borderId="0" xfId="0" applyFont="1" applyProtection="1">
      <protection locked="0"/>
    </xf>
    <xf numFmtId="37" fontId="3" fillId="0" borderId="31" xfId="0" applyFont="1" applyBorder="1" applyAlignment="1" applyProtection="1">
      <alignment horizontal="center"/>
    </xf>
    <xf numFmtId="10" fontId="61" fillId="0" borderId="0" xfId="13" applyNumberFormat="1" applyFont="1" applyAlignment="1" applyProtection="1">
      <alignment horizontal="center"/>
    </xf>
    <xf numFmtId="37" fontId="61" fillId="0" borderId="0" xfId="0" applyFont="1"/>
    <xf numFmtId="10" fontId="61" fillId="0" borderId="0" xfId="13" applyNumberFormat="1" applyFont="1" applyFill="1" applyAlignment="1" applyProtection="1">
      <alignment horizontal="center"/>
    </xf>
    <xf numFmtId="37" fontId="14" fillId="0" borderId="31" xfId="0" applyFont="1" applyBorder="1"/>
    <xf numFmtId="37" fontId="63" fillId="0" borderId="0" xfId="0" applyFont="1"/>
    <xf numFmtId="10" fontId="3" fillId="0" borderId="0" xfId="13" applyNumberFormat="1" applyFont="1" applyFill="1"/>
    <xf numFmtId="37" fontId="14" fillId="0" borderId="7" xfId="0" applyFont="1" applyBorder="1"/>
    <xf numFmtId="37" fontId="14" fillId="0" borderId="0" xfId="0" applyFont="1" applyAlignment="1">
      <alignment horizontal="left"/>
    </xf>
    <xf numFmtId="37" fontId="23" fillId="0" borderId="0" xfId="0" applyFont="1" applyAlignment="1">
      <alignment horizontal="left"/>
    </xf>
    <xf numFmtId="37" fontId="0" fillId="0" borderId="0" xfId="0" applyAlignment="1" applyProtection="1">
      <alignment horizontal="left" indent="2"/>
    </xf>
    <xf numFmtId="37" fontId="0" fillId="0" borderId="0" xfId="0" applyAlignment="1" applyProtection="1">
      <alignment horizontal="left" indent="5"/>
    </xf>
    <xf numFmtId="186" fontId="0" fillId="0" borderId="0" xfId="0" quotePrefix="1" applyNumberFormat="1"/>
    <xf numFmtId="37" fontId="42" fillId="0" borderId="0" xfId="0" applyFont="1" applyAlignment="1">
      <alignment horizontal="left"/>
    </xf>
    <xf numFmtId="37" fontId="8" fillId="0" borderId="23" xfId="0" applyFont="1" applyBorder="1" applyAlignment="1">
      <alignment horizontal="center"/>
    </xf>
    <xf numFmtId="37" fontId="8" fillId="0" borderId="7" xfId="0" applyFont="1" applyBorder="1" applyAlignment="1">
      <alignment horizontal="center"/>
    </xf>
    <xf numFmtId="37" fontId="8" fillId="0" borderId="7" xfId="0" applyFont="1" applyBorder="1" applyAlignment="1" applyProtection="1">
      <alignment horizontal="center"/>
      <protection locked="0"/>
    </xf>
    <xf numFmtId="37" fontId="8" fillId="0" borderId="21" xfId="0" applyFont="1" applyBorder="1" applyAlignment="1">
      <alignment horizontal="center"/>
    </xf>
    <xf numFmtId="37" fontId="8" fillId="0" borderId="5" xfId="0" applyFont="1" applyBorder="1" applyAlignment="1" applyProtection="1">
      <alignment horizontal="center"/>
      <protection locked="0"/>
    </xf>
    <xf numFmtId="37" fontId="19" fillId="0" borderId="0" xfId="0" quotePrefix="1" applyFont="1"/>
    <xf numFmtId="37" fontId="5" fillId="0" borderId="0" xfId="0" applyFont="1" applyAlignment="1">
      <alignment horizontal="centerContinuous"/>
    </xf>
    <xf numFmtId="37" fontId="53" fillId="0" borderId="0" xfId="0" applyFont="1"/>
    <xf numFmtId="37" fontId="41" fillId="0" borderId="0" xfId="0" applyFont="1" applyAlignment="1">
      <alignment horizontal="left"/>
    </xf>
    <xf numFmtId="37" fontId="8" fillId="0" borderId="24" xfId="0" applyFont="1" applyBorder="1" applyAlignment="1" applyProtection="1">
      <alignment horizontal="center"/>
      <protection locked="0"/>
    </xf>
    <xf numFmtId="0" fontId="25" fillId="0" borderId="0" xfId="6" applyFont="1"/>
    <xf numFmtId="43" fontId="35" fillId="0" borderId="0" xfId="1" applyFont="1" applyFill="1"/>
    <xf numFmtId="185" fontId="35" fillId="0" borderId="0" xfId="1" applyNumberFormat="1" applyFont="1" applyFill="1"/>
    <xf numFmtId="10" fontId="35" fillId="0" borderId="0" xfId="13" applyNumberFormat="1" applyFont="1" applyFill="1"/>
    <xf numFmtId="5" fontId="26" fillId="0" borderId="0" xfId="1" applyNumberFormat="1" applyFont="1" applyFill="1" applyBorder="1"/>
    <xf numFmtId="0" fontId="19" fillId="0" borderId="0" xfId="0" quotePrefix="1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3" fillId="0" borderId="0" xfId="0" applyNumberFormat="1" applyFont="1"/>
    <xf numFmtId="37" fontId="3" fillId="0" borderId="7" xfId="0" applyFont="1" applyBorder="1" applyAlignment="1" applyProtection="1">
      <alignment horizontal="center"/>
      <protection locked="0"/>
    </xf>
    <xf numFmtId="37" fontId="0" fillId="0" borderId="7" xfId="0" applyBorder="1" applyAlignment="1">
      <alignment horizontal="center"/>
    </xf>
    <xf numFmtId="37" fontId="3" fillId="0" borderId="26" xfId="0" applyFont="1" applyBorder="1" applyAlignment="1">
      <alignment horizontal="center"/>
    </xf>
    <xf numFmtId="37" fontId="3" fillId="0" borderId="5" xfId="0" applyFont="1" applyBorder="1" applyAlignment="1" applyProtection="1">
      <alignment horizontal="center"/>
      <protection locked="0"/>
    </xf>
    <xf numFmtId="37" fontId="3" fillId="0" borderId="22" xfId="0" applyFont="1" applyBorder="1" applyAlignment="1">
      <alignment horizontal="center"/>
    </xf>
    <xf numFmtId="180" fontId="0" fillId="0" borderId="0" xfId="0" applyNumberFormat="1"/>
    <xf numFmtId="183" fontId="3" fillId="0" borderId="0" xfId="0" applyNumberFormat="1" applyFont="1" applyAlignment="1" applyProtection="1">
      <alignment horizontal="left"/>
      <protection locked="0"/>
    </xf>
    <xf numFmtId="5" fontId="3" fillId="0" borderId="0" xfId="0" applyNumberFormat="1" applyFont="1"/>
    <xf numFmtId="37" fontId="0" fillId="0" borderId="0" xfId="0" applyAlignment="1">
      <alignment horizontal="right"/>
    </xf>
    <xf numFmtId="37" fontId="3" fillId="0" borderId="7" xfId="0" applyFont="1" applyBorder="1" applyAlignment="1" applyProtection="1">
      <alignment horizontal="left"/>
      <protection locked="0"/>
    </xf>
    <xf numFmtId="37" fontId="3" fillId="0" borderId="24" xfId="0" applyFont="1" applyBorder="1" applyAlignment="1" applyProtection="1">
      <alignment horizontal="center"/>
      <protection locked="0"/>
    </xf>
    <xf numFmtId="37" fontId="3" fillId="0" borderId="5" xfId="0" applyFont="1" applyBorder="1" applyAlignment="1" applyProtection="1">
      <alignment horizontal="left"/>
      <protection locked="0"/>
    </xf>
    <xf numFmtId="170" fontId="3" fillId="0" borderId="0" xfId="13" applyNumberFormat="1" applyFont="1" applyFill="1"/>
    <xf numFmtId="174" fontId="3" fillId="0" borderId="0" xfId="13" applyNumberFormat="1" applyFont="1" applyFill="1"/>
    <xf numFmtId="0" fontId="3" fillId="0" borderId="0" xfId="0" quotePrefix="1" applyNumberFormat="1" applyFont="1" applyAlignment="1">
      <alignment horizontal="center"/>
    </xf>
    <xf numFmtId="182" fontId="8" fillId="0" borderId="0" xfId="2" applyNumberFormat="1" applyFont="1" applyFill="1"/>
    <xf numFmtId="9" fontId="8" fillId="0" borderId="0" xfId="13" applyFont="1" applyFill="1"/>
    <xf numFmtId="170" fontId="8" fillId="0" borderId="0" xfId="13" applyNumberFormat="1" applyFont="1" applyFill="1"/>
    <xf numFmtId="9" fontId="3" fillId="0" borderId="0" xfId="13" applyFont="1" applyFill="1"/>
    <xf numFmtId="9" fontId="41" fillId="0" borderId="0" xfId="13" applyFont="1" applyFill="1"/>
    <xf numFmtId="170" fontId="41" fillId="0" borderId="0" xfId="13" applyNumberFormat="1" applyFont="1" applyFill="1"/>
    <xf numFmtId="40" fontId="30" fillId="0" borderId="0" xfId="8" applyFont="1" applyFill="1" applyAlignment="1">
      <alignment horizontal="left"/>
    </xf>
    <xf numFmtId="37" fontId="21" fillId="0" borderId="0" xfId="0" applyFont="1" applyProtection="1"/>
    <xf numFmtId="37" fontId="60" fillId="0" borderId="0" xfId="0" applyFont="1"/>
    <xf numFmtId="9" fontId="0" fillId="0" borderId="0" xfId="13" applyFont="1" applyFill="1" applyBorder="1" applyAlignment="1" applyProtection="1">
      <alignment horizontal="center"/>
    </xf>
    <xf numFmtId="185" fontId="6" fillId="0" borderId="0" xfId="1" applyNumberFormat="1" applyFont="1" applyFill="1" applyBorder="1" applyProtection="1"/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37" fontId="6" fillId="0" borderId="0" xfId="0" applyFont="1" applyAlignment="1" applyProtection="1">
      <alignment horizontal="left"/>
    </xf>
    <xf numFmtId="10" fontId="0" fillId="0" borderId="0" xfId="13" applyNumberFormat="1" applyFont="1" applyFill="1" applyBorder="1" applyAlignment="1">
      <alignment horizontal="center"/>
    </xf>
    <xf numFmtId="167" fontId="0" fillId="0" borderId="0" xfId="0" applyNumberFormat="1" applyAlignment="1" applyProtection="1">
      <alignment horizontal="centerContinuous"/>
    </xf>
    <xf numFmtId="168" fontId="0" fillId="0" borderId="0" xfId="0" applyNumberFormat="1" applyAlignment="1" applyProtection="1">
      <alignment horizontal="centerContinuous"/>
    </xf>
    <xf numFmtId="37" fontId="5" fillId="0" borderId="0" xfId="0" applyFont="1" applyAlignment="1" applyProtection="1">
      <alignment horizontal="center"/>
      <protection locked="0"/>
    </xf>
    <xf numFmtId="169" fontId="0" fillId="0" borderId="0" xfId="0" applyNumberFormat="1" applyProtection="1"/>
    <xf numFmtId="180" fontId="0" fillId="0" borderId="2" xfId="0" applyNumberFormat="1" applyBorder="1" applyAlignment="1" applyProtection="1">
      <alignment horizontal="center"/>
      <protection locked="0"/>
    </xf>
    <xf numFmtId="37" fontId="33" fillId="0" borderId="0" xfId="0" applyFont="1"/>
    <xf numFmtId="37" fontId="0" fillId="0" borderId="0" xfId="0" applyAlignment="1" applyProtection="1">
      <alignment horizontal="right"/>
      <protection locked="0"/>
    </xf>
    <xf numFmtId="37" fontId="0" fillId="0" borderId="5" xfId="0" applyBorder="1" applyAlignment="1">
      <alignment horizontal="right"/>
    </xf>
    <xf numFmtId="37" fontId="0" fillId="0" borderId="20" xfId="0" applyBorder="1" applyAlignment="1">
      <alignment horizontal="center"/>
    </xf>
    <xf numFmtId="189" fontId="0" fillId="0" borderId="0" xfId="0" applyNumberFormat="1" applyAlignment="1">
      <alignment horizontal="center"/>
    </xf>
    <xf numFmtId="18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center"/>
    </xf>
    <xf numFmtId="189" fontId="0" fillId="0" borderId="5" xfId="0" applyNumberFormat="1" applyBorder="1"/>
    <xf numFmtId="180" fontId="0" fillId="0" borderId="2" xfId="0" applyNumberFormat="1" applyBorder="1"/>
    <xf numFmtId="49" fontId="0" fillId="0" borderId="2" xfId="0" applyNumberFormat="1" applyBorder="1" applyAlignment="1" applyProtection="1">
      <alignment horizontal="center"/>
    </xf>
    <xf numFmtId="37" fontId="12" fillId="0" borderId="5" xfId="0" applyFont="1" applyBorder="1" applyAlignment="1" applyProtection="1">
      <alignment horizontal="center"/>
    </xf>
    <xf numFmtId="37" fontId="13" fillId="0" borderId="5" xfId="0" applyFont="1" applyBorder="1"/>
    <xf numFmtId="37" fontId="12" fillId="0" borderId="2" xfId="0" applyFont="1" applyBorder="1" applyAlignment="1" applyProtection="1">
      <alignment horizontal="center"/>
    </xf>
    <xf numFmtId="180" fontId="12" fillId="0" borderId="2" xfId="0" applyNumberFormat="1" applyFont="1" applyBorder="1"/>
    <xf numFmtId="49" fontId="12" fillId="0" borderId="2" xfId="0" applyNumberFormat="1" applyFont="1" applyBorder="1" applyAlignment="1" applyProtection="1">
      <alignment horizontal="center"/>
    </xf>
    <xf numFmtId="10" fontId="66" fillId="0" borderId="0" xfId="13" applyNumberFormat="1" applyFont="1" applyFill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Alignment="1">
      <alignment horizontal="centerContinuous"/>
    </xf>
    <xf numFmtId="0" fontId="4" fillId="0" borderId="11" xfId="0" applyNumberFormat="1" applyFont="1" applyBorder="1" applyAlignment="1">
      <alignment horizontal="centerContinuous"/>
    </xf>
    <xf numFmtId="0" fontId="0" fillId="0" borderId="12" xfId="0" applyNumberFormat="1" applyBorder="1" applyAlignment="1">
      <alignment horizontal="centerContinuous"/>
    </xf>
    <xf numFmtId="0" fontId="0" fillId="0" borderId="13" xfId="0" applyNumberFormat="1" applyBorder="1" applyAlignment="1">
      <alignment horizontal="centerContinuous"/>
    </xf>
    <xf numFmtId="37" fontId="0" fillId="0" borderId="14" xfId="0" applyBorder="1"/>
    <xf numFmtId="37" fontId="0" fillId="0" borderId="15" xfId="0" applyBorder="1" applyAlignment="1" applyProtection="1">
      <alignment horizontal="center"/>
    </xf>
    <xf numFmtId="37" fontId="0" fillId="0" borderId="16" xfId="0" applyBorder="1" applyAlignment="1" applyProtection="1">
      <alignment horizontal="center"/>
    </xf>
    <xf numFmtId="37" fontId="0" fillId="0" borderId="17" xfId="0" applyBorder="1"/>
    <xf numFmtId="37" fontId="0" fillId="0" borderId="17" xfId="0" applyBorder="1" applyAlignment="1" applyProtection="1">
      <alignment horizontal="center"/>
    </xf>
    <xf numFmtId="37" fontId="0" fillId="0" borderId="18" xfId="0" applyBorder="1" applyAlignment="1" applyProtection="1">
      <alignment horizontal="center"/>
    </xf>
    <xf numFmtId="10" fontId="0" fillId="0" borderId="0" xfId="13" applyNumberFormat="1" applyFont="1" applyFill="1" applyProtection="1"/>
    <xf numFmtId="10" fontId="0" fillId="0" borderId="0" xfId="0" applyNumberFormat="1"/>
    <xf numFmtId="9" fontId="0" fillId="0" borderId="0" xfId="0" applyNumberFormat="1"/>
    <xf numFmtId="37" fontId="47" fillId="0" borderId="0" xfId="0" applyFont="1"/>
    <xf numFmtId="167" fontId="3" fillId="0" borderId="0" xfId="0" applyNumberFormat="1" applyFont="1" applyProtection="1"/>
    <xf numFmtId="37" fontId="3" fillId="0" borderId="0" xfId="0" applyFont="1" applyAlignment="1">
      <alignment horizontal="left" indent="1"/>
    </xf>
    <xf numFmtId="37" fontId="3" fillId="0" borderId="0" xfId="0" quotePrefix="1" applyFont="1" applyAlignment="1">
      <alignment horizontal="center"/>
    </xf>
    <xf numFmtId="37" fontId="3" fillId="0" borderId="23" xfId="0" applyFont="1" applyBorder="1" applyAlignment="1" applyProtection="1">
      <alignment horizontal="left"/>
    </xf>
    <xf numFmtId="37" fontId="3" fillId="0" borderId="9" xfId="0" applyFont="1" applyBorder="1" applyAlignment="1" applyProtection="1">
      <alignment horizontal="left"/>
    </xf>
    <xf numFmtId="37" fontId="0" fillId="0" borderId="9" xfId="0" applyBorder="1"/>
    <xf numFmtId="37" fontId="3" fillId="0" borderId="8" xfId="0" applyFont="1" applyBorder="1" applyAlignment="1" applyProtection="1">
      <alignment horizontal="left"/>
    </xf>
    <xf numFmtId="37" fontId="3" fillId="0" borderId="1" xfId="0" applyFont="1" applyBorder="1" applyAlignment="1" applyProtection="1">
      <alignment horizontal="left"/>
    </xf>
    <xf numFmtId="37" fontId="3" fillId="0" borderId="8" xfId="0" applyFont="1" applyBorder="1"/>
    <xf numFmtId="37" fontId="14" fillId="0" borderId="8" xfId="0" applyFont="1" applyBorder="1" applyAlignment="1" applyProtection="1">
      <alignment horizontal="center"/>
    </xf>
    <xf numFmtId="0" fontId="0" fillId="0" borderId="0" xfId="0" applyNumberFormat="1"/>
    <xf numFmtId="44" fontId="3" fillId="0" borderId="0" xfId="2" applyFont="1" applyFill="1"/>
    <xf numFmtId="43" fontId="3" fillId="0" borderId="0" xfId="1" applyFont="1" applyFill="1" applyAlignment="1" applyProtection="1">
      <alignment horizontal="left"/>
    </xf>
    <xf numFmtId="182" fontId="3" fillId="0" borderId="0" xfId="13" applyNumberFormat="1" applyFont="1" applyFill="1" applyAlignment="1">
      <alignment horizontal="center"/>
    </xf>
    <xf numFmtId="185" fontId="3" fillId="0" borderId="5" xfId="1" applyNumberFormat="1" applyFont="1" applyFill="1" applyBorder="1"/>
    <xf numFmtId="43" fontId="14" fillId="0" borderId="0" xfId="1" applyFont="1" applyFill="1" applyAlignment="1" applyProtection="1">
      <alignment horizontal="left"/>
    </xf>
    <xf numFmtId="185" fontId="0" fillId="0" borderId="5" xfId="1" applyNumberFormat="1" applyFont="1" applyFill="1" applyBorder="1"/>
    <xf numFmtId="0" fontId="8" fillId="0" borderId="0" xfId="1" applyNumberFormat="1" applyFont="1" applyFill="1" applyAlignment="1" applyProtection="1">
      <alignment horizontal="right"/>
    </xf>
    <xf numFmtId="43" fontId="8" fillId="0" borderId="0" xfId="1" applyFont="1" applyFill="1" applyAlignment="1" applyProtection="1">
      <alignment horizontal="left"/>
    </xf>
    <xf numFmtId="37" fontId="3" fillId="0" borderId="1" xfId="0" applyFont="1" applyBorder="1"/>
    <xf numFmtId="182" fontId="0" fillId="0" borderId="0" xfId="13" applyNumberFormat="1" applyFont="1" applyFill="1" applyAlignment="1">
      <alignment horizontal="center"/>
    </xf>
    <xf numFmtId="185" fontId="0" fillId="0" borderId="0" xfId="1" applyNumberFormat="1" applyFont="1" applyFill="1" applyBorder="1"/>
    <xf numFmtId="37" fontId="14" fillId="0" borderId="8" xfId="0" applyFont="1" applyBorder="1" applyAlignment="1">
      <alignment horizontal="center"/>
    </xf>
    <xf numFmtId="37" fontId="14" fillId="0" borderId="21" xfId="0" applyFont="1" applyBorder="1" applyAlignment="1" applyProtection="1">
      <alignment horizontal="center"/>
    </xf>
    <xf numFmtId="185" fontId="3" fillId="0" borderId="7" xfId="1" applyNumberFormat="1" applyFont="1" applyFill="1" applyBorder="1"/>
    <xf numFmtId="0" fontId="3" fillId="0" borderId="0" xfId="0" applyNumberFormat="1" applyFont="1" applyAlignment="1" applyProtection="1">
      <alignment horizontal="left"/>
    </xf>
    <xf numFmtId="0" fontId="0" fillId="0" borderId="0" xfId="0" applyNumberFormat="1" applyAlignment="1">
      <alignment horizontal="center"/>
    </xf>
    <xf numFmtId="185" fontId="0" fillId="0" borderId="7" xfId="1" applyNumberFormat="1" applyFont="1" applyFill="1" applyBorder="1"/>
    <xf numFmtId="182" fontId="3" fillId="0" borderId="0" xfId="2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167" fontId="12" fillId="0" borderId="0" xfId="0" applyNumberFormat="1" applyFont="1" applyAlignment="1" applyProtection="1">
      <alignment horizontal="centerContinuous"/>
    </xf>
    <xf numFmtId="168" fontId="12" fillId="0" borderId="0" xfId="0" applyNumberFormat="1" applyFont="1" applyAlignment="1" applyProtection="1">
      <alignment horizontal="centerContinuous"/>
    </xf>
    <xf numFmtId="37" fontId="12" fillId="0" borderId="2" xfId="0" applyFont="1" applyBorder="1" applyAlignment="1">
      <alignment horizontal="right"/>
    </xf>
    <xf numFmtId="37" fontId="12" fillId="0" borderId="3" xfId="0" applyFont="1" applyBorder="1" applyAlignment="1" applyProtection="1">
      <alignment horizontal="center"/>
    </xf>
    <xf numFmtId="37" fontId="12" fillId="0" borderId="3" xfId="0" applyFont="1" applyBorder="1"/>
    <xf numFmtId="37" fontId="12" fillId="0" borderId="3" xfId="0" applyFont="1" applyBorder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quotePrefix="1" applyNumberFormat="1" applyFont="1" applyAlignment="1" applyProtection="1">
      <alignment horizontal="left"/>
      <protection locked="0"/>
    </xf>
    <xf numFmtId="172" fontId="12" fillId="0" borderId="0" xfId="0" applyNumberFormat="1" applyFont="1" applyProtection="1"/>
    <xf numFmtId="172" fontId="12" fillId="0" borderId="0" xfId="0" applyNumberFormat="1" applyFont="1" applyProtection="1">
      <protection locked="0"/>
    </xf>
    <xf numFmtId="37" fontId="15" fillId="0" borderId="0" xfId="0" applyFont="1" applyProtection="1">
      <protection locked="0"/>
    </xf>
    <xf numFmtId="10" fontId="12" fillId="0" borderId="0" xfId="0" applyNumberFormat="1" applyFont="1" applyProtection="1">
      <protection locked="0"/>
    </xf>
    <xf numFmtId="37" fontId="15" fillId="0" borderId="0" xfId="0" applyFont="1"/>
    <xf numFmtId="37" fontId="4" fillId="0" borderId="0" xfId="0" applyFont="1" applyAlignment="1" applyProtection="1">
      <alignment horizontal="center"/>
    </xf>
    <xf numFmtId="37" fontId="14" fillId="0" borderId="5" xfId="0" applyFont="1" applyBorder="1" applyAlignment="1" applyProtection="1">
      <alignment horizontal="left"/>
    </xf>
    <xf numFmtId="37" fontId="0" fillId="0" borderId="0" xfId="0" applyAlignment="1" applyProtection="1">
      <alignment horizontal="left" indent="1"/>
    </xf>
    <xf numFmtId="9" fontId="0" fillId="0" borderId="0" xfId="13" quotePrefix="1" applyFont="1" applyFill="1" applyAlignment="1">
      <alignment horizontal="center"/>
    </xf>
    <xf numFmtId="0" fontId="0" fillId="0" borderId="0" xfId="0" applyNumberFormat="1" applyAlignment="1" applyProtection="1">
      <alignment horizontal="center"/>
    </xf>
    <xf numFmtId="10" fontId="3" fillId="0" borderId="0" xfId="13" applyNumberFormat="1" applyFont="1" applyFill="1" applyAlignment="1" applyProtection="1">
      <alignment horizontal="center"/>
    </xf>
    <xf numFmtId="37" fontId="14" fillId="0" borderId="0" xfId="0" applyFont="1" applyAlignment="1" applyProtection="1">
      <alignment horizontal="left" indent="1"/>
    </xf>
    <xf numFmtId="37" fontId="12" fillId="0" borderId="0" xfId="0" applyFont="1" applyAlignment="1" applyProtection="1">
      <alignment horizontal="left" indent="3"/>
    </xf>
    <xf numFmtId="37" fontId="9" fillId="0" borderId="0" xfId="0" applyFont="1" applyAlignment="1" applyProtection="1">
      <alignment horizontal="left"/>
    </xf>
    <xf numFmtId="37" fontId="42" fillId="0" borderId="0" xfId="0" applyFont="1" applyAlignment="1" applyProtection="1">
      <alignment horizontal="left"/>
    </xf>
    <xf numFmtId="185" fontId="0" fillId="0" borderId="0" xfId="1" applyNumberFormat="1" applyFont="1" applyFill="1" applyBorder="1" applyAlignment="1">
      <alignment horizontal="center"/>
    </xf>
    <xf numFmtId="10" fontId="3" fillId="0" borderId="0" xfId="13" applyNumberFormat="1" applyFont="1" applyFill="1" applyBorder="1" applyAlignment="1" applyProtection="1">
      <alignment horizontal="center"/>
    </xf>
    <xf numFmtId="37" fontId="0" fillId="0" borderId="4" xfId="0" applyBorder="1"/>
    <xf numFmtId="37" fontId="4" fillId="0" borderId="4" xfId="0" applyFont="1" applyBorder="1" applyAlignment="1" applyProtection="1">
      <alignment horizontal="center"/>
    </xf>
    <xf numFmtId="37" fontId="4" fillId="0" borderId="2" xfId="0" applyFont="1" applyBorder="1" applyAlignment="1" applyProtection="1">
      <alignment horizontal="center"/>
    </xf>
    <xf numFmtId="37" fontId="12" fillId="0" borderId="5" xfId="0" applyFont="1" applyBorder="1" applyAlignment="1">
      <alignment horizontal="center"/>
    </xf>
    <xf numFmtId="37" fontId="67" fillId="0" borderId="0" xfId="0" applyFont="1"/>
    <xf numFmtId="3" fontId="12" fillId="0" borderId="0" xfId="0" applyNumberFormat="1" applyFont="1"/>
    <xf numFmtId="10" fontId="12" fillId="0" borderId="0" xfId="0" applyNumberFormat="1" applyFont="1"/>
    <xf numFmtId="37" fontId="34" fillId="0" borderId="0" xfId="0" applyFont="1"/>
    <xf numFmtId="37" fontId="12" fillId="0" borderId="31" xfId="0" applyFont="1" applyBorder="1" applyAlignment="1" applyProtection="1">
      <alignment horizontal="left"/>
    </xf>
    <xf numFmtId="37" fontId="0" fillId="0" borderId="31" xfId="0" applyBorder="1" applyAlignment="1">
      <alignment horizontal="center"/>
    </xf>
    <xf numFmtId="191" fontId="41" fillId="0" borderId="0" xfId="13" applyNumberFormat="1" applyFont="1" applyFill="1" applyAlignment="1">
      <alignment horizontal="center"/>
    </xf>
    <xf numFmtId="43" fontId="41" fillId="0" borderId="0" xfId="1" applyFont="1" applyFill="1" applyAlignment="1">
      <alignment horizontal="center"/>
    </xf>
    <xf numFmtId="174" fontId="41" fillId="0" borderId="0" xfId="13" applyNumberFormat="1" applyFont="1" applyFill="1" applyAlignment="1">
      <alignment horizontal="center"/>
    </xf>
    <xf numFmtId="188" fontId="41" fillId="0" borderId="0" xfId="13" applyNumberFormat="1" applyFont="1" applyFill="1" applyAlignment="1">
      <alignment horizontal="center"/>
    </xf>
    <xf numFmtId="37" fontId="33" fillId="0" borderId="0" xfId="0" applyFont="1" applyAlignment="1" applyProtection="1">
      <alignment horizontal="left"/>
    </xf>
    <xf numFmtId="37" fontId="41" fillId="0" borderId="0" xfId="0" applyFont="1" applyAlignment="1" applyProtection="1">
      <alignment horizontal="center"/>
    </xf>
    <xf numFmtId="182" fontId="69" fillId="0" borderId="0" xfId="2" applyNumberFormat="1" applyFont="1" applyFill="1" applyProtection="1">
      <protection locked="0"/>
    </xf>
    <xf numFmtId="185" fontId="71" fillId="0" borderId="0" xfId="1" applyNumberFormat="1" applyFont="1" applyFill="1"/>
    <xf numFmtId="37" fontId="72" fillId="0" borderId="0" xfId="0" applyFont="1"/>
    <xf numFmtId="185" fontId="72" fillId="0" borderId="0" xfId="1" applyNumberFormat="1" applyFont="1" applyFill="1"/>
    <xf numFmtId="37" fontId="43" fillId="0" borderId="2" xfId="0" applyFont="1" applyBorder="1" applyProtection="1"/>
    <xf numFmtId="37" fontId="41" fillId="0" borderId="0" xfId="5" applyFont="1" applyProtection="1"/>
    <xf numFmtId="185" fontId="70" fillId="0" borderId="0" xfId="1" applyNumberFormat="1" applyFont="1" applyFill="1" applyBorder="1"/>
    <xf numFmtId="37" fontId="43" fillId="0" borderId="0" xfId="0" applyFont="1" applyAlignment="1">
      <alignment horizontal="center"/>
    </xf>
    <xf numFmtId="37" fontId="53" fillId="0" borderId="0" xfId="0" applyFont="1" applyProtection="1"/>
    <xf numFmtId="10" fontId="53" fillId="0" borderId="0" xfId="13" applyNumberFormat="1" applyFont="1" applyFill="1"/>
    <xf numFmtId="37" fontId="44" fillId="0" borderId="0" xfId="0" applyFont="1" applyAlignment="1">
      <alignment horizontal="left"/>
    </xf>
    <xf numFmtId="37" fontId="73" fillId="0" borderId="0" xfId="0" applyFont="1"/>
    <xf numFmtId="43" fontId="8" fillId="0" borderId="0" xfId="1" applyFont="1" applyFill="1" applyAlignment="1" applyProtection="1">
      <alignment horizontal="center"/>
    </xf>
    <xf numFmtId="0" fontId="8" fillId="0" borderId="0" xfId="1" applyNumberFormat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/>
    </xf>
    <xf numFmtId="43" fontId="3" fillId="0" borderId="0" xfId="1" applyFont="1" applyFill="1" applyAlignment="1" applyProtection="1">
      <alignment horizontal="center"/>
    </xf>
    <xf numFmtId="37" fontId="8" fillId="0" borderId="22" xfId="0" applyFont="1" applyBorder="1" applyAlignment="1">
      <alignment horizontal="center"/>
    </xf>
    <xf numFmtId="37" fontId="12" fillId="0" borderId="7" xfId="0" applyFont="1" applyBorder="1"/>
    <xf numFmtId="0" fontId="0" fillId="0" borderId="5" xfId="0" applyNumberFormat="1" applyBorder="1" applyAlignment="1">
      <alignment horizontal="center"/>
    </xf>
    <xf numFmtId="37" fontId="33" fillId="0" borderId="0" xfId="0" applyFont="1" applyAlignment="1">
      <alignment horizontal="center"/>
    </xf>
    <xf numFmtId="37" fontId="8" fillId="0" borderId="0" xfId="0" applyFont="1" applyAlignment="1">
      <alignment horizontal="left"/>
    </xf>
    <xf numFmtId="37" fontId="70" fillId="0" borderId="0" xfId="0" applyFont="1" applyAlignment="1" applyProtection="1">
      <alignment horizontal="center"/>
    </xf>
    <xf numFmtId="10" fontId="6" fillId="0" borderId="0" xfId="0" applyNumberFormat="1" applyFont="1" applyAlignment="1" applyProtection="1">
      <alignment horizontal="center"/>
    </xf>
    <xf numFmtId="37" fontId="70" fillId="0" borderId="0" xfId="0" applyFont="1" applyAlignment="1" applyProtection="1">
      <alignment horizontal="center"/>
      <protection locked="0"/>
    </xf>
    <xf numFmtId="37" fontId="0" fillId="0" borderId="7" xfId="0" applyBorder="1" applyAlignment="1" applyProtection="1">
      <alignment horizontal="center"/>
    </xf>
    <xf numFmtId="37" fontId="0" fillId="0" borderId="0" xfId="0" applyAlignment="1" applyProtection="1">
      <alignment horizontal="center"/>
      <protection locked="0"/>
    </xf>
    <xf numFmtId="37" fontId="0" fillId="0" borderId="2" xfId="0" applyBorder="1" applyAlignment="1" applyProtection="1">
      <alignment horizontal="center"/>
      <protection locked="0"/>
    </xf>
    <xf numFmtId="37" fontId="3" fillId="0" borderId="5" xfId="0" applyFont="1" applyBorder="1" applyAlignment="1">
      <alignment horizontal="right"/>
    </xf>
    <xf numFmtId="37" fontId="67" fillId="0" borderId="0" xfId="0" applyFont="1" applyAlignment="1" applyProtection="1">
      <alignment horizontal="left"/>
    </xf>
    <xf numFmtId="37" fontId="0" fillId="0" borderId="2" xfId="0" applyBorder="1" applyAlignment="1" applyProtection="1">
      <alignment horizontal="right"/>
    </xf>
    <xf numFmtId="182" fontId="0" fillId="0" borderId="0" xfId="2" applyNumberFormat="1" applyFont="1"/>
    <xf numFmtId="37" fontId="17" fillId="0" borderId="0" xfId="0" applyFont="1" applyAlignment="1">
      <alignment horizontal="left" indent="2"/>
    </xf>
    <xf numFmtId="37" fontId="0" fillId="0" borderId="0" xfId="0" applyAlignment="1">
      <alignment horizontal="left" indent="4"/>
    </xf>
    <xf numFmtId="37" fontId="74" fillId="0" borderId="0" xfId="0" applyFont="1"/>
    <xf numFmtId="37" fontId="75" fillId="0" borderId="0" xfId="0" applyFont="1"/>
    <xf numFmtId="173" fontId="75" fillId="0" borderId="0" xfId="13" applyNumberFormat="1" applyFont="1" applyProtection="1"/>
    <xf numFmtId="37" fontId="12" fillId="0" borderId="0" xfId="0" applyFont="1" applyAlignment="1">
      <alignment horizontal="left" indent="2"/>
    </xf>
    <xf numFmtId="37" fontId="12" fillId="0" borderId="0" xfId="0" applyFont="1" applyAlignment="1">
      <alignment horizontal="left"/>
    </xf>
    <xf numFmtId="182" fontId="43" fillId="0" borderId="0" xfId="2" applyNumberFormat="1" applyFont="1" applyBorder="1"/>
    <xf numFmtId="37" fontId="3" fillId="0" borderId="5" xfId="5" applyBorder="1" applyAlignment="1" applyProtection="1">
      <alignment horizontal="center"/>
    </xf>
    <xf numFmtId="37" fontId="3" fillId="0" borderId="5" xfId="5" applyBorder="1"/>
    <xf numFmtId="37" fontId="76" fillId="0" borderId="0" xfId="5" applyFont="1"/>
    <xf numFmtId="37" fontId="3" fillId="0" borderId="0" xfId="5" applyAlignment="1">
      <alignment horizontal="center"/>
    </xf>
    <xf numFmtId="179" fontId="3" fillId="0" borderId="0" xfId="5" applyNumberFormat="1" applyAlignment="1">
      <alignment horizontal="center"/>
    </xf>
    <xf numFmtId="10" fontId="8" fillId="0" borderId="0" xfId="13" applyNumberFormat="1" applyFont="1"/>
    <xf numFmtId="37" fontId="75" fillId="0" borderId="0" xfId="0" applyFont="1" applyAlignment="1" applyProtection="1">
      <alignment horizontal="center"/>
    </xf>
    <xf numFmtId="37" fontId="77" fillId="0" borderId="0" xfId="0" applyFont="1"/>
    <xf numFmtId="37" fontId="17" fillId="0" borderId="0" xfId="0" applyFont="1" applyAlignment="1">
      <alignment horizontal="left"/>
    </xf>
    <xf numFmtId="43" fontId="0" fillId="0" borderId="0" xfId="1" applyFont="1"/>
    <xf numFmtId="186" fontId="0" fillId="0" borderId="7" xfId="0" quotePrefix="1" applyNumberFormat="1" applyBorder="1"/>
    <xf numFmtId="186" fontId="0" fillId="0" borderId="7" xfId="0" quotePrefix="1" applyNumberFormat="1" applyBorder="1" applyAlignment="1">
      <alignment horizontal="right"/>
    </xf>
    <xf numFmtId="44" fontId="0" fillId="0" borderId="7" xfId="2" applyFont="1" applyBorder="1"/>
    <xf numFmtId="43" fontId="0" fillId="0" borderId="7" xfId="1" applyFont="1" applyBorder="1"/>
    <xf numFmtId="186" fontId="0" fillId="0" borderId="0" xfId="0" quotePrefix="1" applyNumberFormat="1" applyAlignment="1">
      <alignment horizontal="right"/>
    </xf>
    <xf numFmtId="43" fontId="0" fillId="0" borderId="0" xfId="1" applyFont="1" applyBorder="1"/>
    <xf numFmtId="44" fontId="0" fillId="0" borderId="0" xfId="2" applyFont="1" applyBorder="1"/>
    <xf numFmtId="186" fontId="0" fillId="0" borderId="0" xfId="0" quotePrefix="1" applyNumberFormat="1" applyAlignment="1">
      <alignment horizontal="left"/>
    </xf>
    <xf numFmtId="186" fontId="78" fillId="0" borderId="0" xfId="0" quotePrefix="1" applyNumberFormat="1" applyFont="1" applyAlignment="1">
      <alignment horizontal="center"/>
    </xf>
    <xf numFmtId="37" fontId="13" fillId="0" borderId="0" xfId="0" applyFont="1" applyAlignment="1" applyProtection="1">
      <alignment horizontal="center"/>
    </xf>
    <xf numFmtId="37" fontId="65" fillId="0" borderId="0" xfId="0" applyFont="1" applyAlignment="1" applyProtection="1">
      <alignment horizontal="left" wrapText="1"/>
    </xf>
    <xf numFmtId="37" fontId="14" fillId="0" borderId="5" xfId="0" applyFont="1" applyBorder="1" applyAlignment="1">
      <alignment horizontal="center" wrapText="1"/>
    </xf>
    <xf numFmtId="0" fontId="12" fillId="0" borderId="0" xfId="0" applyNumberFormat="1" applyFont="1"/>
    <xf numFmtId="186" fontId="12" fillId="0" borderId="0" xfId="0" quotePrefix="1" applyNumberFormat="1" applyFont="1"/>
    <xf numFmtId="0" fontId="79" fillId="0" borderId="5" xfId="28" applyFont="1" applyBorder="1" applyAlignment="1">
      <alignment horizontal="center" wrapText="1"/>
    </xf>
    <xf numFmtId="0" fontId="79" fillId="0" borderId="0" xfId="28" applyFont="1" applyAlignment="1">
      <alignment horizontal="center" wrapText="1"/>
    </xf>
    <xf numFmtId="17" fontId="12" fillId="0" borderId="0" xfId="0" applyNumberFormat="1" applyFont="1"/>
    <xf numFmtId="0" fontId="79" fillId="0" borderId="5" xfId="28" applyFont="1" applyBorder="1" applyAlignment="1">
      <alignment horizontal="center"/>
    </xf>
    <xf numFmtId="37" fontId="12" fillId="7" borderId="0" xfId="0" applyFont="1" applyFill="1"/>
    <xf numFmtId="37" fontId="80" fillId="7" borderId="0" xfId="0" applyFont="1" applyFill="1" applyAlignment="1">
      <alignment horizontal="center"/>
    </xf>
    <xf numFmtId="182" fontId="14" fillId="0" borderId="0" xfId="2" applyNumberFormat="1" applyFont="1" applyFill="1" applyProtection="1"/>
    <xf numFmtId="37" fontId="14" fillId="0" borderId="0" xfId="0" applyFont="1" applyAlignment="1">
      <alignment horizontal="left" indent="2"/>
    </xf>
    <xf numFmtId="37" fontId="14" fillId="0" borderId="0" xfId="5" applyFont="1" applyAlignment="1" applyProtection="1">
      <alignment horizontal="left"/>
    </xf>
    <xf numFmtId="37" fontId="17" fillId="0" borderId="0" xfId="0" applyFont="1" applyAlignment="1">
      <alignment horizontal="center"/>
    </xf>
    <xf numFmtId="37" fontId="44" fillId="0" borderId="0" xfId="0" applyFont="1" applyProtection="1">
      <protection locked="0"/>
    </xf>
    <xf numFmtId="37" fontId="83" fillId="0" borderId="0" xfId="0" applyFont="1"/>
    <xf numFmtId="37" fontId="84" fillId="0" borderId="0" xfId="0" applyFont="1"/>
    <xf numFmtId="10" fontId="70" fillId="0" borderId="0" xfId="13" applyNumberFormat="1" applyFont="1" applyFill="1" applyAlignment="1">
      <alignment horizontal="center"/>
    </xf>
    <xf numFmtId="10" fontId="41" fillId="0" borderId="0" xfId="13" applyNumberFormat="1" applyFont="1" applyAlignment="1">
      <alignment horizontal="center"/>
    </xf>
    <xf numFmtId="10" fontId="69" fillId="0" borderId="0" xfId="13" applyNumberFormat="1" applyFont="1" applyFill="1" applyAlignment="1">
      <alignment horizontal="center"/>
    </xf>
    <xf numFmtId="10" fontId="69" fillId="0" borderId="0" xfId="13" applyNumberFormat="1" applyFont="1" applyAlignment="1">
      <alignment horizontal="center"/>
    </xf>
    <xf numFmtId="37" fontId="69" fillId="0" borderId="0" xfId="0" applyFont="1" applyAlignment="1" applyProtection="1">
      <alignment horizontal="center"/>
    </xf>
    <xf numFmtId="182" fontId="69" fillId="0" borderId="0" xfId="2" applyNumberFormat="1" applyFont="1" applyFill="1"/>
    <xf numFmtId="182" fontId="69" fillId="0" borderId="0" xfId="2" applyNumberFormat="1" applyFont="1" applyFill="1" applyProtection="1"/>
    <xf numFmtId="10" fontId="69" fillId="0" borderId="0" xfId="13" applyNumberFormat="1" applyFont="1" applyFill="1"/>
    <xf numFmtId="10" fontId="69" fillId="0" borderId="0" xfId="0" applyNumberFormat="1" applyFont="1" applyProtection="1"/>
    <xf numFmtId="182" fontId="41" fillId="0" borderId="0" xfId="2" applyNumberFormat="1" applyFont="1" applyFill="1" applyProtection="1"/>
    <xf numFmtId="178" fontId="69" fillId="0" borderId="0" xfId="1" applyNumberFormat="1" applyFont="1" applyFill="1" applyProtection="1"/>
    <xf numFmtId="182" fontId="85" fillId="0" borderId="0" xfId="2" applyNumberFormat="1" applyFont="1" applyFill="1" applyProtection="1"/>
    <xf numFmtId="37" fontId="69" fillId="0" borderId="0" xfId="0" applyFont="1"/>
    <xf numFmtId="37" fontId="69" fillId="0" borderId="0" xfId="0" applyFont="1" applyProtection="1"/>
    <xf numFmtId="182" fontId="42" fillId="0" borderId="0" xfId="2" applyNumberFormat="1" applyFont="1" applyFill="1" applyProtection="1"/>
    <xf numFmtId="182" fontId="41" fillId="0" borderId="0" xfId="2" applyNumberFormat="1" applyFont="1"/>
    <xf numFmtId="37" fontId="41" fillId="0" borderId="5" xfId="0" applyFont="1" applyBorder="1"/>
    <xf numFmtId="37" fontId="69" fillId="0" borderId="0" xfId="0" applyFont="1" applyAlignment="1" applyProtection="1">
      <alignment horizontal="left"/>
    </xf>
    <xf numFmtId="185" fontId="69" fillId="0" borderId="0" xfId="1" applyNumberFormat="1" applyFont="1" applyFill="1" applyProtection="1"/>
    <xf numFmtId="37" fontId="69" fillId="0" borderId="2" xfId="0" applyFont="1" applyBorder="1" applyProtection="1"/>
    <xf numFmtId="37" fontId="69" fillId="0" borderId="5" xfId="0" applyFont="1" applyBorder="1" applyProtection="1"/>
    <xf numFmtId="182" fontId="41" fillId="0" borderId="6" xfId="2" applyNumberFormat="1" applyFont="1" applyBorder="1" applyProtection="1"/>
    <xf numFmtId="37" fontId="69" fillId="0" borderId="2" xfId="0" applyFont="1" applyBorder="1" applyAlignment="1" applyProtection="1">
      <alignment horizontal="right"/>
    </xf>
    <xf numFmtId="185" fontId="69" fillId="0" borderId="5" xfId="1" applyNumberFormat="1" applyFont="1" applyFill="1" applyBorder="1" applyProtection="1"/>
    <xf numFmtId="182" fontId="70" fillId="0" borderId="0" xfId="2" applyNumberFormat="1" applyFont="1" applyFill="1" applyBorder="1"/>
    <xf numFmtId="182" fontId="41" fillId="0" borderId="0" xfId="2" applyNumberFormat="1" applyFont="1" applyFill="1"/>
    <xf numFmtId="9" fontId="41" fillId="0" borderId="0" xfId="13" applyFont="1" applyFill="1" applyAlignment="1">
      <alignment horizontal="center"/>
    </xf>
    <xf numFmtId="185" fontId="70" fillId="0" borderId="0" xfId="1" applyNumberFormat="1" applyFont="1" applyFill="1"/>
    <xf numFmtId="185" fontId="41" fillId="0" borderId="0" xfId="1" applyNumberFormat="1" applyFont="1" applyFill="1" applyBorder="1"/>
    <xf numFmtId="185" fontId="41" fillId="0" borderId="5" xfId="1" applyNumberFormat="1" applyFont="1" applyFill="1" applyBorder="1"/>
    <xf numFmtId="182" fontId="41" fillId="0" borderId="10" xfId="2" applyNumberFormat="1" applyFont="1" applyFill="1" applyBorder="1"/>
    <xf numFmtId="182" fontId="41" fillId="0" borderId="0" xfId="2" applyNumberFormat="1" applyFont="1" applyFill="1" applyBorder="1"/>
    <xf numFmtId="9" fontId="41" fillId="0" borderId="0" xfId="13" applyFont="1" applyFill="1" applyBorder="1" applyAlignment="1">
      <alignment horizontal="center"/>
    </xf>
    <xf numFmtId="182" fontId="41" fillId="0" borderId="6" xfId="2" applyNumberFormat="1" applyFont="1" applyFill="1" applyBorder="1"/>
    <xf numFmtId="43" fontId="41" fillId="0" borderId="0" xfId="1" applyFont="1" applyFill="1"/>
    <xf numFmtId="37" fontId="69" fillId="0" borderId="5" xfId="0" applyFont="1" applyBorder="1" applyAlignment="1" applyProtection="1">
      <alignment horizontal="left"/>
    </xf>
    <xf numFmtId="37" fontId="69" fillId="0" borderId="0" xfId="0" applyFont="1" applyAlignment="1" applyProtection="1">
      <alignment horizontal="right"/>
    </xf>
    <xf numFmtId="44" fontId="41" fillId="0" borderId="0" xfId="2" applyFont="1" applyFill="1"/>
    <xf numFmtId="182" fontId="70" fillId="0" borderId="0" xfId="2" applyNumberFormat="1" applyFont="1" applyFill="1"/>
    <xf numFmtId="10" fontId="41" fillId="0" borderId="0" xfId="13" applyNumberFormat="1" applyFont="1" applyFill="1" applyBorder="1" applyAlignment="1">
      <alignment horizontal="center"/>
    </xf>
    <xf numFmtId="187" fontId="41" fillId="0" borderId="0" xfId="1" applyNumberFormat="1" applyFont="1" applyFill="1"/>
    <xf numFmtId="14" fontId="69" fillId="0" borderId="5" xfId="0" applyNumberFormat="1" applyFont="1" applyBorder="1" applyAlignment="1" applyProtection="1">
      <alignment horizontal="center"/>
    </xf>
    <xf numFmtId="182" fontId="70" fillId="0" borderId="0" xfId="2" applyNumberFormat="1" applyFont="1" applyFill="1" applyProtection="1"/>
    <xf numFmtId="185" fontId="69" fillId="0" borderId="2" xfId="1" applyNumberFormat="1" applyFont="1" applyFill="1" applyBorder="1" applyProtection="1"/>
    <xf numFmtId="37" fontId="71" fillId="0" borderId="0" xfId="0" applyFont="1" applyAlignment="1" applyProtection="1">
      <alignment horizontal="left"/>
    </xf>
    <xf numFmtId="37" fontId="71" fillId="0" borderId="0" xfId="0" applyFont="1" applyAlignment="1" applyProtection="1">
      <alignment horizontal="right"/>
    </xf>
    <xf numFmtId="14" fontId="69" fillId="0" borderId="8" xfId="0" applyNumberFormat="1" applyFont="1" applyBorder="1" applyAlignment="1">
      <alignment horizontal="center"/>
    </xf>
    <xf numFmtId="14" fontId="41" fillId="0" borderId="8" xfId="0" applyNumberFormat="1" applyFont="1" applyBorder="1" applyAlignment="1">
      <alignment horizontal="center"/>
    </xf>
    <xf numFmtId="182" fontId="71" fillId="0" borderId="0" xfId="2" applyNumberFormat="1" applyFont="1" applyFill="1" applyProtection="1"/>
    <xf numFmtId="182" fontId="43" fillId="0" borderId="0" xfId="2" applyNumberFormat="1" applyFont="1" applyProtection="1"/>
    <xf numFmtId="9" fontId="43" fillId="0" borderId="0" xfId="13" applyFont="1" applyAlignment="1" applyProtection="1">
      <alignment horizontal="center"/>
    </xf>
    <xf numFmtId="185" fontId="71" fillId="0" borderId="0" xfId="1" applyNumberFormat="1" applyFont="1" applyFill="1" applyProtection="1"/>
    <xf numFmtId="10" fontId="71" fillId="0" borderId="0" xfId="13" applyNumberFormat="1" applyFont="1" applyFill="1" applyAlignment="1" applyProtection="1">
      <alignment horizontal="center"/>
    </xf>
    <xf numFmtId="185" fontId="43" fillId="0" borderId="0" xfId="1" applyNumberFormat="1" applyFont="1" applyProtection="1"/>
    <xf numFmtId="10" fontId="43" fillId="0" borderId="0" xfId="13" applyNumberFormat="1" applyFont="1" applyAlignment="1" applyProtection="1">
      <alignment horizontal="center"/>
    </xf>
    <xf numFmtId="185" fontId="71" fillId="0" borderId="5" xfId="1" applyNumberFormat="1" applyFont="1" applyFill="1" applyBorder="1" applyProtection="1"/>
    <xf numFmtId="185" fontId="43" fillId="0" borderId="5" xfId="1" applyNumberFormat="1" applyFont="1" applyBorder="1" applyProtection="1"/>
    <xf numFmtId="182" fontId="43" fillId="0" borderId="0" xfId="2" applyNumberFormat="1" applyFont="1" applyFill="1" applyProtection="1"/>
    <xf numFmtId="43" fontId="71" fillId="0" borderId="0" xfId="1" applyFont="1" applyFill="1" applyProtection="1"/>
    <xf numFmtId="43" fontId="71" fillId="0" borderId="5" xfId="1" applyFont="1" applyFill="1" applyBorder="1" applyProtection="1"/>
    <xf numFmtId="182" fontId="43" fillId="0" borderId="6" xfId="2" applyNumberFormat="1" applyFont="1" applyBorder="1" applyProtection="1"/>
    <xf numFmtId="37" fontId="69" fillId="0" borderId="0" xfId="0" applyFont="1" applyAlignment="1" applyProtection="1">
      <alignment horizontal="left" indent="2"/>
    </xf>
    <xf numFmtId="182" fontId="69" fillId="0" borderId="0" xfId="2" applyNumberFormat="1" applyFont="1" applyProtection="1"/>
    <xf numFmtId="182" fontId="41" fillId="0" borderId="0" xfId="2" applyNumberFormat="1" applyFont="1" applyProtection="1"/>
    <xf numFmtId="37" fontId="69" fillId="0" borderId="0" xfId="0" applyFont="1" applyAlignment="1">
      <alignment horizontal="left" indent="2"/>
    </xf>
    <xf numFmtId="37" fontId="41" fillId="0" borderId="2" xfId="0" applyFont="1" applyBorder="1" applyProtection="1"/>
    <xf numFmtId="9" fontId="41" fillId="0" borderId="0" xfId="0" applyNumberFormat="1" applyFont="1" applyAlignment="1" applyProtection="1">
      <alignment horizontal="center"/>
    </xf>
    <xf numFmtId="182" fontId="41" fillId="0" borderId="19" xfId="2" applyNumberFormat="1" applyFont="1" applyFill="1" applyBorder="1" applyProtection="1"/>
    <xf numFmtId="10" fontId="69" fillId="0" borderId="0" xfId="13" applyNumberFormat="1" applyFont="1" applyAlignment="1" applyProtection="1">
      <alignment horizontal="center"/>
    </xf>
    <xf numFmtId="10" fontId="41" fillId="0" borderId="0" xfId="13" applyNumberFormat="1" applyFont="1" applyFill="1" applyAlignment="1" applyProtection="1">
      <alignment horizontal="center"/>
    </xf>
    <xf numFmtId="10" fontId="41" fillId="0" borderId="0" xfId="13" applyNumberFormat="1" applyFont="1" applyAlignment="1" applyProtection="1">
      <alignment horizontal="center"/>
    </xf>
    <xf numFmtId="9" fontId="41" fillId="0" borderId="0" xfId="13" applyFont="1" applyAlignment="1" applyProtection="1">
      <alignment horizontal="center"/>
    </xf>
    <xf numFmtId="182" fontId="41" fillId="0" borderId="6" xfId="2" applyNumberFormat="1" applyFont="1" applyBorder="1"/>
    <xf numFmtId="9" fontId="41" fillId="0" borderId="0" xfId="13" applyFont="1" applyBorder="1" applyAlignment="1">
      <alignment horizontal="center"/>
    </xf>
    <xf numFmtId="182" fontId="41" fillId="0" borderId="19" xfId="2" applyNumberFormat="1" applyFont="1" applyBorder="1"/>
    <xf numFmtId="37" fontId="42" fillId="0" borderId="6" xfId="0" applyFont="1" applyBorder="1"/>
    <xf numFmtId="37" fontId="41" fillId="0" borderId="19" xfId="0" applyFont="1" applyBorder="1"/>
    <xf numFmtId="37" fontId="42" fillId="0" borderId="10" xfId="0" applyFont="1" applyBorder="1"/>
    <xf numFmtId="37" fontId="86" fillId="0" borderId="0" xfId="0" applyFont="1"/>
    <xf numFmtId="37" fontId="41" fillId="0" borderId="31" xfId="0" applyFont="1" applyBorder="1"/>
    <xf numFmtId="37" fontId="42" fillId="0" borderId="19" xfId="0" applyFont="1" applyBorder="1"/>
    <xf numFmtId="182" fontId="69" fillId="0" borderId="0" xfId="2" applyNumberFormat="1" applyFont="1" applyFill="1" applyBorder="1" applyProtection="1"/>
    <xf numFmtId="182" fontId="41" fillId="0" borderId="0" xfId="2" applyNumberFormat="1" applyFont="1" applyFill="1" applyBorder="1" applyProtection="1"/>
    <xf numFmtId="182" fontId="69" fillId="0" borderId="0" xfId="2" applyNumberFormat="1" applyFont="1" applyBorder="1"/>
    <xf numFmtId="185" fontId="69" fillId="0" borderId="0" xfId="1" applyNumberFormat="1" applyFont="1" applyFill="1" applyBorder="1" applyProtection="1"/>
    <xf numFmtId="10" fontId="69" fillId="0" borderId="0" xfId="0" applyNumberFormat="1" applyFont="1" applyAlignment="1" applyProtection="1">
      <alignment horizontal="center"/>
    </xf>
    <xf numFmtId="185" fontId="41" fillId="0" borderId="0" xfId="1" applyNumberFormat="1" applyFont="1" applyFill="1" applyBorder="1" applyProtection="1"/>
    <xf numFmtId="185" fontId="69" fillId="0" borderId="0" xfId="1" applyNumberFormat="1" applyFont="1" applyFill="1" applyBorder="1"/>
    <xf numFmtId="9" fontId="41" fillId="0" borderId="0" xfId="13" applyFont="1" applyBorder="1" applyAlignment="1" applyProtection="1">
      <alignment horizontal="center"/>
    </xf>
    <xf numFmtId="10" fontId="41" fillId="0" borderId="0" xfId="13" applyNumberFormat="1" applyFont="1" applyBorder="1" applyAlignment="1" applyProtection="1">
      <alignment horizontal="center"/>
    </xf>
    <xf numFmtId="182" fontId="41" fillId="0" borderId="10" xfId="2" applyNumberFormat="1" applyFont="1" applyBorder="1"/>
    <xf numFmtId="186" fontId="41" fillId="0" borderId="5" xfId="0" applyNumberFormat="1" applyFont="1" applyBorder="1" applyAlignment="1">
      <alignment horizontal="center"/>
    </xf>
    <xf numFmtId="186" fontId="69" fillId="0" borderId="5" xfId="0" applyNumberFormat="1" applyFont="1" applyBorder="1" applyAlignment="1">
      <alignment horizontal="center"/>
    </xf>
    <xf numFmtId="182" fontId="41" fillId="0" borderId="7" xfId="2" applyNumberFormat="1" applyFont="1" applyFill="1" applyBorder="1"/>
    <xf numFmtId="182" fontId="70" fillId="0" borderId="0" xfId="2" applyNumberFormat="1" applyFont="1" applyFill="1" applyAlignment="1">
      <alignment horizontal="right"/>
    </xf>
    <xf numFmtId="182" fontId="41" fillId="0" borderId="0" xfId="2" applyNumberFormat="1" applyFont="1" applyFill="1" applyAlignment="1">
      <alignment horizontal="right"/>
    </xf>
    <xf numFmtId="182" fontId="70" fillId="0" borderId="0" xfId="2" applyNumberFormat="1" applyFont="1" applyFill="1" applyBorder="1" applyAlignment="1">
      <alignment horizontal="right"/>
    </xf>
    <xf numFmtId="37" fontId="70" fillId="0" borderId="0" xfId="0" applyFont="1" applyAlignment="1" applyProtection="1">
      <alignment horizontal="right"/>
    </xf>
    <xf numFmtId="185" fontId="41" fillId="0" borderId="0" xfId="1" applyNumberFormat="1" applyFont="1" applyFill="1" applyAlignment="1">
      <alignment horizontal="right"/>
    </xf>
    <xf numFmtId="182" fontId="41" fillId="0" borderId="19" xfId="2" applyNumberFormat="1" applyFont="1" applyFill="1" applyBorder="1"/>
    <xf numFmtId="37" fontId="70" fillId="0" borderId="0" xfId="0" applyFont="1"/>
    <xf numFmtId="186" fontId="41" fillId="0" borderId="0" xfId="0" quotePrefix="1" applyNumberFormat="1" applyFont="1"/>
    <xf numFmtId="37" fontId="42" fillId="0" borderId="7" xfId="0" applyFont="1" applyBorder="1"/>
    <xf numFmtId="185" fontId="70" fillId="0" borderId="0" xfId="1" applyNumberFormat="1" applyFont="1" applyFill="1" applyBorder="1" applyProtection="1"/>
    <xf numFmtId="182" fontId="43" fillId="0" borderId="0" xfId="2" applyNumberFormat="1" applyFont="1"/>
    <xf numFmtId="182" fontId="43" fillId="0" borderId="7" xfId="2" applyNumberFormat="1" applyFont="1" applyBorder="1"/>
    <xf numFmtId="182" fontId="72" fillId="0" borderId="0" xfId="2" applyNumberFormat="1" applyFont="1"/>
    <xf numFmtId="17" fontId="43" fillId="0" borderId="0" xfId="0" applyNumberFormat="1" applyFont="1"/>
    <xf numFmtId="17" fontId="43" fillId="7" borderId="0" xfId="0" applyNumberFormat="1" applyFont="1" applyFill="1"/>
    <xf numFmtId="37" fontId="43" fillId="7" borderId="0" xfId="0" applyFont="1" applyFill="1"/>
    <xf numFmtId="37" fontId="72" fillId="7" borderId="0" xfId="0" applyFont="1" applyFill="1"/>
    <xf numFmtId="37" fontId="69" fillId="0" borderId="0" xfId="0" applyFont="1" applyAlignment="1" applyProtection="1">
      <alignment horizontal="center"/>
      <protection locked="0"/>
    </xf>
    <xf numFmtId="185" fontId="41" fillId="0" borderId="0" xfId="1" applyNumberFormat="1" applyFont="1" applyFill="1" applyProtection="1"/>
    <xf numFmtId="185" fontId="41" fillId="0" borderId="0" xfId="1" applyNumberFormat="1" applyFont="1" applyProtection="1"/>
    <xf numFmtId="185" fontId="41" fillId="0" borderId="2" xfId="1" applyNumberFormat="1" applyFont="1" applyFill="1" applyBorder="1" applyProtection="1"/>
    <xf numFmtId="185" fontId="41" fillId="0" borderId="5" xfId="1" applyNumberFormat="1" applyFont="1" applyBorder="1" applyProtection="1"/>
    <xf numFmtId="182" fontId="41" fillId="0" borderId="10" xfId="2" applyNumberFormat="1" applyFont="1" applyBorder="1" applyProtection="1"/>
    <xf numFmtId="182" fontId="41" fillId="0" borderId="10" xfId="2" applyNumberFormat="1" applyFont="1" applyFill="1" applyBorder="1" applyProtection="1"/>
    <xf numFmtId="185" fontId="69" fillId="0" borderId="0" xfId="1" applyNumberFormat="1" applyFont="1" applyProtection="1"/>
    <xf numFmtId="37" fontId="69" fillId="0" borderId="2" xfId="0" applyFont="1" applyBorder="1" applyAlignment="1" applyProtection="1">
      <alignment horizontal="right"/>
      <protection locked="0"/>
    </xf>
    <xf numFmtId="185" fontId="69" fillId="0" borderId="0" xfId="1" applyNumberFormat="1" applyFont="1" applyFill="1" applyProtection="1">
      <protection locked="0"/>
    </xf>
    <xf numFmtId="185" fontId="69" fillId="0" borderId="0" xfId="1" quotePrefix="1" applyNumberFormat="1" applyFont="1" applyFill="1" applyProtection="1"/>
    <xf numFmtId="185" fontId="69" fillId="0" borderId="0" xfId="1" quotePrefix="1" applyNumberFormat="1" applyFont="1" applyFill="1" applyProtection="1">
      <protection locked="0"/>
    </xf>
    <xf numFmtId="185" fontId="41" fillId="0" borderId="0" xfId="1" applyNumberFormat="1" applyFont="1" applyFill="1" applyProtection="1">
      <protection locked="0"/>
    </xf>
    <xf numFmtId="37" fontId="71" fillId="0" borderId="5" xfId="0" applyFont="1" applyBorder="1" applyAlignment="1">
      <alignment horizontal="right"/>
    </xf>
    <xf numFmtId="37" fontId="43" fillId="0" borderId="0" xfId="0" applyFont="1" applyAlignment="1" applyProtection="1">
      <alignment horizontal="center"/>
      <protection locked="0"/>
    </xf>
    <xf numFmtId="182" fontId="43" fillId="0" borderId="7" xfId="2" applyNumberFormat="1" applyFont="1" applyFill="1" applyBorder="1" applyProtection="1"/>
    <xf numFmtId="185" fontId="71" fillId="0" borderId="0" xfId="1" applyNumberFormat="1" applyFont="1" applyFill="1" applyBorder="1" applyProtection="1"/>
    <xf numFmtId="182" fontId="71" fillId="0" borderId="0" xfId="2" applyNumberFormat="1" applyFont="1" applyFill="1" applyBorder="1" applyProtection="1"/>
    <xf numFmtId="182" fontId="71" fillId="0" borderId="5" xfId="2" applyNumberFormat="1" applyFont="1" applyFill="1" applyBorder="1" applyProtection="1"/>
    <xf numFmtId="182" fontId="43" fillId="0" borderId="0" xfId="2" applyNumberFormat="1" applyFont="1" applyFill="1" applyProtection="1">
      <protection locked="0"/>
    </xf>
    <xf numFmtId="182" fontId="87" fillId="0" borderId="0" xfId="2" applyNumberFormat="1" applyFont="1" applyFill="1" applyProtection="1"/>
    <xf numFmtId="37" fontId="71" fillId="0" borderId="0" xfId="0" applyFont="1"/>
    <xf numFmtId="182" fontId="71" fillId="0" borderId="0" xfId="2" applyNumberFormat="1" applyFont="1" applyFill="1" applyProtection="1">
      <protection locked="0"/>
    </xf>
    <xf numFmtId="182" fontId="43" fillId="0" borderId="5" xfId="2" applyNumberFormat="1" applyFont="1" applyFill="1" applyBorder="1" applyProtection="1"/>
    <xf numFmtId="182" fontId="43" fillId="0" borderId="6" xfId="2" applyNumberFormat="1" applyFont="1" applyFill="1" applyBorder="1" applyProtection="1"/>
    <xf numFmtId="37" fontId="69" fillId="0" borderId="5" xfId="0" applyFont="1" applyBorder="1" applyAlignment="1">
      <alignment horizontal="right"/>
    </xf>
    <xf numFmtId="37" fontId="41" fillId="0" borderId="0" xfId="0" applyFont="1" applyAlignment="1" applyProtection="1">
      <alignment horizontal="center"/>
      <protection locked="0"/>
    </xf>
    <xf numFmtId="182" fontId="41" fillId="0" borderId="7" xfId="2" applyNumberFormat="1" applyFont="1" applyFill="1" applyBorder="1" applyProtection="1"/>
    <xf numFmtId="182" fontId="41" fillId="0" borderId="0" xfId="2" applyNumberFormat="1" applyFont="1" applyFill="1" applyProtection="1">
      <protection locked="0"/>
    </xf>
    <xf numFmtId="182" fontId="41" fillId="0" borderId="5" xfId="2" applyNumberFormat="1" applyFont="1" applyFill="1" applyBorder="1" applyProtection="1"/>
    <xf numFmtId="182" fontId="41" fillId="0" borderId="6" xfId="2" applyNumberFormat="1" applyFont="1" applyFill="1" applyBorder="1" applyProtection="1"/>
    <xf numFmtId="37" fontId="72" fillId="0" borderId="0" xfId="0" applyFont="1" applyAlignment="1">
      <alignment horizontal="right"/>
    </xf>
    <xf numFmtId="37" fontId="43" fillId="0" borderId="0" xfId="0" applyFont="1" applyAlignment="1">
      <alignment horizontal="right"/>
    </xf>
    <xf numFmtId="37" fontId="71" fillId="0" borderId="0" xfId="0" applyFont="1" applyAlignment="1">
      <alignment horizontal="right"/>
    </xf>
    <xf numFmtId="5" fontId="41" fillId="0" borderId="10" xfId="0" applyNumberFormat="1" applyFont="1" applyBorder="1"/>
    <xf numFmtId="17" fontId="69" fillId="0" borderId="22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85" fontId="41" fillId="0" borderId="0" xfId="1" applyNumberFormat="1" applyFont="1" applyFill="1" applyAlignment="1">
      <alignment horizontal="center"/>
    </xf>
    <xf numFmtId="10" fontId="41" fillId="0" borderId="5" xfId="13" applyNumberFormat="1" applyFont="1" applyFill="1" applyBorder="1"/>
    <xf numFmtId="10" fontId="69" fillId="0" borderId="5" xfId="13" applyNumberFormat="1" applyFont="1" applyFill="1" applyBorder="1"/>
    <xf numFmtId="0" fontId="41" fillId="0" borderId="0" xfId="0" applyNumberFormat="1" applyFont="1" applyAlignment="1">
      <alignment horizontal="left"/>
    </xf>
    <xf numFmtId="185" fontId="41" fillId="0" borderId="0" xfId="1" applyNumberFormat="1" applyFont="1" applyFill="1" applyAlignment="1">
      <alignment horizontal="left"/>
    </xf>
    <xf numFmtId="10" fontId="41" fillId="0" borderId="0" xfId="13" applyNumberFormat="1" applyFont="1" applyFill="1" applyBorder="1"/>
    <xf numFmtId="37" fontId="69" fillId="0" borderId="19" xfId="0" applyFont="1" applyBorder="1" applyAlignment="1" applyProtection="1">
      <alignment horizontal="center"/>
      <protection locked="0"/>
    </xf>
    <xf numFmtId="186" fontId="69" fillId="0" borderId="22" xfId="0" applyNumberFormat="1" applyFont="1" applyBorder="1" applyAlignment="1" applyProtection="1">
      <alignment horizontal="center"/>
      <protection locked="0"/>
    </xf>
    <xf numFmtId="185" fontId="69" fillId="0" borderId="0" xfId="1" applyNumberFormat="1" applyFont="1" applyFill="1"/>
    <xf numFmtId="37" fontId="71" fillId="0" borderId="0" xfId="0" applyFont="1" applyAlignment="1" applyProtection="1">
      <alignment horizontal="centerContinuous"/>
      <protection locked="0"/>
    </xf>
    <xf numFmtId="37" fontId="71" fillId="0" borderId="0" xfId="0" applyFont="1" applyProtection="1"/>
    <xf numFmtId="37" fontId="43" fillId="0" borderId="0" xfId="0" applyFont="1" applyProtection="1"/>
    <xf numFmtId="37" fontId="43" fillId="0" borderId="0" xfId="0" applyFont="1" applyAlignment="1" applyProtection="1">
      <alignment horizontal="center"/>
    </xf>
    <xf numFmtId="37" fontId="71" fillId="0" borderId="5" xfId="0" applyFont="1" applyBorder="1" applyProtection="1"/>
    <xf numFmtId="37" fontId="71" fillId="0" borderId="2" xfId="0" applyFont="1" applyBorder="1" applyProtection="1"/>
    <xf numFmtId="37" fontId="87" fillId="0" borderId="0" xfId="0" applyFont="1" applyProtection="1"/>
    <xf numFmtId="10" fontId="71" fillId="0" borderId="0" xfId="0" applyNumberFormat="1" applyFont="1" applyProtection="1"/>
    <xf numFmtId="185" fontId="72" fillId="0" borderId="0" xfId="1" applyNumberFormat="1" applyFont="1" applyFill="1" applyProtection="1"/>
    <xf numFmtId="185" fontId="43" fillId="0" borderId="0" xfId="1" applyNumberFormat="1" applyFont="1" applyFill="1" applyProtection="1"/>
    <xf numFmtId="185" fontId="43" fillId="0" borderId="5" xfId="1" applyNumberFormat="1" applyFont="1" applyFill="1" applyBorder="1" applyProtection="1"/>
    <xf numFmtId="37" fontId="72" fillId="0" borderId="0" xfId="0" applyFont="1" applyProtection="1"/>
    <xf numFmtId="37" fontId="43" fillId="0" borderId="5" xfId="0" applyFont="1" applyBorder="1" applyProtection="1"/>
    <xf numFmtId="37" fontId="88" fillId="0" borderId="0" xfId="0" applyFont="1" applyProtection="1"/>
    <xf numFmtId="10" fontId="43" fillId="0" borderId="0" xfId="0" applyNumberFormat="1" applyFont="1" applyProtection="1"/>
    <xf numFmtId="37" fontId="71" fillId="0" borderId="2" xfId="0" applyFont="1" applyBorder="1" applyProtection="1">
      <protection locked="0"/>
    </xf>
    <xf numFmtId="37" fontId="87" fillId="0" borderId="0" xfId="0" applyFont="1" applyProtection="1">
      <protection locked="0"/>
    </xf>
    <xf numFmtId="37" fontId="88" fillId="0" borderId="0" xfId="0" applyFont="1" applyProtection="1">
      <protection locked="0"/>
    </xf>
    <xf numFmtId="37" fontId="71" fillId="0" borderId="0" xfId="0" applyFont="1" applyAlignment="1" applyProtection="1">
      <alignment horizontal="right"/>
      <protection locked="0"/>
    </xf>
    <xf numFmtId="5" fontId="69" fillId="0" borderId="0" xfId="0" applyNumberFormat="1" applyFont="1" applyProtection="1"/>
    <xf numFmtId="5" fontId="41" fillId="0" borderId="0" xfId="0" applyNumberFormat="1" applyFont="1" applyProtection="1"/>
    <xf numFmtId="173" fontId="41" fillId="0" borderId="0" xfId="0" applyNumberFormat="1" applyFont="1" applyProtection="1"/>
    <xf numFmtId="185" fontId="70" fillId="0" borderId="5" xfId="1" applyNumberFormat="1" applyFont="1" applyFill="1" applyBorder="1" applyProtection="1"/>
    <xf numFmtId="185" fontId="70" fillId="0" borderId="5" xfId="0" applyNumberFormat="1" applyFont="1" applyBorder="1" applyProtection="1"/>
    <xf numFmtId="37" fontId="71" fillId="0" borderId="5" xfId="0" applyFont="1" applyBorder="1" applyAlignment="1" applyProtection="1">
      <alignment horizontal="right"/>
      <protection locked="0"/>
    </xf>
    <xf numFmtId="182" fontId="69" fillId="0" borderId="0" xfId="2" applyNumberFormat="1" applyFont="1" applyAlignment="1" applyProtection="1">
      <alignment horizontal="right"/>
    </xf>
    <xf numFmtId="182" fontId="41" fillId="0" borderId="0" xfId="2" applyNumberFormat="1" applyFont="1" applyAlignment="1" applyProtection="1">
      <alignment horizontal="right"/>
    </xf>
    <xf numFmtId="37" fontId="41" fillId="0" borderId="5" xfId="0" applyFont="1" applyBorder="1" applyAlignment="1" applyProtection="1">
      <alignment horizontal="right"/>
    </xf>
    <xf numFmtId="169" fontId="41" fillId="0" borderId="5" xfId="13" applyNumberFormat="1" applyFont="1" applyBorder="1" applyAlignment="1" applyProtection="1">
      <alignment horizontal="right"/>
    </xf>
    <xf numFmtId="169" fontId="69" fillId="0" borderId="5" xfId="13" applyNumberFormat="1" applyFont="1" applyBorder="1" applyAlignment="1" applyProtection="1">
      <alignment horizontal="right"/>
    </xf>
    <xf numFmtId="182" fontId="41" fillId="0" borderId="6" xfId="2" applyNumberFormat="1" applyFont="1" applyBorder="1" applyAlignment="1" applyProtection="1">
      <alignment horizontal="right"/>
    </xf>
    <xf numFmtId="182" fontId="42" fillId="0" borderId="6" xfId="2" applyNumberFormat="1" applyFont="1" applyBorder="1" applyAlignment="1" applyProtection="1">
      <alignment horizontal="right"/>
    </xf>
    <xf numFmtId="182" fontId="69" fillId="0" borderId="0" xfId="2" applyNumberFormat="1" applyFont="1" applyFill="1" applyAlignment="1">
      <alignment horizontal="right"/>
    </xf>
    <xf numFmtId="182" fontId="69" fillId="0" borderId="0" xfId="2" applyNumberFormat="1" applyFont="1" applyAlignment="1">
      <alignment horizontal="right"/>
    </xf>
    <xf numFmtId="10" fontId="69" fillId="0" borderId="5" xfId="13" applyNumberFormat="1" applyFont="1" applyBorder="1"/>
    <xf numFmtId="37" fontId="70" fillId="0" borderId="0" xfId="5" applyFont="1" applyProtection="1"/>
    <xf numFmtId="37" fontId="41" fillId="0" borderId="3" xfId="5" applyFont="1" applyBorder="1" applyProtection="1"/>
    <xf numFmtId="37" fontId="41" fillId="0" borderId="0" xfId="5" applyFont="1"/>
    <xf numFmtId="37" fontId="70" fillId="0" borderId="0" xfId="5" applyFont="1" applyAlignment="1" applyProtection="1">
      <alignment horizontal="left"/>
    </xf>
    <xf numFmtId="182" fontId="70" fillId="0" borderId="0" xfId="2" applyNumberFormat="1" applyFont="1" applyFill="1" applyAlignment="1" applyProtection="1">
      <alignment horizontal="left"/>
    </xf>
    <xf numFmtId="182" fontId="41" fillId="0" borderId="3" xfId="2" applyNumberFormat="1" applyFont="1" applyFill="1" applyBorder="1" applyProtection="1"/>
    <xf numFmtId="182" fontId="41" fillId="0" borderId="3" xfId="2" applyNumberFormat="1" applyFont="1" applyBorder="1" applyProtection="1"/>
    <xf numFmtId="10" fontId="69" fillId="0" borderId="0" xfId="13" applyNumberFormat="1" applyFont="1" applyFill="1" applyBorder="1" applyAlignment="1">
      <alignment horizontal="center"/>
    </xf>
    <xf numFmtId="37" fontId="41" fillId="0" borderId="2" xfId="0" applyFont="1" applyBorder="1" applyAlignment="1" applyProtection="1">
      <alignment horizontal="center"/>
    </xf>
    <xf numFmtId="9" fontId="41" fillId="0" borderId="0" xfId="13" quotePrefix="1" applyFont="1" applyFill="1" applyAlignment="1">
      <alignment horizontal="center"/>
    </xf>
    <xf numFmtId="185" fontId="41" fillId="0" borderId="5" xfId="1" applyNumberFormat="1" applyFont="1" applyFill="1" applyBorder="1" applyProtection="1"/>
    <xf numFmtId="10" fontId="69" fillId="0" borderId="0" xfId="13" applyNumberFormat="1" applyFont="1" applyFill="1" applyAlignment="1" applyProtection="1">
      <alignment horizontal="center"/>
    </xf>
    <xf numFmtId="182" fontId="70" fillId="0" borderId="0" xfId="2" applyNumberFormat="1" applyFont="1" applyFill="1" applyBorder="1" applyAlignment="1" applyProtection="1">
      <alignment horizontal="center"/>
    </xf>
    <xf numFmtId="182" fontId="41" fillId="0" borderId="0" xfId="2" applyNumberFormat="1" applyFont="1" applyFill="1" applyBorder="1" applyAlignment="1" applyProtection="1">
      <alignment horizontal="center"/>
    </xf>
    <xf numFmtId="9" fontId="41" fillId="0" borderId="0" xfId="13" applyFont="1" applyFill="1" applyBorder="1" applyAlignment="1" applyProtection="1">
      <alignment horizontal="center"/>
    </xf>
    <xf numFmtId="185" fontId="41" fillId="0" borderId="5" xfId="1" applyNumberFormat="1" applyFont="1" applyFill="1" applyBorder="1" applyAlignment="1" applyProtection="1">
      <alignment horizontal="center"/>
    </xf>
    <xf numFmtId="182" fontId="41" fillId="0" borderId="7" xfId="2" applyNumberFormat="1" applyFont="1" applyFill="1" applyBorder="1" applyAlignment="1" applyProtection="1">
      <alignment horizontal="center"/>
    </xf>
    <xf numFmtId="10" fontId="69" fillId="0" borderId="0" xfId="13" applyNumberFormat="1" applyFont="1" applyFill="1" applyBorder="1" applyAlignment="1" applyProtection="1">
      <alignment horizontal="center"/>
    </xf>
    <xf numFmtId="10" fontId="41" fillId="0" borderId="0" xfId="13" applyNumberFormat="1" applyFont="1" applyFill="1" applyBorder="1" applyAlignment="1" applyProtection="1">
      <alignment horizontal="center"/>
    </xf>
    <xf numFmtId="185" fontId="41" fillId="0" borderId="5" xfId="1" applyNumberFormat="1" applyFont="1" applyFill="1" applyBorder="1" applyAlignment="1">
      <alignment horizontal="center"/>
    </xf>
    <xf numFmtId="43" fontId="41" fillId="0" borderId="5" xfId="1" applyFont="1" applyFill="1" applyBorder="1"/>
    <xf numFmtId="37" fontId="69" fillId="0" borderId="5" xfId="0" applyFont="1" applyBorder="1" applyAlignment="1" applyProtection="1">
      <alignment horizontal="right"/>
    </xf>
    <xf numFmtId="182" fontId="90" fillId="0" borderId="0" xfId="2" applyNumberFormat="1" applyFont="1"/>
    <xf numFmtId="37" fontId="90" fillId="0" borderId="0" xfId="1" applyNumberFormat="1" applyFont="1"/>
    <xf numFmtId="37" fontId="90" fillId="0" borderId="5" xfId="0" applyFont="1" applyBorder="1"/>
    <xf numFmtId="182" fontId="91" fillId="0" borderId="0" xfId="2" applyNumberFormat="1" applyFont="1"/>
    <xf numFmtId="37" fontId="90" fillId="0" borderId="0" xfId="0" applyFont="1"/>
    <xf numFmtId="182" fontId="91" fillId="0" borderId="6" xfId="2" applyNumberFormat="1" applyFont="1" applyBorder="1"/>
    <xf numFmtId="185" fontId="70" fillId="0" borderId="0" xfId="1" applyNumberFormat="1" applyFont="1" applyFill="1" applyBorder="1" applyAlignment="1">
      <alignment horizontal="center"/>
    </xf>
    <xf numFmtId="185" fontId="41" fillId="0" borderId="0" xfId="1" applyNumberFormat="1" applyFont="1" applyFill="1" applyBorder="1" applyAlignment="1" applyProtection="1">
      <alignment horizontal="center"/>
    </xf>
    <xf numFmtId="185" fontId="41" fillId="0" borderId="0" xfId="1" applyNumberFormat="1" applyFont="1" applyFill="1" applyBorder="1" applyAlignment="1">
      <alignment horizontal="center"/>
    </xf>
    <xf numFmtId="182" fontId="70" fillId="0" borderId="0" xfId="2" applyNumberFormat="1" applyFont="1" applyAlignment="1" applyProtection="1">
      <alignment horizontal="left"/>
    </xf>
    <xf numFmtId="182" fontId="41" fillId="0" borderId="0" xfId="13" applyNumberFormat="1" applyFont="1" applyBorder="1" applyAlignment="1" applyProtection="1">
      <alignment horizontal="center"/>
    </xf>
    <xf numFmtId="185" fontId="72" fillId="0" borderId="0" xfId="1" applyNumberFormat="1" applyFont="1" applyBorder="1" applyAlignment="1">
      <alignment horizontal="left" indent="1"/>
    </xf>
    <xf numFmtId="185" fontId="41" fillId="0" borderId="5" xfId="1" applyNumberFormat="1" applyFont="1" applyBorder="1" applyAlignment="1" applyProtection="1">
      <alignment horizontal="center"/>
    </xf>
    <xf numFmtId="182" fontId="41" fillId="0" borderId="32" xfId="13" applyNumberFormat="1" applyFont="1" applyBorder="1" applyAlignment="1" applyProtection="1">
      <alignment horizontal="center"/>
    </xf>
    <xf numFmtId="37" fontId="71" fillId="0" borderId="5" xfId="0" applyFont="1" applyBorder="1" applyAlignment="1" applyProtection="1">
      <alignment horizontal="right"/>
    </xf>
    <xf numFmtId="3" fontId="72" fillId="0" borderId="0" xfId="0" applyNumberFormat="1" applyFont="1"/>
    <xf numFmtId="10" fontId="71" fillId="0" borderId="0" xfId="0" applyNumberFormat="1" applyFont="1"/>
    <xf numFmtId="182" fontId="43" fillId="0" borderId="0" xfId="2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10" fontId="43" fillId="0" borderId="0" xfId="13" applyNumberFormat="1" applyFont="1" applyAlignment="1">
      <alignment horizontal="right"/>
    </xf>
    <xf numFmtId="10" fontId="43" fillId="0" borderId="0" xfId="0" applyNumberFormat="1" applyFont="1"/>
    <xf numFmtId="182" fontId="43" fillId="0" borderId="10" xfId="2" applyNumberFormat="1" applyFont="1" applyBorder="1"/>
    <xf numFmtId="10" fontId="69" fillId="0" borderId="0" xfId="13" applyNumberFormat="1" applyFont="1"/>
    <xf numFmtId="182" fontId="70" fillId="0" borderId="0" xfId="2" applyNumberFormat="1" applyFont="1"/>
    <xf numFmtId="182" fontId="41" fillId="0" borderId="0" xfId="2" applyNumberFormat="1" applyFont="1" applyBorder="1"/>
    <xf numFmtId="185" fontId="41" fillId="0" borderId="0" xfId="1" applyNumberFormat="1" applyFont="1"/>
    <xf numFmtId="37" fontId="69" fillId="0" borderId="0" xfId="0" applyFont="1" applyAlignment="1" applyProtection="1">
      <alignment horizontal="centerContinuous"/>
    </xf>
    <xf numFmtId="37" fontId="71" fillId="0" borderId="0" xfId="0" applyFont="1" applyAlignment="1" applyProtection="1">
      <alignment horizontal="centerContinuous"/>
    </xf>
    <xf numFmtId="182" fontId="43" fillId="0" borderId="0" xfId="2" applyNumberFormat="1" applyFont="1" applyFill="1" applyBorder="1" applyProtection="1"/>
    <xf numFmtId="10" fontId="70" fillId="0" borderId="0" xfId="0" applyNumberFormat="1" applyFont="1" applyAlignment="1" applyProtection="1">
      <alignment horizontal="center"/>
    </xf>
    <xf numFmtId="182" fontId="43" fillId="0" borderId="19" xfId="2" applyNumberFormat="1" applyFont="1" applyFill="1" applyBorder="1" applyProtection="1"/>
    <xf numFmtId="182" fontId="43" fillId="0" borderId="6" xfId="2" applyNumberFormat="1" applyFont="1" applyFill="1" applyBorder="1"/>
    <xf numFmtId="37" fontId="69" fillId="0" borderId="0" xfId="0" applyFont="1" applyAlignment="1" applyProtection="1">
      <alignment horizontal="centerContinuous"/>
      <protection locked="0"/>
    </xf>
    <xf numFmtId="180" fontId="41" fillId="0" borderId="2" xfId="0" applyNumberFormat="1" applyFont="1" applyBorder="1" applyAlignment="1" applyProtection="1">
      <alignment horizontal="center"/>
      <protection locked="0"/>
    </xf>
    <xf numFmtId="37" fontId="70" fillId="0" borderId="0" xfId="0" applyFont="1" applyProtection="1">
      <protection locked="0"/>
    </xf>
    <xf numFmtId="37" fontId="70" fillId="0" borderId="2" xfId="0" applyFont="1" applyBorder="1" applyProtection="1">
      <protection locked="0"/>
    </xf>
    <xf numFmtId="37" fontId="41" fillId="0" borderId="2" xfId="0" applyFont="1" applyBorder="1" applyProtection="1">
      <protection locked="0"/>
    </xf>
    <xf numFmtId="37" fontId="92" fillId="0" borderId="0" xfId="0" applyFont="1" applyProtection="1"/>
    <xf numFmtId="169" fontId="92" fillId="0" borderId="0" xfId="0" applyNumberFormat="1" applyFont="1" applyProtection="1"/>
    <xf numFmtId="37" fontId="41" fillId="0" borderId="7" xfId="0" applyFont="1" applyBorder="1"/>
    <xf numFmtId="10" fontId="70" fillId="0" borderId="0" xfId="13" applyNumberFormat="1" applyFont="1"/>
    <xf numFmtId="37" fontId="70" fillId="0" borderId="0" xfId="0" applyFont="1" applyProtection="1"/>
    <xf numFmtId="10" fontId="92" fillId="0" borderId="0" xfId="13" applyNumberFormat="1" applyFont="1" applyFill="1" applyProtection="1"/>
    <xf numFmtId="174" fontId="72" fillId="0" borderId="2" xfId="0" applyNumberFormat="1" applyFont="1" applyBorder="1" applyProtection="1"/>
    <xf numFmtId="174" fontId="41" fillId="0" borderId="0" xfId="0" applyNumberFormat="1" applyFont="1" applyProtection="1"/>
    <xf numFmtId="174" fontId="41" fillId="0" borderId="2" xfId="0" applyNumberFormat="1" applyFont="1" applyBorder="1" applyProtection="1"/>
    <xf numFmtId="174" fontId="43" fillId="0" borderId="2" xfId="0" applyNumberFormat="1" applyFont="1" applyBorder="1" applyProtection="1"/>
    <xf numFmtId="166" fontId="41" fillId="0" borderId="0" xfId="0" applyNumberFormat="1" applyFont="1" applyProtection="1"/>
    <xf numFmtId="0" fontId="41" fillId="0" borderId="5" xfId="0" applyNumberFormat="1" applyFont="1" applyBorder="1" applyAlignment="1">
      <alignment horizontal="center"/>
    </xf>
    <xf numFmtId="37" fontId="70" fillId="0" borderId="5" xfId="0" applyFont="1" applyBorder="1"/>
    <xf numFmtId="37" fontId="69" fillId="0" borderId="5" xfId="0" applyFont="1" applyBorder="1"/>
    <xf numFmtId="37" fontId="69" fillId="0" borderId="19" xfId="0" applyFont="1" applyBorder="1"/>
    <xf numFmtId="37" fontId="41" fillId="0" borderId="10" xfId="0" applyFont="1" applyBorder="1"/>
    <xf numFmtId="180" fontId="69" fillId="0" borderId="2" xfId="0" applyNumberFormat="1" applyFont="1" applyBorder="1" applyAlignment="1" applyProtection="1">
      <alignment horizontal="center"/>
    </xf>
    <xf numFmtId="14" fontId="69" fillId="0" borderId="5" xfId="0" applyNumberFormat="1" applyFont="1" applyBorder="1" applyAlignment="1">
      <alignment horizontal="center"/>
    </xf>
    <xf numFmtId="185" fontId="70" fillId="0" borderId="0" xfId="1" applyNumberFormat="1" applyFont="1" applyFill="1" applyProtection="1"/>
    <xf numFmtId="37" fontId="71" fillId="0" borderId="2" xfId="0" applyFont="1" applyBorder="1" applyAlignment="1" applyProtection="1">
      <alignment horizontal="right"/>
    </xf>
    <xf numFmtId="180" fontId="71" fillId="0" borderId="2" xfId="0" applyNumberFormat="1" applyFont="1" applyBorder="1" applyAlignment="1" applyProtection="1">
      <alignment horizontal="center"/>
    </xf>
    <xf numFmtId="10" fontId="69" fillId="0" borderId="0" xfId="13" applyNumberFormat="1" applyFont="1" applyProtection="1"/>
    <xf numFmtId="10" fontId="41" fillId="0" borderId="0" xfId="13" applyNumberFormat="1" applyFont="1" applyProtection="1"/>
    <xf numFmtId="182" fontId="69" fillId="0" borderId="2" xfId="2" applyNumberFormat="1" applyFont="1" applyBorder="1" applyProtection="1"/>
    <xf numFmtId="10" fontId="41" fillId="0" borderId="2" xfId="0" applyNumberFormat="1" applyFont="1" applyBorder="1" applyProtection="1"/>
    <xf numFmtId="10" fontId="41" fillId="0" borderId="2" xfId="13" applyNumberFormat="1" applyFont="1" applyBorder="1" applyProtection="1"/>
    <xf numFmtId="10" fontId="92" fillId="0" borderId="0" xfId="0" applyNumberFormat="1" applyFont="1" applyProtection="1"/>
    <xf numFmtId="10" fontId="92" fillId="0" borderId="0" xfId="13" applyNumberFormat="1" applyFont="1" applyProtection="1"/>
    <xf numFmtId="10" fontId="69" fillId="0" borderId="0" xfId="13" applyNumberFormat="1" applyFont="1" applyFill="1" applyProtection="1"/>
    <xf numFmtId="10" fontId="41" fillId="0" borderId="0" xfId="13" applyNumberFormat="1" applyFont="1" applyFill="1" applyProtection="1"/>
    <xf numFmtId="10" fontId="41" fillId="0" borderId="5" xfId="0" applyNumberFormat="1" applyFont="1" applyBorder="1" applyProtection="1"/>
    <xf numFmtId="10" fontId="41" fillId="0" borderId="5" xfId="13" applyNumberFormat="1" applyFont="1" applyFill="1" applyBorder="1" applyProtection="1"/>
    <xf numFmtId="10" fontId="41" fillId="0" borderId="2" xfId="13" applyNumberFormat="1" applyFont="1" applyFill="1" applyBorder="1" applyProtection="1"/>
    <xf numFmtId="37" fontId="41" fillId="0" borderId="6" xfId="0" applyFont="1" applyBorder="1" applyProtection="1"/>
    <xf numFmtId="173" fontId="41" fillId="0" borderId="6" xfId="0" applyNumberFormat="1" applyFont="1" applyBorder="1" applyProtection="1"/>
    <xf numFmtId="10" fontId="93" fillId="0" borderId="0" xfId="0" applyNumberFormat="1" applyFont="1" applyProtection="1"/>
    <xf numFmtId="182" fontId="72" fillId="0" borderId="0" xfId="2" applyNumberFormat="1" applyFont="1" applyFill="1" applyProtection="1"/>
    <xf numFmtId="169" fontId="72" fillId="0" borderId="0" xfId="0" applyNumberFormat="1" applyFont="1" applyProtection="1"/>
    <xf numFmtId="169" fontId="94" fillId="0" borderId="0" xfId="13" applyNumberFormat="1" applyFont="1" applyFill="1"/>
    <xf numFmtId="182" fontId="43" fillId="0" borderId="7" xfId="0" applyNumberFormat="1" applyFont="1" applyBorder="1" applyProtection="1"/>
    <xf numFmtId="5" fontId="43" fillId="0" borderId="0" xfId="0" applyNumberFormat="1" applyFont="1" applyProtection="1"/>
    <xf numFmtId="5" fontId="41" fillId="0" borderId="10" xfId="0" applyNumberFormat="1" applyFont="1" applyBorder="1" applyProtection="1"/>
    <xf numFmtId="10" fontId="42" fillId="0" borderId="6" xfId="13" applyNumberFormat="1" applyFont="1" applyFill="1" applyBorder="1"/>
    <xf numFmtId="182" fontId="71" fillId="0" borderId="0" xfId="2" applyNumberFormat="1" applyFont="1" applyProtection="1"/>
    <xf numFmtId="10" fontId="71" fillId="0" borderId="0" xfId="13" applyNumberFormat="1" applyFont="1" applyProtection="1"/>
    <xf numFmtId="182" fontId="71" fillId="0" borderId="2" xfId="2" applyNumberFormat="1" applyFont="1" applyBorder="1" applyProtection="1"/>
    <xf numFmtId="10" fontId="95" fillId="0" borderId="0" xfId="13" applyNumberFormat="1" applyFont="1" applyFill="1"/>
    <xf numFmtId="10" fontId="41" fillId="0" borderId="6" xfId="13" applyNumberFormat="1" applyFont="1" applyFill="1" applyBorder="1"/>
    <xf numFmtId="170" fontId="69" fillId="0" borderId="0" xfId="13" applyNumberFormat="1" applyFont="1" applyFill="1" applyProtection="1"/>
    <xf numFmtId="37" fontId="69" fillId="0" borderId="2" xfId="0" applyFont="1" applyBorder="1" applyAlignment="1" applyProtection="1">
      <alignment horizontal="center"/>
    </xf>
    <xf numFmtId="37" fontId="69" fillId="0" borderId="5" xfId="0" applyFont="1" applyBorder="1" applyAlignment="1" applyProtection="1">
      <alignment horizontal="center"/>
    </xf>
    <xf numFmtId="37" fontId="41" fillId="0" borderId="7" xfId="0" applyFont="1" applyBorder="1" applyAlignment="1" applyProtection="1">
      <alignment horizontal="center"/>
    </xf>
    <xf numFmtId="37" fontId="92" fillId="0" borderId="0" xfId="0" applyFont="1" applyAlignment="1" applyProtection="1">
      <alignment horizontal="center"/>
    </xf>
    <xf numFmtId="37" fontId="69" fillId="0" borderId="2" xfId="0" applyFont="1" applyBorder="1" applyAlignment="1" applyProtection="1">
      <alignment horizontal="center"/>
      <protection locked="0"/>
    </xf>
    <xf numFmtId="37" fontId="93" fillId="0" borderId="0" xfId="0" applyFont="1" applyAlignment="1" applyProtection="1">
      <alignment horizontal="center"/>
    </xf>
    <xf numFmtId="10" fontId="41" fillId="0" borderId="0" xfId="0" applyNumberFormat="1" applyFont="1" applyAlignment="1" applyProtection="1">
      <alignment horizontal="center"/>
    </xf>
    <xf numFmtId="39" fontId="41" fillId="0" borderId="0" xfId="0" applyNumberFormat="1" applyFont="1" applyAlignment="1" applyProtection="1">
      <alignment horizontal="center"/>
    </xf>
    <xf numFmtId="39" fontId="70" fillId="0" borderId="0" xfId="0" applyNumberFormat="1" applyFont="1" applyAlignment="1" applyProtection="1">
      <alignment horizontal="center"/>
    </xf>
    <xf numFmtId="9" fontId="41" fillId="0" borderId="0" xfId="13" applyFont="1" applyFill="1" applyAlignment="1" applyProtection="1">
      <alignment horizontal="center"/>
    </xf>
    <xf numFmtId="173" fontId="69" fillId="0" borderId="0" xfId="0" applyNumberFormat="1" applyFont="1" applyAlignment="1" applyProtection="1">
      <alignment horizontal="center"/>
    </xf>
    <xf numFmtId="173" fontId="70" fillId="0" borderId="0" xfId="0" applyNumberFormat="1" applyFont="1" applyAlignment="1" applyProtection="1">
      <alignment horizontal="center"/>
    </xf>
    <xf numFmtId="173" fontId="41" fillId="0" borderId="0" xfId="0" applyNumberFormat="1" applyFont="1" applyAlignment="1" applyProtection="1">
      <alignment horizontal="center"/>
    </xf>
    <xf numFmtId="5" fontId="41" fillId="0" borderId="5" xfId="0" applyNumberFormat="1" applyFont="1" applyBorder="1" applyProtection="1"/>
    <xf numFmtId="5" fontId="72" fillId="0" borderId="0" xfId="0" applyNumberFormat="1" applyFont="1" applyProtection="1"/>
    <xf numFmtId="37" fontId="74" fillId="6" borderId="0" xfId="0" applyFont="1" applyFill="1"/>
    <xf numFmtId="37" fontId="70" fillId="0" borderId="19" xfId="0" applyFont="1" applyBorder="1"/>
    <xf numFmtId="37" fontId="0" fillId="6" borderId="0" xfId="0" applyFill="1" applyAlignment="1">
      <alignment horizontal="center"/>
    </xf>
    <xf numFmtId="185" fontId="70" fillId="0" borderId="5" xfId="1" applyNumberFormat="1" applyFont="1" applyFill="1" applyBorder="1" applyAlignment="1">
      <alignment horizontal="center"/>
    </xf>
    <xf numFmtId="185" fontId="41" fillId="0" borderId="0" xfId="0" applyNumberFormat="1" applyFont="1"/>
    <xf numFmtId="185" fontId="72" fillId="0" borderId="5" xfId="1" applyNumberFormat="1" applyFont="1" applyFill="1" applyBorder="1" applyProtection="1"/>
    <xf numFmtId="185" fontId="70" fillId="0" borderId="5" xfId="1" applyNumberFormat="1" applyFont="1" applyFill="1" applyBorder="1"/>
    <xf numFmtId="37" fontId="80" fillId="0" borderId="0" xfId="0" applyFont="1" applyAlignment="1">
      <alignment horizontal="center"/>
    </xf>
    <xf numFmtId="185" fontId="70" fillId="0" borderId="0" xfId="1" applyNumberFormat="1" applyFont="1"/>
    <xf numFmtId="173" fontId="3" fillId="0" borderId="0" xfId="13" applyNumberFormat="1" applyFont="1" applyFill="1" applyAlignment="1">
      <alignment horizontal="center"/>
    </xf>
    <xf numFmtId="5" fontId="41" fillId="0" borderId="0" xfId="0" applyNumberFormat="1" applyFont="1"/>
    <xf numFmtId="10" fontId="70" fillId="0" borderId="0" xfId="13" quotePrefix="1" applyNumberFormat="1" applyFont="1" applyFill="1" applyAlignment="1">
      <alignment horizontal="center"/>
    </xf>
    <xf numFmtId="37" fontId="70" fillId="0" borderId="7" xfId="0" applyFont="1" applyBorder="1"/>
    <xf numFmtId="37" fontId="90" fillId="0" borderId="0" xfId="1" applyNumberFormat="1" applyFont="1" applyFill="1"/>
    <xf numFmtId="37" fontId="70" fillId="0" borderId="5" xfId="0" applyFont="1" applyBorder="1" applyProtection="1"/>
    <xf numFmtId="1" fontId="12" fillId="0" borderId="0" xfId="0" applyNumberFormat="1" applyFont="1" applyAlignment="1" applyProtection="1">
      <alignment horizontal="left"/>
      <protection locked="0"/>
    </xf>
    <xf numFmtId="182" fontId="55" fillId="0" borderId="0" xfId="2" applyNumberFormat="1" applyFont="1" applyProtection="1"/>
    <xf numFmtId="187" fontId="3" fillId="0" borderId="0" xfId="1" applyNumberFormat="1" applyFont="1" applyFill="1" applyBorder="1"/>
    <xf numFmtId="185" fontId="70" fillId="0" borderId="31" xfId="1" applyNumberFormat="1" applyFont="1" applyFill="1" applyBorder="1"/>
    <xf numFmtId="0" fontId="12" fillId="0" borderId="0" xfId="0" applyNumberFormat="1" applyFont="1" applyAlignment="1">
      <alignment horizontal="center"/>
    </xf>
    <xf numFmtId="10" fontId="12" fillId="0" borderId="0" xfId="13" applyNumberFormat="1" applyFont="1" applyFill="1" applyAlignment="1">
      <alignment horizontal="center"/>
    </xf>
    <xf numFmtId="9" fontId="43" fillId="0" borderId="0" xfId="13" applyFont="1" applyFill="1" applyAlignment="1">
      <alignment horizontal="center"/>
    </xf>
    <xf numFmtId="185" fontId="43" fillId="0" borderId="0" xfId="1" applyNumberFormat="1" applyFont="1" applyFill="1"/>
    <xf numFmtId="179" fontId="0" fillId="0" borderId="0" xfId="13" applyNumberFormat="1" applyFont="1" applyAlignment="1">
      <alignment horizontal="center"/>
    </xf>
    <xf numFmtId="10" fontId="11" fillId="0" borderId="0" xfId="0" applyNumberFormat="1" applyFont="1" applyProtection="1"/>
    <xf numFmtId="5" fontId="71" fillId="0" borderId="0" xfId="0" applyNumberFormat="1" applyFont="1" applyProtection="1"/>
    <xf numFmtId="37" fontId="3" fillId="0" borderId="5" xfId="0" applyFont="1" applyBorder="1" applyProtection="1"/>
    <xf numFmtId="173" fontId="41" fillId="0" borderId="0" xfId="13" applyNumberFormat="1" applyFont="1" applyFill="1" applyProtection="1"/>
    <xf numFmtId="37" fontId="45" fillId="0" borderId="0" xfId="0" applyFont="1"/>
    <xf numFmtId="42" fontId="69" fillId="0" borderId="0" xfId="0" applyNumberFormat="1" applyFont="1" applyProtection="1"/>
    <xf numFmtId="37" fontId="8" fillId="0" borderId="25" xfId="0" applyFont="1" applyBorder="1" applyAlignment="1">
      <alignment horizontal="center"/>
    </xf>
    <xf numFmtId="182" fontId="0" fillId="0" borderId="7" xfId="2" applyNumberFormat="1" applyFont="1" applyBorder="1"/>
    <xf numFmtId="182" fontId="0" fillId="0" borderId="0" xfId="2" quotePrefix="1" applyNumberFormat="1" applyFont="1"/>
    <xf numFmtId="37" fontId="81" fillId="0" borderId="0" xfId="0" applyFont="1"/>
    <xf numFmtId="43" fontId="3" fillId="0" borderId="0" xfId="1" applyFont="1" applyAlignment="1" applyProtection="1">
      <alignment horizontal="right"/>
    </xf>
    <xf numFmtId="185" fontId="70" fillId="0" borderId="0" xfId="1" applyNumberFormat="1" applyFont="1" applyFill="1" applyBorder="1" applyAlignment="1">
      <alignment horizontal="right"/>
    </xf>
    <xf numFmtId="185" fontId="0" fillId="0" borderId="0" xfId="1" applyNumberFormat="1" applyFont="1"/>
    <xf numFmtId="169" fontId="3" fillId="0" borderId="0" xfId="0" applyNumberFormat="1" applyFont="1" applyProtection="1"/>
    <xf numFmtId="10" fontId="41" fillId="0" borderId="31" xfId="0" applyNumberFormat="1" applyFont="1" applyBorder="1" applyProtection="1"/>
    <xf numFmtId="37" fontId="56" fillId="0" borderId="0" xfId="0" applyFont="1" applyProtection="1"/>
    <xf numFmtId="37" fontId="81" fillId="0" borderId="0" xfId="0" applyFont="1" applyAlignment="1">
      <alignment horizontal="right"/>
    </xf>
    <xf numFmtId="37" fontId="82" fillId="0" borderId="0" xfId="0" applyFont="1"/>
    <xf numFmtId="43" fontId="3" fillId="0" borderId="0" xfId="1" applyFont="1" applyFill="1"/>
    <xf numFmtId="37" fontId="69" fillId="0" borderId="0" xfId="0" applyFont="1" applyAlignment="1">
      <alignment horizontal="right"/>
    </xf>
    <xf numFmtId="37" fontId="0" fillId="0" borderId="2" xfId="0" applyBorder="1" applyAlignment="1" applyProtection="1">
      <alignment horizontal="right"/>
      <protection locked="0"/>
    </xf>
    <xf numFmtId="37" fontId="69" fillId="0" borderId="31" xfId="0" applyFont="1" applyBorder="1" applyAlignment="1">
      <alignment horizontal="right"/>
    </xf>
    <xf numFmtId="37" fontId="70" fillId="0" borderId="31" xfId="0" applyFont="1" applyBorder="1" applyAlignment="1" applyProtection="1">
      <alignment horizontal="center"/>
    </xf>
    <xf numFmtId="0" fontId="41" fillId="0" borderId="2" xfId="0" applyNumberFormat="1" applyFont="1" applyBorder="1" applyAlignment="1" applyProtection="1">
      <alignment horizontal="center"/>
    </xf>
    <xf numFmtId="14" fontId="71" fillId="0" borderId="19" xfId="0" applyNumberFormat="1" applyFont="1" applyBorder="1" applyAlignment="1">
      <alignment horizontal="center"/>
    </xf>
    <xf numFmtId="189" fontId="12" fillId="0" borderId="19" xfId="0" applyNumberFormat="1" applyFont="1" applyBorder="1"/>
    <xf numFmtId="185" fontId="41" fillId="0" borderId="31" xfId="1" applyNumberFormat="1" applyFont="1" applyFill="1" applyBorder="1"/>
    <xf numFmtId="37" fontId="0" fillId="0" borderId="0" xfId="0" applyAlignment="1">
      <alignment horizontal="left" wrapText="1"/>
    </xf>
    <xf numFmtId="44" fontId="41" fillId="0" borderId="0" xfId="2" applyFont="1" applyFill="1" applyAlignment="1">
      <alignment horizontal="left" indent="2"/>
    </xf>
    <xf numFmtId="185" fontId="14" fillId="0" borderId="0" xfId="1" applyNumberFormat="1" applyFont="1"/>
    <xf numFmtId="37" fontId="8" fillId="0" borderId="0" xfId="0" applyFont="1" applyAlignment="1" applyProtection="1">
      <alignment horizontal="left" wrapText="1"/>
    </xf>
    <xf numFmtId="37" fontId="3" fillId="0" borderId="0" xfId="0" applyFont="1" applyAlignment="1">
      <alignment horizontal="left"/>
    </xf>
    <xf numFmtId="37" fontId="0" fillId="0" borderId="0" xfId="0" applyAlignment="1">
      <alignment horizontal="center"/>
    </xf>
    <xf numFmtId="37" fontId="12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37" fontId="69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37" fontId="69" fillId="0" borderId="0" xfId="0" applyFont="1" applyAlignment="1" applyProtection="1">
      <alignment horizontal="center"/>
    </xf>
    <xf numFmtId="37" fontId="3" fillId="0" borderId="0" xfId="0" applyFont="1" applyAlignment="1" applyProtection="1">
      <alignment horizontal="center"/>
    </xf>
    <xf numFmtId="37" fontId="4" fillId="0" borderId="0" xfId="0" applyFont="1" applyAlignment="1">
      <alignment horizontal="center"/>
    </xf>
    <xf numFmtId="37" fontId="86" fillId="0" borderId="0" xfId="0" applyFont="1" applyAlignment="1" applyProtection="1">
      <alignment horizontal="center"/>
    </xf>
    <xf numFmtId="37" fontId="0" fillId="0" borderId="0" xfId="0" applyAlignment="1">
      <alignment horizontal="left" wrapText="1"/>
    </xf>
    <xf numFmtId="37" fontId="12" fillId="0" borderId="23" xfId="0" applyFont="1" applyBorder="1" applyAlignment="1">
      <alignment horizontal="center"/>
    </xf>
    <xf numFmtId="37" fontId="12" fillId="0" borderId="7" xfId="0" applyFont="1" applyBorder="1" applyAlignment="1">
      <alignment horizontal="center"/>
    </xf>
    <xf numFmtId="37" fontId="12" fillId="0" borderId="9" xfId="0" applyFont="1" applyBorder="1" applyAlignment="1">
      <alignment horizontal="center"/>
    </xf>
    <xf numFmtId="37" fontId="12" fillId="0" borderId="23" xfId="0" applyFont="1" applyBorder="1" applyAlignment="1" applyProtection="1">
      <alignment horizontal="center"/>
    </xf>
    <xf numFmtId="37" fontId="12" fillId="0" borderId="7" xfId="0" applyFont="1" applyBorder="1" applyAlignment="1" applyProtection="1">
      <alignment horizontal="center"/>
    </xf>
    <xf numFmtId="37" fontId="12" fillId="0" borderId="9" xfId="0" applyFont="1" applyBorder="1" applyAlignment="1" applyProtection="1">
      <alignment horizontal="center"/>
    </xf>
    <xf numFmtId="37" fontId="71" fillId="0" borderId="0" xfId="0" applyFont="1" applyAlignment="1" applyProtection="1">
      <alignment horizontal="center"/>
    </xf>
    <xf numFmtId="37" fontId="12" fillId="0" borderId="0" xfId="0" applyFont="1" applyAlignment="1" applyProtection="1">
      <alignment horizontal="center"/>
    </xf>
    <xf numFmtId="37" fontId="3" fillId="0" borderId="0" xfId="0" applyFont="1" applyAlignment="1">
      <alignment horizontal="center"/>
    </xf>
    <xf numFmtId="49" fontId="69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37" fontId="71" fillId="0" borderId="0" xfId="0" applyFont="1" applyAlignment="1">
      <alignment horizontal="center"/>
    </xf>
    <xf numFmtId="37" fontId="14" fillId="0" borderId="5" xfId="0" applyFont="1" applyBorder="1" applyAlignment="1">
      <alignment horizontal="center"/>
    </xf>
    <xf numFmtId="37" fontId="14" fillId="0" borderId="0" xfId="0" applyFont="1" applyAlignment="1">
      <alignment horizontal="right"/>
    </xf>
    <xf numFmtId="49" fontId="7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86" fontId="14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37" fontId="69" fillId="0" borderId="0" xfId="0" applyFont="1" applyAlignment="1" applyProtection="1">
      <alignment horizontal="center"/>
      <protection locked="0"/>
    </xf>
    <xf numFmtId="37" fontId="3" fillId="0" borderId="0" xfId="0" applyFont="1" applyAlignment="1" applyProtection="1">
      <alignment horizontal="center"/>
      <protection locked="0"/>
    </xf>
    <xf numFmtId="37" fontId="71" fillId="0" borderId="0" xfId="0" applyFont="1" applyAlignment="1" applyProtection="1">
      <alignment horizontal="center"/>
      <protection locked="0"/>
    </xf>
    <xf numFmtId="37" fontId="12" fillId="0" borderId="0" xfId="0" applyFont="1" applyAlignment="1" applyProtection="1">
      <alignment horizontal="center"/>
      <protection locked="0"/>
    </xf>
    <xf numFmtId="37" fontId="86" fillId="0" borderId="0" xfId="5" applyFont="1" applyAlignment="1">
      <alignment horizontal="center"/>
    </xf>
    <xf numFmtId="37" fontId="14" fillId="0" borderId="0" xfId="5" applyFont="1" applyAlignment="1">
      <alignment horizontal="center"/>
    </xf>
    <xf numFmtId="37" fontId="89" fillId="0" borderId="0" xfId="0" applyFont="1" applyAlignment="1">
      <alignment horizontal="center"/>
    </xf>
    <xf numFmtId="37" fontId="86" fillId="0" borderId="0" xfId="0" applyFont="1" applyAlignment="1">
      <alignment horizontal="center"/>
    </xf>
    <xf numFmtId="37" fontId="4" fillId="0" borderId="28" xfId="0" applyFont="1" applyBorder="1" applyAlignment="1" applyProtection="1">
      <alignment horizontal="center"/>
    </xf>
    <xf numFmtId="37" fontId="4" fillId="0" borderId="19" xfId="0" applyFont="1" applyBorder="1" applyAlignment="1" applyProtection="1">
      <alignment horizontal="center"/>
    </xf>
    <xf numFmtId="37" fontId="4" fillId="0" borderId="24" xfId="0" applyFont="1" applyBorder="1" applyAlignment="1" applyProtection="1">
      <alignment horizontal="center"/>
    </xf>
    <xf numFmtId="37" fontId="33" fillId="0" borderId="0" xfId="0" applyFont="1" applyAlignment="1">
      <alignment horizontal="center"/>
    </xf>
    <xf numFmtId="37" fontId="33" fillId="0" borderId="7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37" fontId="5" fillId="0" borderId="0" xfId="0" applyFont="1" applyAlignment="1" applyProtection="1">
      <alignment horizontal="center"/>
    </xf>
    <xf numFmtId="37" fontId="12" fillId="0" borderId="5" xfId="0" applyFont="1" applyBorder="1" applyAlignment="1" applyProtection="1">
      <alignment horizontal="center"/>
    </xf>
  </cellXfs>
  <cellStyles count="34">
    <cellStyle name="Comma" xfId="1" builtinId="3"/>
    <cellStyle name="Comma [0] 2" xfId="19"/>
    <cellStyle name="Comma 2" xfId="18"/>
    <cellStyle name="Comma 3" xfId="22"/>
    <cellStyle name="Comma 4" xfId="25"/>
    <cellStyle name="Currency" xfId="2" builtinId="4"/>
    <cellStyle name="Currency [0] 2" xfId="17"/>
    <cellStyle name="Currency 2" xfId="16"/>
    <cellStyle name="Currency 3" xfId="21"/>
    <cellStyle name="Currency 4" xfId="26"/>
    <cellStyle name="Hyperlink" xfId="3" builtinId="8"/>
    <cellStyle name="Normal" xfId="0" builtinId="0"/>
    <cellStyle name="Normal - Style1" xfId="4"/>
    <cellStyle name="Normal 109" xfId="33"/>
    <cellStyle name="Normal 2" xfId="14"/>
    <cellStyle name="Normal 2 2" xfId="28"/>
    <cellStyle name="Normal 2 4" xfId="32"/>
    <cellStyle name="Normal 3" xfId="20"/>
    <cellStyle name="Normal 3 2" xfId="30"/>
    <cellStyle name="Normal 4" xfId="23"/>
    <cellStyle name="Normal 5" xfId="24"/>
    <cellStyle name="Normal 6" xfId="29"/>
    <cellStyle name="Normal_Book1 (2) (3)" xfId="5"/>
    <cellStyle name="Normal_C.2.2 B" xfId="6"/>
    <cellStyle name="Normal_F.1" xfId="7"/>
    <cellStyle name="Output Amounts" xfId="8"/>
    <cellStyle name="Output Column Headings" xfId="9"/>
    <cellStyle name="Output Line Items" xfId="10"/>
    <cellStyle name="Output Report Heading" xfId="11"/>
    <cellStyle name="Output Report Title" xfId="12"/>
    <cellStyle name="Percent" xfId="13" builtinId="5"/>
    <cellStyle name="Percent 2" xfId="15"/>
    <cellStyle name="Percent 3" xfId="27"/>
    <cellStyle name="Percent 7" xfId="31"/>
  </cellStyles>
  <dxfs count="0"/>
  <tableStyles count="0" defaultTableStyle="TableStyleMedium2" defaultPivotStyle="PivotStyleLight16"/>
  <colors>
    <mruColors>
      <color rgb="FFFFFFCC"/>
      <color rgb="FF0000FF"/>
      <color rgb="FFCCFFCC"/>
      <color rgb="FFFF99FF"/>
      <color rgb="FF008000"/>
      <color rgb="FF009900"/>
      <color rgb="FF66FFFF"/>
      <color rgb="FFCC99FF"/>
      <color rgb="FFCC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C31"/>
  <sheetViews>
    <sheetView view="pageBreakPreview" zoomScale="80" zoomScaleNormal="100" zoomScaleSheetLayoutView="80" workbookViewId="0">
      <selection activeCell="C24" sqref="C24"/>
    </sheetView>
  </sheetViews>
  <sheetFormatPr defaultRowHeight="15"/>
  <cols>
    <col min="1" max="1" width="12.33203125" customWidth="1"/>
    <col min="2" max="2" width="40.33203125" customWidth="1"/>
    <col min="3" max="3" width="17.21875" customWidth="1"/>
    <col min="7" max="7" width="11" bestFit="1" customWidth="1"/>
  </cols>
  <sheetData>
    <row r="1" spans="1:3">
      <c r="A1" s="1053" t="s">
        <v>337</v>
      </c>
      <c r="B1" s="1053"/>
      <c r="C1" s="1053"/>
    </row>
    <row r="2" spans="1:3">
      <c r="A2" s="1054" t="s">
        <v>1604</v>
      </c>
      <c r="B2" s="1054"/>
      <c r="C2" s="1054"/>
    </row>
    <row r="3" spans="1:3">
      <c r="A3" s="1055" t="s">
        <v>1638</v>
      </c>
      <c r="B3" s="1056"/>
      <c r="C3" s="1056"/>
    </row>
    <row r="4" spans="1:3">
      <c r="A4" s="1055" t="s">
        <v>1639</v>
      </c>
      <c r="B4" s="1056"/>
      <c r="C4" s="1056"/>
    </row>
    <row r="5" spans="1:3">
      <c r="A5" s="171"/>
      <c r="B5" s="171"/>
      <c r="C5" s="171"/>
    </row>
    <row r="6" spans="1:3">
      <c r="A6" s="171"/>
      <c r="B6" s="171"/>
      <c r="C6" s="171"/>
    </row>
    <row r="8" spans="1:3">
      <c r="A8" s="41" t="s">
        <v>56</v>
      </c>
      <c r="B8" s="41" t="s">
        <v>949</v>
      </c>
      <c r="C8" s="41" t="s">
        <v>658</v>
      </c>
    </row>
    <row r="10" spans="1:3">
      <c r="A10" s="37" t="s">
        <v>164</v>
      </c>
      <c r="B10" s="173" t="s">
        <v>782</v>
      </c>
      <c r="C10" s="92" t="s">
        <v>1318</v>
      </c>
    </row>
    <row r="11" spans="1:3">
      <c r="A11" s="37" t="s">
        <v>783</v>
      </c>
      <c r="B11" s="173" t="s">
        <v>262</v>
      </c>
      <c r="C11" s="92" t="s">
        <v>1319</v>
      </c>
    </row>
    <row r="12" spans="1:3">
      <c r="A12" s="37" t="s">
        <v>784</v>
      </c>
      <c r="B12" s="173" t="s">
        <v>785</v>
      </c>
      <c r="C12" s="92" t="s">
        <v>1320</v>
      </c>
    </row>
    <row r="13" spans="1:3">
      <c r="A13" s="37" t="s">
        <v>786</v>
      </c>
      <c r="B13" s="173" t="s">
        <v>787</v>
      </c>
      <c r="C13" s="92" t="s">
        <v>1321</v>
      </c>
    </row>
    <row r="14" spans="1:3">
      <c r="A14" s="37" t="s">
        <v>797</v>
      </c>
      <c r="B14" s="173" t="s">
        <v>441</v>
      </c>
      <c r="C14" s="92" t="s">
        <v>1322</v>
      </c>
    </row>
    <row r="15" spans="1:3">
      <c r="A15" s="37" t="s">
        <v>788</v>
      </c>
      <c r="B15" s="173" t="s">
        <v>789</v>
      </c>
      <c r="C15" s="92" t="s">
        <v>1323</v>
      </c>
    </row>
    <row r="16" spans="1:3">
      <c r="A16" s="37" t="s">
        <v>790</v>
      </c>
      <c r="B16" s="173" t="s">
        <v>791</v>
      </c>
      <c r="C16" s="92" t="s">
        <v>1324</v>
      </c>
    </row>
    <row r="17" spans="1:3">
      <c r="A17" s="37" t="s">
        <v>360</v>
      </c>
      <c r="B17" s="173" t="s">
        <v>121</v>
      </c>
      <c r="C17" s="92" t="s">
        <v>1325</v>
      </c>
    </row>
    <row r="18" spans="1:3">
      <c r="A18" s="37" t="s">
        <v>792</v>
      </c>
      <c r="B18" s="173" t="s">
        <v>793</v>
      </c>
      <c r="C18" s="92" t="s">
        <v>1326</v>
      </c>
    </row>
    <row r="19" spans="1:3">
      <c r="A19" s="37" t="s">
        <v>794</v>
      </c>
      <c r="B19" s="173" t="s">
        <v>795</v>
      </c>
      <c r="C19" s="92" t="s">
        <v>1327</v>
      </c>
    </row>
    <row r="20" spans="1:3">
      <c r="A20" s="37" t="s">
        <v>796</v>
      </c>
      <c r="B20" s="173" t="s">
        <v>24</v>
      </c>
      <c r="C20" s="92" t="s">
        <v>1328</v>
      </c>
    </row>
    <row r="23" spans="1:3">
      <c r="A23" s="37" t="s">
        <v>1622</v>
      </c>
    </row>
    <row r="24" spans="1:3">
      <c r="A24" s="37" t="s">
        <v>1624</v>
      </c>
      <c r="B24" t="s">
        <v>1625</v>
      </c>
      <c r="C24" s="724">
        <v>-1984345</v>
      </c>
    </row>
    <row r="25" spans="1:3">
      <c r="B25" t="s">
        <v>1626</v>
      </c>
      <c r="C25" s="724">
        <v>-2199566</v>
      </c>
    </row>
    <row r="26" spans="1:3">
      <c r="A26" t="s">
        <v>1623</v>
      </c>
    </row>
    <row r="27" spans="1:3">
      <c r="A27" s="37" t="s">
        <v>1624</v>
      </c>
      <c r="C27" s="724">
        <v>-1984345</v>
      </c>
    </row>
    <row r="28" spans="1:3">
      <c r="A28" s="37" t="s">
        <v>1627</v>
      </c>
      <c r="C28" s="724">
        <v>-2199566</v>
      </c>
    </row>
    <row r="30" spans="1:3">
      <c r="B30" t="s">
        <v>1628</v>
      </c>
      <c r="C30" s="1033">
        <f>C27-C24</f>
        <v>0</v>
      </c>
    </row>
    <row r="31" spans="1:3">
      <c r="B31" t="s">
        <v>1628</v>
      </c>
      <c r="C31" s="1033">
        <f>C28-C25</f>
        <v>0</v>
      </c>
    </row>
  </sheetData>
  <mergeCells count="4">
    <mergeCell ref="A1:C1"/>
    <mergeCell ref="A2:C2"/>
    <mergeCell ref="A3:C3"/>
    <mergeCell ref="A4:C4"/>
  </mergeCells>
  <phoneticPr fontId="20" type="noConversion"/>
  <hyperlinks>
    <hyperlink ref="B10" location="'Cover A'!A1" display="Summary"/>
    <hyperlink ref="B11" location="'Cover B'!A1" display="Rate Base"/>
    <hyperlink ref="B12" location="'Cover C'!A1" display="Operating Income (Revenues &amp; Expenses)"/>
    <hyperlink ref="B13" location="'Cover D'!A1" display="Adjustments to Operating Income by Account"/>
    <hyperlink ref="B14" location="'Cover E'!A1" display="Income Tax Calculation"/>
    <hyperlink ref="B15" location="'Cover F'!A1" display="Rule F Compliance Adjustments"/>
    <hyperlink ref="B16" location="G.1!A1" display="Payroll Analysis"/>
    <hyperlink ref="B17" location="H.1!A1" display="Gross Revenue Conversion Factor"/>
    <hyperlink ref="B18" location="I.1!A1" display="Comparative Income Statements"/>
    <hyperlink ref="B19" location="'J-1 Base'!A1" display="Cost of Capital"/>
    <hyperlink ref="B20" location="K!A1" display="Comparative Financial Data"/>
  </hyperlinks>
  <pageMargins left="0.91" right="0.75" top="1" bottom="1" header="0.5" footer="0.5"/>
  <pageSetup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S267"/>
  <sheetViews>
    <sheetView view="pageBreakPreview" zoomScale="80" zoomScaleNormal="100" zoomScaleSheetLayoutView="80" workbookViewId="0">
      <pane xSplit="3" ySplit="12" topLeftCell="D249" activePane="bottomRight" state="frozen"/>
      <selection activeCell="P23" sqref="P23:P157"/>
      <selection pane="topRight" activeCell="P23" sqref="P23:P157"/>
      <selection pane="bottomLeft" activeCell="P23" sqref="P23:P157"/>
      <selection pane="bottomRight" activeCell="E26" sqref="E26"/>
    </sheetView>
  </sheetViews>
  <sheetFormatPr defaultColWidth="8.88671875" defaultRowHeight="15"/>
  <cols>
    <col min="1" max="1" width="4.5546875" customWidth="1"/>
    <col min="2" max="2" width="9.33203125" customWidth="1"/>
    <col min="3" max="3" width="33.88671875" customWidth="1"/>
    <col min="4" max="4" width="14.6640625" customWidth="1"/>
    <col min="5" max="5" width="10.33203125" customWidth="1"/>
    <col min="6" max="6" width="14.21875" customWidth="1"/>
    <col min="7" max="7" width="12.6640625" style="37" bestFit="1" customWidth="1"/>
    <col min="8" max="8" width="13.5546875" style="37" customWidth="1"/>
    <col min="9" max="9" width="14" customWidth="1"/>
    <col min="10" max="10" width="3.21875" customWidth="1"/>
    <col min="11" max="11" width="15.77734375" customWidth="1"/>
    <col min="12" max="12" width="12.6640625" style="37" bestFit="1" customWidth="1"/>
    <col min="13" max="13" width="9.77734375" style="37" bestFit="1" customWidth="1"/>
    <col min="14" max="14" width="16" bestFit="1" customWidth="1"/>
    <col min="15" max="15" width="5" customWidth="1"/>
    <col min="16" max="17" width="12" bestFit="1" customWidth="1"/>
  </cols>
  <sheetData>
    <row r="1" spans="1:17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</row>
    <row r="2" spans="1:17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</row>
    <row r="3" spans="1:17">
      <c r="A3" s="1060" t="s">
        <v>1076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</row>
    <row r="4" spans="1:17" ht="15.75">
      <c r="A4" s="1062" t="str">
        <f>'B.1 B'!A4</f>
        <v>Base Period: Twelve Months Ended December 31, 2024</v>
      </c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1:17" ht="15.75">
      <c r="A5" s="25"/>
      <c r="B5" s="25"/>
      <c r="C5" s="25"/>
      <c r="D5" s="332"/>
      <c r="E5" s="25"/>
      <c r="F5" s="25"/>
      <c r="G5" s="38"/>
      <c r="H5" s="38"/>
      <c r="I5" s="1"/>
      <c r="J5" s="1"/>
      <c r="K5" s="25"/>
      <c r="P5" s="330"/>
    </row>
    <row r="6" spans="1:17" ht="15.75">
      <c r="A6" s="699" t="str">
        <f>'B.1 B'!A6</f>
        <v>Data:__X___Base Period______Forecasted Period</v>
      </c>
      <c r="B6" s="1"/>
      <c r="C6" s="1"/>
      <c r="D6" s="1"/>
      <c r="E6" s="330"/>
      <c r="F6" s="1"/>
      <c r="G6" s="38"/>
      <c r="K6" s="1"/>
      <c r="N6" s="476" t="s">
        <v>1332</v>
      </c>
    </row>
    <row r="7" spans="1:17">
      <c r="A7" s="699" t="str">
        <f>'B.1 B'!A7</f>
        <v>Type of Filing:___X____Original________Updated ________Revised</v>
      </c>
      <c r="B7" s="4"/>
      <c r="C7" s="1"/>
      <c r="D7" s="1"/>
      <c r="E7" s="1"/>
      <c r="F7" s="1"/>
      <c r="G7" s="38"/>
      <c r="I7" s="4"/>
      <c r="J7" s="4"/>
      <c r="K7" s="1"/>
      <c r="N7" s="17" t="s">
        <v>974</v>
      </c>
    </row>
    <row r="8" spans="1:17">
      <c r="A8" s="699" t="str">
        <f>'B.1 B'!A8</f>
        <v>Workpaper Reference No(s).</v>
      </c>
      <c r="B8" s="1"/>
      <c r="C8" s="1"/>
      <c r="D8" s="1"/>
      <c r="E8" s="1"/>
      <c r="F8" s="1"/>
      <c r="G8" s="38"/>
      <c r="I8" s="4"/>
      <c r="J8" s="4"/>
      <c r="K8" s="1"/>
      <c r="N8" s="718" t="str">
        <f>'B.2 B'!N8</f>
        <v>Witness: Waller</v>
      </c>
    </row>
    <row r="9" spans="1:17">
      <c r="A9" s="538"/>
      <c r="B9" s="42"/>
      <c r="C9" s="227"/>
      <c r="D9" s="135"/>
      <c r="E9" s="42"/>
      <c r="F9" s="42"/>
      <c r="G9" s="196"/>
      <c r="H9" s="197"/>
      <c r="I9" s="539"/>
      <c r="J9" s="4"/>
      <c r="K9" s="135"/>
      <c r="L9" s="469"/>
      <c r="M9" s="469"/>
      <c r="N9" s="540"/>
    </row>
    <row r="10" spans="1:17" ht="15.75">
      <c r="A10" s="541"/>
      <c r="B10" s="1"/>
      <c r="C10" s="554"/>
      <c r="D10" s="331">
        <v>45657</v>
      </c>
      <c r="E10" s="1"/>
      <c r="F10" s="1"/>
      <c r="G10" s="38" t="s">
        <v>12</v>
      </c>
      <c r="H10" s="2" t="s">
        <v>10</v>
      </c>
      <c r="I10" s="542"/>
      <c r="J10" s="4"/>
      <c r="K10" s="543"/>
      <c r="L10" s="38" t="s">
        <v>12</v>
      </c>
      <c r="M10" s="2" t="s">
        <v>10</v>
      </c>
      <c r="N10" s="542"/>
    </row>
    <row r="11" spans="1:17" ht="15.75">
      <c r="A11" s="541" t="s">
        <v>88</v>
      </c>
      <c r="B11" s="2" t="s">
        <v>259</v>
      </c>
      <c r="C11" s="190" t="s">
        <v>208</v>
      </c>
      <c r="D11" s="557" t="s">
        <v>1255</v>
      </c>
      <c r="E11" s="2"/>
      <c r="F11" s="2" t="s">
        <v>9</v>
      </c>
      <c r="G11" s="2" t="s">
        <v>13</v>
      </c>
      <c r="H11" s="2" t="s">
        <v>567</v>
      </c>
      <c r="I11" s="190" t="s">
        <v>11</v>
      </c>
      <c r="J11" s="2"/>
      <c r="K11" s="544" t="s">
        <v>43</v>
      </c>
      <c r="L11" s="2" t="s">
        <v>13</v>
      </c>
      <c r="M11" s="2" t="s">
        <v>567</v>
      </c>
      <c r="N11" s="190" t="s">
        <v>11</v>
      </c>
    </row>
    <row r="12" spans="1:17" ht="15.75">
      <c r="A12" s="191" t="s">
        <v>94</v>
      </c>
      <c r="B12" s="27" t="s">
        <v>94</v>
      </c>
      <c r="C12" s="192" t="s">
        <v>287</v>
      </c>
      <c r="D12" s="558" t="s">
        <v>100</v>
      </c>
      <c r="E12" s="27" t="s">
        <v>951</v>
      </c>
      <c r="F12" s="27" t="s">
        <v>100</v>
      </c>
      <c r="G12" s="27" t="s">
        <v>600</v>
      </c>
      <c r="H12" s="27" t="s">
        <v>600</v>
      </c>
      <c r="I12" s="192" t="s">
        <v>99</v>
      </c>
      <c r="J12" s="2"/>
      <c r="K12" s="558" t="s">
        <v>93</v>
      </c>
      <c r="L12" s="27" t="s">
        <v>600</v>
      </c>
      <c r="M12" s="27" t="s">
        <v>600</v>
      </c>
      <c r="N12" s="192" t="s">
        <v>99</v>
      </c>
      <c r="P12" s="57"/>
      <c r="Q12" s="57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7" ht="15.75">
      <c r="B14" s="59" t="s">
        <v>5</v>
      </c>
    </row>
    <row r="15" spans="1:17">
      <c r="A15" s="2">
        <v>1</v>
      </c>
      <c r="B15" s="1"/>
      <c r="C15" s="16" t="s">
        <v>288</v>
      </c>
    </row>
    <row r="16" spans="1:17">
      <c r="A16" s="605">
        <f>A15+1</f>
        <v>2</v>
      </c>
      <c r="B16" s="294">
        <v>30100</v>
      </c>
      <c r="C16" s="4" t="s">
        <v>282</v>
      </c>
      <c r="D16" s="720">
        <v>8329.7199999999993</v>
      </c>
      <c r="E16" s="203">
        <v>0</v>
      </c>
      <c r="F16" s="707">
        <f>D16-E16</f>
        <v>8329.7199999999993</v>
      </c>
      <c r="G16" s="266">
        <v>1</v>
      </c>
      <c r="H16" s="708">
        <f>$G$16</f>
        <v>1</v>
      </c>
      <c r="I16" s="707">
        <f>F16*G16*H16</f>
        <v>8329.7199999999993</v>
      </c>
      <c r="J16" s="486"/>
      <c r="K16" s="720">
        <v>8329.7199999999993</v>
      </c>
      <c r="L16" s="708">
        <f t="shared" ref="L16:M17" si="0">$G$16</f>
        <v>1</v>
      </c>
      <c r="M16" s="708">
        <f t="shared" si="0"/>
        <v>1</v>
      </c>
      <c r="N16" s="707">
        <f>K16*L16*M16</f>
        <v>8329.7199999999993</v>
      </c>
    </row>
    <row r="17" spans="1:14">
      <c r="A17" s="605">
        <f t="shared" ref="A17:A83" si="1">A16+1</f>
        <v>3</v>
      </c>
      <c r="B17" s="294">
        <v>30200</v>
      </c>
      <c r="C17" s="4" t="s">
        <v>147</v>
      </c>
      <c r="D17" s="709">
        <v>119852.69</v>
      </c>
      <c r="E17" s="248">
        <v>0</v>
      </c>
      <c r="F17" s="345">
        <f>D17-E17</f>
        <v>119852.69</v>
      </c>
      <c r="G17" s="708">
        <f>$G$16</f>
        <v>1</v>
      </c>
      <c r="H17" s="708">
        <f>$G$16</f>
        <v>1</v>
      </c>
      <c r="I17" s="345">
        <f>F17*G17*H17</f>
        <v>119852.69</v>
      </c>
      <c r="K17" s="709">
        <v>119852.68999999996</v>
      </c>
      <c r="L17" s="708">
        <f t="shared" si="0"/>
        <v>1</v>
      </c>
      <c r="M17" s="708">
        <f t="shared" si="0"/>
        <v>1</v>
      </c>
      <c r="N17" s="345">
        <f>K17*L17*M17</f>
        <v>119852.68999999996</v>
      </c>
    </row>
    <row r="18" spans="1:14">
      <c r="A18" s="605">
        <f t="shared" si="1"/>
        <v>4</v>
      </c>
      <c r="B18" s="294"/>
      <c r="C18" s="4"/>
      <c r="D18" s="559"/>
      <c r="E18" s="559"/>
      <c r="F18" s="559"/>
      <c r="G18" s="266"/>
      <c r="H18" s="266"/>
      <c r="I18" s="559"/>
      <c r="K18" s="559"/>
      <c r="N18" s="559"/>
    </row>
    <row r="19" spans="1:14">
      <c r="A19" s="605">
        <f t="shared" si="1"/>
        <v>5</v>
      </c>
      <c r="B19" s="382"/>
      <c r="C19" s="4" t="s">
        <v>1306</v>
      </c>
      <c r="D19" s="707">
        <f>SUM(D16:D18)</f>
        <v>128182.41</v>
      </c>
      <c r="E19" s="707">
        <f>SUM(E16:E18)</f>
        <v>0</v>
      </c>
      <c r="F19" s="707">
        <f>SUM(F16:F18)</f>
        <v>128182.41</v>
      </c>
      <c r="G19" s="266"/>
      <c r="H19" s="266"/>
      <c r="I19" s="707">
        <f>SUM(I16:I18)</f>
        <v>128182.41</v>
      </c>
      <c r="K19" s="707">
        <f>SUM(K16:K18)</f>
        <v>128182.40999999996</v>
      </c>
      <c r="N19" s="707">
        <f>SUM(N16:N17)</f>
        <v>128182.40999999996</v>
      </c>
    </row>
    <row r="20" spans="1:14">
      <c r="A20" s="605">
        <f t="shared" si="1"/>
        <v>6</v>
      </c>
      <c r="B20" s="382"/>
      <c r="C20" s="1"/>
      <c r="D20" s="248"/>
      <c r="E20" s="248"/>
      <c r="F20" s="248"/>
      <c r="G20" s="266"/>
      <c r="H20" s="266"/>
      <c r="I20" s="248"/>
      <c r="K20" s="248"/>
      <c r="N20" s="248"/>
    </row>
    <row r="21" spans="1:14">
      <c r="A21" s="605">
        <f t="shared" si="1"/>
        <v>7</v>
      </c>
      <c r="B21" s="382"/>
      <c r="C21" s="16" t="s">
        <v>148</v>
      </c>
      <c r="D21" s="248"/>
      <c r="E21" s="248"/>
      <c r="F21" s="248"/>
      <c r="G21" s="266"/>
      <c r="H21" s="266"/>
      <c r="I21" s="248"/>
      <c r="K21" s="248"/>
      <c r="N21" s="248"/>
    </row>
    <row r="22" spans="1:14">
      <c r="A22" s="605">
        <f t="shared" si="1"/>
        <v>8</v>
      </c>
      <c r="B22" s="294">
        <v>32540</v>
      </c>
      <c r="C22" s="4" t="s">
        <v>155</v>
      </c>
      <c r="D22" s="709">
        <v>0</v>
      </c>
      <c r="E22" s="203">
        <v>0</v>
      </c>
      <c r="F22" s="707">
        <f t="shared" ref="F22:F24" si="2">D22-E22</f>
        <v>0</v>
      </c>
      <c r="G22" s="708">
        <f t="shared" ref="G22:H24" si="3">$G$16</f>
        <v>1</v>
      </c>
      <c r="H22" s="708">
        <f t="shared" si="3"/>
        <v>1</v>
      </c>
      <c r="I22" s="707">
        <f t="shared" ref="I22:I24" si="4">F22*G22*H22</f>
        <v>0</v>
      </c>
      <c r="K22" s="720">
        <v>0</v>
      </c>
      <c r="L22" s="708">
        <f t="shared" ref="L22:M24" si="5">$G$16</f>
        <v>1</v>
      </c>
      <c r="M22" s="708">
        <f t="shared" si="5"/>
        <v>1</v>
      </c>
      <c r="N22" s="707">
        <f t="shared" ref="N22:N24" si="6">K22*L22*M22</f>
        <v>0</v>
      </c>
    </row>
    <row r="23" spans="1:14">
      <c r="A23" s="605">
        <f t="shared" si="1"/>
        <v>9</v>
      </c>
      <c r="B23" s="294">
        <v>33202</v>
      </c>
      <c r="C23" s="4" t="s">
        <v>569</v>
      </c>
      <c r="D23" s="709">
        <v>0</v>
      </c>
      <c r="E23" s="248">
        <v>0</v>
      </c>
      <c r="F23" s="345">
        <f t="shared" si="2"/>
        <v>0</v>
      </c>
      <c r="G23" s="708">
        <f t="shared" si="3"/>
        <v>1</v>
      </c>
      <c r="H23" s="708">
        <f t="shared" si="3"/>
        <v>1</v>
      </c>
      <c r="I23" s="345">
        <f t="shared" si="4"/>
        <v>0</v>
      </c>
      <c r="K23" s="709">
        <v>0</v>
      </c>
      <c r="L23" s="708">
        <f t="shared" si="5"/>
        <v>1</v>
      </c>
      <c r="M23" s="708">
        <f t="shared" si="5"/>
        <v>1</v>
      </c>
      <c r="N23" s="345">
        <f t="shared" si="6"/>
        <v>0</v>
      </c>
    </row>
    <row r="24" spans="1:14">
      <c r="A24" s="605">
        <f t="shared" si="1"/>
        <v>10</v>
      </c>
      <c r="B24" s="294">
        <v>33400</v>
      </c>
      <c r="C24" s="4" t="s">
        <v>1078</v>
      </c>
      <c r="D24" s="709">
        <v>0</v>
      </c>
      <c r="E24" s="248">
        <v>0</v>
      </c>
      <c r="F24" s="345">
        <f t="shared" si="2"/>
        <v>0</v>
      </c>
      <c r="G24" s="708">
        <f t="shared" si="3"/>
        <v>1</v>
      </c>
      <c r="H24" s="708">
        <f t="shared" si="3"/>
        <v>1</v>
      </c>
      <c r="I24" s="345">
        <f t="shared" si="4"/>
        <v>0</v>
      </c>
      <c r="K24" s="709">
        <v>0</v>
      </c>
      <c r="L24" s="708">
        <f t="shared" si="5"/>
        <v>1</v>
      </c>
      <c r="M24" s="708">
        <f t="shared" si="5"/>
        <v>1</v>
      </c>
      <c r="N24" s="345">
        <f t="shared" si="6"/>
        <v>0</v>
      </c>
    </row>
    <row r="25" spans="1:14">
      <c r="A25" s="605">
        <f t="shared" si="1"/>
        <v>11</v>
      </c>
      <c r="B25" s="294"/>
      <c r="C25" s="1"/>
      <c r="D25" s="559"/>
      <c r="E25" s="248"/>
      <c r="F25" s="248"/>
      <c r="G25" s="266"/>
      <c r="H25" s="266"/>
      <c r="I25" s="248"/>
      <c r="K25" s="559"/>
      <c r="N25" s="248"/>
    </row>
    <row r="26" spans="1:14">
      <c r="A26" s="605">
        <f t="shared" si="1"/>
        <v>12</v>
      </c>
      <c r="B26" s="294"/>
      <c r="C26" s="1" t="s">
        <v>1305</v>
      </c>
      <c r="D26" s="707">
        <f>SUM(D22:D25)</f>
        <v>0</v>
      </c>
      <c r="E26" s="707">
        <f>SUM(E22:E25)</f>
        <v>0</v>
      </c>
      <c r="F26" s="707">
        <f>SUM(F22:F25)</f>
        <v>0</v>
      </c>
      <c r="G26" s="266"/>
      <c r="H26" s="266"/>
      <c r="I26" s="707">
        <f>SUM(I22:I25)</f>
        <v>0</v>
      </c>
      <c r="K26" s="707">
        <f>SUM(K22:K25)</f>
        <v>0</v>
      </c>
      <c r="N26" s="707">
        <f>SUM(N22:N25)</f>
        <v>0</v>
      </c>
    </row>
    <row r="27" spans="1:14">
      <c r="A27" s="605">
        <f t="shared" si="1"/>
        <v>13</v>
      </c>
      <c r="B27" s="294"/>
      <c r="C27" s="4"/>
      <c r="D27" s="248"/>
      <c r="E27" s="248"/>
      <c r="F27" s="248"/>
      <c r="G27" s="266"/>
      <c r="H27" s="266"/>
      <c r="I27" s="248"/>
      <c r="K27" s="248"/>
      <c r="N27" s="248"/>
    </row>
    <row r="28" spans="1:14">
      <c r="A28" s="605">
        <f t="shared" si="1"/>
        <v>14</v>
      </c>
      <c r="B28" s="294"/>
      <c r="C28" s="16" t="s">
        <v>270</v>
      </c>
      <c r="D28" s="248"/>
      <c r="E28" s="248"/>
      <c r="F28" s="248"/>
      <c r="G28" s="266"/>
      <c r="H28" s="266"/>
      <c r="I28" s="248"/>
      <c r="K28" s="248"/>
      <c r="N28" s="248"/>
    </row>
    <row r="29" spans="1:14">
      <c r="A29" s="605">
        <f t="shared" si="1"/>
        <v>15</v>
      </c>
      <c r="B29" s="294">
        <v>35010</v>
      </c>
      <c r="C29" s="4" t="s">
        <v>283</v>
      </c>
      <c r="D29" s="720">
        <v>0</v>
      </c>
      <c r="E29" s="203">
        <v>0</v>
      </c>
      <c r="F29" s="707">
        <f t="shared" ref="F29:F45" si="7">D29-E29</f>
        <v>0</v>
      </c>
      <c r="G29" s="708">
        <f t="shared" ref="G29:H45" si="8">$G$16</f>
        <v>1</v>
      </c>
      <c r="H29" s="708">
        <f t="shared" si="8"/>
        <v>1</v>
      </c>
      <c r="I29" s="707">
        <f t="shared" ref="I29:I45" si="9">F29*G29*H29</f>
        <v>0</v>
      </c>
      <c r="K29" s="720">
        <v>0</v>
      </c>
      <c r="L29" s="708">
        <f t="shared" ref="L29:M45" si="10">$G$16</f>
        <v>1</v>
      </c>
      <c r="M29" s="708">
        <f t="shared" si="10"/>
        <v>1</v>
      </c>
      <c r="N29" s="707">
        <f t="shared" ref="N29:N45" si="11">K29*L29*M29</f>
        <v>0</v>
      </c>
    </row>
    <row r="30" spans="1:14">
      <c r="A30" s="605">
        <f t="shared" si="1"/>
        <v>16</v>
      </c>
      <c r="B30" s="294">
        <v>35020</v>
      </c>
      <c r="C30" s="4" t="s">
        <v>762</v>
      </c>
      <c r="D30" s="709">
        <v>4176.587372</v>
      </c>
      <c r="E30" s="248">
        <v>0</v>
      </c>
      <c r="F30" s="345">
        <f t="shared" si="7"/>
        <v>4176.587372</v>
      </c>
      <c r="G30" s="708">
        <f t="shared" si="8"/>
        <v>1</v>
      </c>
      <c r="H30" s="708">
        <f t="shared" si="8"/>
        <v>1</v>
      </c>
      <c r="I30" s="345">
        <f t="shared" si="9"/>
        <v>4176.587372</v>
      </c>
      <c r="K30" s="709">
        <v>4160.6746770769223</v>
      </c>
      <c r="L30" s="708">
        <f t="shared" si="10"/>
        <v>1</v>
      </c>
      <c r="M30" s="708">
        <f t="shared" si="10"/>
        <v>1</v>
      </c>
      <c r="N30" s="345">
        <f t="shared" si="11"/>
        <v>4160.6746770769223</v>
      </c>
    </row>
    <row r="31" spans="1:14">
      <c r="A31" s="605">
        <f t="shared" si="1"/>
        <v>17</v>
      </c>
      <c r="B31" s="294">
        <v>35100</v>
      </c>
      <c r="C31" s="4" t="s">
        <v>933</v>
      </c>
      <c r="D31" s="709">
        <v>7642.4327579999963</v>
      </c>
      <c r="E31" s="248">
        <v>0</v>
      </c>
      <c r="F31" s="345">
        <f t="shared" si="7"/>
        <v>7642.4327579999963</v>
      </c>
      <c r="G31" s="708">
        <f t="shared" si="8"/>
        <v>1</v>
      </c>
      <c r="H31" s="708">
        <f t="shared" si="8"/>
        <v>1</v>
      </c>
      <c r="I31" s="345">
        <f t="shared" si="9"/>
        <v>7642.4327579999963</v>
      </c>
      <c r="K31" s="709">
        <v>7495.5288194615378</v>
      </c>
      <c r="L31" s="708">
        <f t="shared" si="10"/>
        <v>1</v>
      </c>
      <c r="M31" s="708">
        <f t="shared" si="10"/>
        <v>1</v>
      </c>
      <c r="N31" s="345">
        <f t="shared" si="11"/>
        <v>7495.5288194615378</v>
      </c>
    </row>
    <row r="32" spans="1:14">
      <c r="A32" s="605">
        <f t="shared" si="1"/>
        <v>18</v>
      </c>
      <c r="B32" s="294">
        <v>35102</v>
      </c>
      <c r="C32" s="4" t="s">
        <v>271</v>
      </c>
      <c r="D32" s="709">
        <v>118143.07062199994</v>
      </c>
      <c r="E32" s="248">
        <v>0</v>
      </c>
      <c r="F32" s="345">
        <f t="shared" si="7"/>
        <v>118143.07062199994</v>
      </c>
      <c r="G32" s="708">
        <f t="shared" si="8"/>
        <v>1</v>
      </c>
      <c r="H32" s="708">
        <f t="shared" si="8"/>
        <v>1</v>
      </c>
      <c r="I32" s="345">
        <f t="shared" si="9"/>
        <v>118143.07062199994</v>
      </c>
      <c r="K32" s="709">
        <v>116649.05362899997</v>
      </c>
      <c r="L32" s="708">
        <f t="shared" si="10"/>
        <v>1</v>
      </c>
      <c r="M32" s="708">
        <f t="shared" si="10"/>
        <v>1</v>
      </c>
      <c r="N32" s="345">
        <f t="shared" si="11"/>
        <v>116649.05362899997</v>
      </c>
    </row>
    <row r="33" spans="1:14">
      <c r="A33" s="605">
        <f t="shared" si="1"/>
        <v>19</v>
      </c>
      <c r="B33" s="294">
        <v>35103</v>
      </c>
      <c r="C33" s="4" t="s">
        <v>558</v>
      </c>
      <c r="D33" s="709">
        <v>20672.951089999988</v>
      </c>
      <c r="E33" s="248">
        <v>0</v>
      </c>
      <c r="F33" s="345">
        <f t="shared" si="7"/>
        <v>20672.951089999988</v>
      </c>
      <c r="G33" s="708">
        <f t="shared" si="8"/>
        <v>1</v>
      </c>
      <c r="H33" s="708">
        <f t="shared" si="8"/>
        <v>1</v>
      </c>
      <c r="I33" s="345">
        <f t="shared" si="9"/>
        <v>20672.951089999988</v>
      </c>
      <c r="K33" s="709">
        <v>20545.690293461532</v>
      </c>
      <c r="L33" s="708">
        <f t="shared" si="10"/>
        <v>1</v>
      </c>
      <c r="M33" s="708">
        <f t="shared" si="10"/>
        <v>1</v>
      </c>
      <c r="N33" s="345">
        <f t="shared" si="11"/>
        <v>20545.690293461532</v>
      </c>
    </row>
    <row r="34" spans="1:14">
      <c r="A34" s="605">
        <f t="shared" si="1"/>
        <v>20</v>
      </c>
      <c r="B34" s="294">
        <v>35104</v>
      </c>
      <c r="C34" s="4" t="s">
        <v>559</v>
      </c>
      <c r="D34" s="709">
        <v>104580.743457</v>
      </c>
      <c r="E34" s="248">
        <v>0</v>
      </c>
      <c r="F34" s="345">
        <f t="shared" si="7"/>
        <v>104580.743457</v>
      </c>
      <c r="G34" s="708">
        <f t="shared" si="8"/>
        <v>1</v>
      </c>
      <c r="H34" s="708">
        <f t="shared" si="8"/>
        <v>1</v>
      </c>
      <c r="I34" s="345">
        <f t="shared" si="9"/>
        <v>104580.743457</v>
      </c>
      <c r="K34" s="709">
        <v>103632.38823842307</v>
      </c>
      <c r="L34" s="708">
        <f t="shared" si="10"/>
        <v>1</v>
      </c>
      <c r="M34" s="708">
        <f t="shared" si="10"/>
        <v>1</v>
      </c>
      <c r="N34" s="345">
        <f t="shared" si="11"/>
        <v>103632.38823842307</v>
      </c>
    </row>
    <row r="35" spans="1:14">
      <c r="A35" s="605">
        <f t="shared" si="1"/>
        <v>21</v>
      </c>
      <c r="B35" s="294">
        <v>35200</v>
      </c>
      <c r="C35" s="4" t="s">
        <v>419</v>
      </c>
      <c r="D35" s="709">
        <v>2294744.460933167</v>
      </c>
      <c r="E35" s="248">
        <v>0</v>
      </c>
      <c r="F35" s="345">
        <f t="shared" si="7"/>
        <v>2294744.460933167</v>
      </c>
      <c r="G35" s="708">
        <f t="shared" si="8"/>
        <v>1</v>
      </c>
      <c r="H35" s="708">
        <f t="shared" si="8"/>
        <v>1</v>
      </c>
      <c r="I35" s="345">
        <f t="shared" si="9"/>
        <v>2294744.460933167</v>
      </c>
      <c r="K35" s="709">
        <v>2199315.4516747245</v>
      </c>
      <c r="L35" s="708">
        <f t="shared" si="10"/>
        <v>1</v>
      </c>
      <c r="M35" s="708">
        <f t="shared" si="10"/>
        <v>1</v>
      </c>
      <c r="N35" s="345">
        <f t="shared" si="11"/>
        <v>2199315.4516747245</v>
      </c>
    </row>
    <row r="36" spans="1:14">
      <c r="A36" s="605">
        <f t="shared" si="1"/>
        <v>22</v>
      </c>
      <c r="B36" s="294">
        <v>35201</v>
      </c>
      <c r="C36" s="4" t="s">
        <v>560</v>
      </c>
      <c r="D36" s="709">
        <v>1482128.0283199996</v>
      </c>
      <c r="E36" s="248">
        <v>0</v>
      </c>
      <c r="F36" s="345">
        <f t="shared" si="7"/>
        <v>1482128.0283199996</v>
      </c>
      <c r="G36" s="708">
        <f t="shared" si="8"/>
        <v>1</v>
      </c>
      <c r="H36" s="708">
        <f t="shared" si="8"/>
        <v>1</v>
      </c>
      <c r="I36" s="345">
        <f t="shared" si="9"/>
        <v>1482128.0283199996</v>
      </c>
      <c r="K36" s="709">
        <v>1468528.0314707686</v>
      </c>
      <c r="L36" s="708">
        <f t="shared" si="10"/>
        <v>1</v>
      </c>
      <c r="M36" s="708">
        <f t="shared" si="10"/>
        <v>1</v>
      </c>
      <c r="N36" s="345">
        <f t="shared" si="11"/>
        <v>1468528.0314707686</v>
      </c>
    </row>
    <row r="37" spans="1:14">
      <c r="A37" s="605">
        <f t="shared" si="1"/>
        <v>23</v>
      </c>
      <c r="B37" s="294">
        <v>35202</v>
      </c>
      <c r="C37" s="4" t="s">
        <v>561</v>
      </c>
      <c r="D37" s="709">
        <v>467453.38765200024</v>
      </c>
      <c r="E37" s="248">
        <v>0</v>
      </c>
      <c r="F37" s="345">
        <f t="shared" si="7"/>
        <v>467453.38765200024</v>
      </c>
      <c r="G37" s="708">
        <f t="shared" si="8"/>
        <v>1</v>
      </c>
      <c r="H37" s="708">
        <f t="shared" si="8"/>
        <v>1</v>
      </c>
      <c r="I37" s="345">
        <f t="shared" si="9"/>
        <v>467453.38765200024</v>
      </c>
      <c r="K37" s="709">
        <v>462848.90552169248</v>
      </c>
      <c r="L37" s="708">
        <f t="shared" si="10"/>
        <v>1</v>
      </c>
      <c r="M37" s="708">
        <f t="shared" si="10"/>
        <v>1</v>
      </c>
      <c r="N37" s="345">
        <f t="shared" si="11"/>
        <v>462848.90552169248</v>
      </c>
    </row>
    <row r="38" spans="1:14">
      <c r="A38" s="605">
        <f t="shared" si="1"/>
        <v>24</v>
      </c>
      <c r="B38" s="294">
        <v>35203</v>
      </c>
      <c r="C38" s="4" t="s">
        <v>334</v>
      </c>
      <c r="D38" s="709">
        <v>685203.00072000059</v>
      </c>
      <c r="E38" s="248">
        <v>0</v>
      </c>
      <c r="F38" s="345">
        <f t="shared" si="7"/>
        <v>685203.00072000059</v>
      </c>
      <c r="G38" s="708">
        <f t="shared" si="8"/>
        <v>1</v>
      </c>
      <c r="H38" s="708">
        <f t="shared" si="8"/>
        <v>1</v>
      </c>
      <c r="I38" s="345">
        <f t="shared" si="9"/>
        <v>685203.00072000059</v>
      </c>
      <c r="K38" s="709">
        <v>673339.16211692349</v>
      </c>
      <c r="L38" s="708">
        <f t="shared" si="10"/>
        <v>1</v>
      </c>
      <c r="M38" s="708">
        <f t="shared" si="10"/>
        <v>1</v>
      </c>
      <c r="N38" s="345">
        <f t="shared" si="11"/>
        <v>673339.16211692349</v>
      </c>
    </row>
    <row r="39" spans="1:14">
      <c r="A39" s="605">
        <f t="shared" si="1"/>
        <v>25</v>
      </c>
      <c r="B39" s="294">
        <v>35210</v>
      </c>
      <c r="C39" s="4" t="s">
        <v>562</v>
      </c>
      <c r="D39" s="709">
        <v>166578.59425200007</v>
      </c>
      <c r="E39" s="248">
        <v>0</v>
      </c>
      <c r="F39" s="345">
        <f t="shared" si="7"/>
        <v>166578.59425200007</v>
      </c>
      <c r="G39" s="708">
        <f t="shared" si="8"/>
        <v>1</v>
      </c>
      <c r="H39" s="708">
        <f t="shared" si="8"/>
        <v>1</v>
      </c>
      <c r="I39" s="345">
        <f t="shared" si="9"/>
        <v>166578.59425200007</v>
      </c>
      <c r="K39" s="709">
        <v>166078.7165293846</v>
      </c>
      <c r="L39" s="708">
        <f t="shared" si="10"/>
        <v>1</v>
      </c>
      <c r="M39" s="708">
        <f t="shared" si="10"/>
        <v>1</v>
      </c>
      <c r="N39" s="345">
        <f t="shared" si="11"/>
        <v>166078.7165293846</v>
      </c>
    </row>
    <row r="40" spans="1:14">
      <c r="A40" s="605">
        <f t="shared" si="1"/>
        <v>26</v>
      </c>
      <c r="B40" s="294">
        <v>35211</v>
      </c>
      <c r="C40" s="4" t="s">
        <v>563</v>
      </c>
      <c r="D40" s="709">
        <v>44273.382777000006</v>
      </c>
      <c r="E40" s="248">
        <v>0</v>
      </c>
      <c r="F40" s="345">
        <f t="shared" si="7"/>
        <v>44273.382777000006</v>
      </c>
      <c r="G40" s="708">
        <f t="shared" si="8"/>
        <v>1</v>
      </c>
      <c r="H40" s="708">
        <f t="shared" si="8"/>
        <v>1</v>
      </c>
      <c r="I40" s="345">
        <f t="shared" si="9"/>
        <v>44273.382777000006</v>
      </c>
      <c r="K40" s="709">
        <v>43994.853439961531</v>
      </c>
      <c r="L40" s="708">
        <f t="shared" si="10"/>
        <v>1</v>
      </c>
      <c r="M40" s="708">
        <f t="shared" si="10"/>
        <v>1</v>
      </c>
      <c r="N40" s="345">
        <f t="shared" si="11"/>
        <v>43994.853439961531</v>
      </c>
    </row>
    <row r="41" spans="1:14">
      <c r="A41" s="605">
        <f t="shared" si="1"/>
        <v>27</v>
      </c>
      <c r="B41" s="294">
        <v>35301</v>
      </c>
      <c r="C41" s="1" t="s">
        <v>156</v>
      </c>
      <c r="D41" s="709">
        <v>103908.84733099995</v>
      </c>
      <c r="E41" s="248">
        <v>0</v>
      </c>
      <c r="F41" s="345">
        <f t="shared" si="7"/>
        <v>103908.84733099995</v>
      </c>
      <c r="G41" s="708">
        <f t="shared" si="8"/>
        <v>1</v>
      </c>
      <c r="H41" s="708">
        <f t="shared" si="8"/>
        <v>1</v>
      </c>
      <c r="I41" s="345">
        <f t="shared" si="9"/>
        <v>103908.84733099995</v>
      </c>
      <c r="K41" s="709">
        <v>102804.13658911538</v>
      </c>
      <c r="L41" s="708">
        <f t="shared" si="10"/>
        <v>1</v>
      </c>
      <c r="M41" s="708">
        <f t="shared" si="10"/>
        <v>1</v>
      </c>
      <c r="N41" s="345">
        <f t="shared" si="11"/>
        <v>102804.13658911538</v>
      </c>
    </row>
    <row r="42" spans="1:14">
      <c r="A42" s="605">
        <f t="shared" si="1"/>
        <v>28</v>
      </c>
      <c r="B42" s="294">
        <v>35302</v>
      </c>
      <c r="C42" s="4" t="s">
        <v>569</v>
      </c>
      <c r="D42" s="709">
        <v>151768.75906999991</v>
      </c>
      <c r="E42" s="248">
        <v>0</v>
      </c>
      <c r="F42" s="345">
        <f t="shared" si="7"/>
        <v>151768.75906999991</v>
      </c>
      <c r="G42" s="708">
        <f t="shared" si="8"/>
        <v>1</v>
      </c>
      <c r="H42" s="708">
        <f t="shared" si="8"/>
        <v>1</v>
      </c>
      <c r="I42" s="345">
        <f t="shared" si="9"/>
        <v>151768.75906999991</v>
      </c>
      <c r="K42" s="709">
        <v>150450.05782653842</v>
      </c>
      <c r="L42" s="708">
        <f t="shared" si="10"/>
        <v>1</v>
      </c>
      <c r="M42" s="708">
        <f t="shared" si="10"/>
        <v>1</v>
      </c>
      <c r="N42" s="345">
        <f t="shared" si="11"/>
        <v>150450.05782653842</v>
      </c>
    </row>
    <row r="43" spans="1:14">
      <c r="A43" s="605">
        <f t="shared" si="1"/>
        <v>29</v>
      </c>
      <c r="B43" s="294">
        <v>35400</v>
      </c>
      <c r="C43" s="4" t="s">
        <v>564</v>
      </c>
      <c r="D43" s="709">
        <v>450476.50750850007</v>
      </c>
      <c r="E43" s="248">
        <v>0</v>
      </c>
      <c r="F43" s="345">
        <f t="shared" si="7"/>
        <v>450476.50750850007</v>
      </c>
      <c r="G43" s="708">
        <f t="shared" si="8"/>
        <v>1</v>
      </c>
      <c r="H43" s="708">
        <f t="shared" si="8"/>
        <v>1</v>
      </c>
      <c r="I43" s="345">
        <f t="shared" si="9"/>
        <v>450476.50750850007</v>
      </c>
      <c r="K43" s="709">
        <v>343290.15723744227</v>
      </c>
      <c r="L43" s="708">
        <f t="shared" si="10"/>
        <v>1</v>
      </c>
      <c r="M43" s="708">
        <f t="shared" si="10"/>
        <v>1</v>
      </c>
      <c r="N43" s="345">
        <f t="shared" si="11"/>
        <v>343290.15723744227</v>
      </c>
    </row>
    <row r="44" spans="1:14">
      <c r="A44" s="605">
        <f t="shared" si="1"/>
        <v>30</v>
      </c>
      <c r="B44" s="294">
        <v>35500</v>
      </c>
      <c r="C44" s="4" t="s">
        <v>956</v>
      </c>
      <c r="D44" s="709">
        <v>163229.75895300007</v>
      </c>
      <c r="E44" s="248">
        <v>0</v>
      </c>
      <c r="F44" s="345">
        <f t="shared" si="7"/>
        <v>163229.75895300007</v>
      </c>
      <c r="G44" s="708">
        <f t="shared" si="8"/>
        <v>1</v>
      </c>
      <c r="H44" s="708">
        <f t="shared" si="8"/>
        <v>1</v>
      </c>
      <c r="I44" s="345">
        <f t="shared" si="9"/>
        <v>163229.75895300007</v>
      </c>
      <c r="K44" s="709">
        <v>160676.4143335</v>
      </c>
      <c r="L44" s="708">
        <f t="shared" si="10"/>
        <v>1</v>
      </c>
      <c r="M44" s="708">
        <f t="shared" si="10"/>
        <v>1</v>
      </c>
      <c r="N44" s="345">
        <f t="shared" si="11"/>
        <v>160676.4143335</v>
      </c>
    </row>
    <row r="45" spans="1:14">
      <c r="A45" s="605">
        <f t="shared" si="1"/>
        <v>31</v>
      </c>
      <c r="B45" s="294">
        <v>35600</v>
      </c>
      <c r="C45" s="4" t="s">
        <v>1001</v>
      </c>
      <c r="D45" s="709">
        <v>297736.98325000011</v>
      </c>
      <c r="E45" s="549">
        <v>0</v>
      </c>
      <c r="F45" s="711">
        <f t="shared" si="7"/>
        <v>297736.98325000011</v>
      </c>
      <c r="G45" s="708">
        <f t="shared" si="8"/>
        <v>1</v>
      </c>
      <c r="H45" s="708">
        <f t="shared" si="8"/>
        <v>1</v>
      </c>
      <c r="I45" s="711">
        <f t="shared" si="9"/>
        <v>297736.98325000011</v>
      </c>
      <c r="K45" s="709">
        <v>281143.26087500004</v>
      </c>
      <c r="L45" s="708">
        <f t="shared" si="10"/>
        <v>1</v>
      </c>
      <c r="M45" s="708">
        <f t="shared" si="10"/>
        <v>1</v>
      </c>
      <c r="N45" s="711">
        <f t="shared" si="11"/>
        <v>281143.26087500004</v>
      </c>
    </row>
    <row r="46" spans="1:14">
      <c r="A46" s="605">
        <f t="shared" si="1"/>
        <v>32</v>
      </c>
      <c r="B46" s="294"/>
      <c r="C46" s="4"/>
      <c r="D46" s="559"/>
      <c r="E46" s="248"/>
      <c r="F46" s="248"/>
      <c r="G46" s="266"/>
      <c r="H46" s="266"/>
      <c r="I46" s="248"/>
      <c r="K46" s="559"/>
      <c r="N46" s="248"/>
    </row>
    <row r="47" spans="1:14">
      <c r="A47" s="605">
        <f t="shared" si="1"/>
        <v>33</v>
      </c>
      <c r="B47" s="294"/>
      <c r="C47" s="4" t="s">
        <v>1304</v>
      </c>
      <c r="D47" s="707">
        <f>SUM(D29:D46)</f>
        <v>6562717.4960656678</v>
      </c>
      <c r="E47" s="707">
        <f>SUM(E29:E46)</f>
        <v>0</v>
      </c>
      <c r="F47" s="707">
        <f>SUM(F29:F46)</f>
        <v>6562717.4960656678</v>
      </c>
      <c r="G47" s="266"/>
      <c r="H47" s="266"/>
      <c r="I47" s="707">
        <f>SUM(I29:I46)</f>
        <v>6562717.4960656678</v>
      </c>
      <c r="K47" s="707">
        <f>SUM(K29:K46)</f>
        <v>6304952.4832724733</v>
      </c>
      <c r="N47" s="707">
        <f>SUM(N29:N46)</f>
        <v>6304952.4832724733</v>
      </c>
    </row>
    <row r="48" spans="1:14">
      <c r="A48" s="605">
        <f t="shared" si="1"/>
        <v>34</v>
      </c>
      <c r="B48" s="294"/>
      <c r="C48" s="4"/>
      <c r="D48" s="248"/>
      <c r="E48" s="248"/>
      <c r="F48" s="248"/>
      <c r="G48" s="266"/>
      <c r="H48" s="266"/>
      <c r="I48" s="248"/>
      <c r="K48" s="248"/>
      <c r="N48" s="248"/>
    </row>
    <row r="49" spans="1:14">
      <c r="A49" s="605">
        <f t="shared" si="1"/>
        <v>35</v>
      </c>
      <c r="B49" s="294"/>
      <c r="C49" s="16" t="s">
        <v>957</v>
      </c>
      <c r="D49" s="248"/>
      <c r="E49" s="248"/>
      <c r="F49" s="248"/>
      <c r="G49" s="266"/>
      <c r="H49" s="266"/>
      <c r="I49" s="248"/>
      <c r="K49" s="248"/>
      <c r="N49" s="248"/>
    </row>
    <row r="50" spans="1:14">
      <c r="A50" s="605">
        <f t="shared" si="1"/>
        <v>36</v>
      </c>
      <c r="B50" s="294">
        <v>36510</v>
      </c>
      <c r="C50" s="4" t="s">
        <v>283</v>
      </c>
      <c r="D50" s="720">
        <v>0</v>
      </c>
      <c r="E50" s="203">
        <v>0</v>
      </c>
      <c r="F50" s="707">
        <f t="shared" ref="F50:F58" si="12">D50-E50</f>
        <v>0</v>
      </c>
      <c r="G50" s="708">
        <f t="shared" ref="G50:H58" si="13">$G$16</f>
        <v>1</v>
      </c>
      <c r="H50" s="708">
        <f t="shared" si="13"/>
        <v>1</v>
      </c>
      <c r="I50" s="707">
        <f t="shared" ref="I50:I58" si="14">F50*G50*H50</f>
        <v>0</v>
      </c>
      <c r="K50" s="720">
        <v>0</v>
      </c>
      <c r="L50" s="708">
        <f t="shared" ref="L50:M58" si="15">$G$16</f>
        <v>1</v>
      </c>
      <c r="M50" s="708">
        <f t="shared" si="15"/>
        <v>1</v>
      </c>
      <c r="N50" s="707">
        <f t="shared" ref="N50:N58" si="16">K50*L50*M50</f>
        <v>0</v>
      </c>
    </row>
    <row r="51" spans="1:14">
      <c r="A51" s="605">
        <f t="shared" si="1"/>
        <v>37</v>
      </c>
      <c r="B51" s="294">
        <v>36520</v>
      </c>
      <c r="C51" s="4" t="s">
        <v>762</v>
      </c>
      <c r="D51" s="709">
        <v>581881.47100000025</v>
      </c>
      <c r="E51" s="248">
        <v>0</v>
      </c>
      <c r="F51" s="345">
        <f t="shared" si="12"/>
        <v>581881.47100000025</v>
      </c>
      <c r="G51" s="708">
        <f t="shared" si="13"/>
        <v>1</v>
      </c>
      <c r="H51" s="708">
        <f t="shared" si="13"/>
        <v>1</v>
      </c>
      <c r="I51" s="345">
        <f t="shared" si="14"/>
        <v>581881.47100000025</v>
      </c>
      <c r="K51" s="709">
        <v>578193.44296153868</v>
      </c>
      <c r="L51" s="708">
        <f t="shared" si="15"/>
        <v>1</v>
      </c>
      <c r="M51" s="708">
        <f t="shared" si="15"/>
        <v>1</v>
      </c>
      <c r="N51" s="345">
        <f t="shared" si="16"/>
        <v>578193.44296153868</v>
      </c>
    </row>
    <row r="52" spans="1:14">
      <c r="A52" s="605">
        <f t="shared" si="1"/>
        <v>38</v>
      </c>
      <c r="B52" s="294">
        <v>36602</v>
      </c>
      <c r="C52" s="4" t="s">
        <v>825</v>
      </c>
      <c r="D52" s="709">
        <v>25749.878772166667</v>
      </c>
      <c r="E52" s="248">
        <v>0</v>
      </c>
      <c r="F52" s="345">
        <f t="shared" si="12"/>
        <v>25749.878772166667</v>
      </c>
      <c r="G52" s="708">
        <f t="shared" si="13"/>
        <v>1</v>
      </c>
      <c r="H52" s="708">
        <f t="shared" si="13"/>
        <v>1</v>
      </c>
      <c r="I52" s="345">
        <f t="shared" si="14"/>
        <v>25749.878772166667</v>
      </c>
      <c r="K52" s="709">
        <v>24310.370332730767</v>
      </c>
      <c r="L52" s="708">
        <f t="shared" si="15"/>
        <v>1</v>
      </c>
      <c r="M52" s="708">
        <f t="shared" si="15"/>
        <v>1</v>
      </c>
      <c r="N52" s="345">
        <f t="shared" si="16"/>
        <v>24310.370332730767</v>
      </c>
    </row>
    <row r="53" spans="1:14">
      <c r="A53" s="605">
        <f t="shared" si="1"/>
        <v>39</v>
      </c>
      <c r="B53" s="294">
        <v>36603</v>
      </c>
      <c r="C53" s="4" t="s">
        <v>958</v>
      </c>
      <c r="D53" s="709">
        <v>62894.15</v>
      </c>
      <c r="E53" s="248">
        <v>0</v>
      </c>
      <c r="F53" s="345">
        <f t="shared" si="12"/>
        <v>62894.15</v>
      </c>
      <c r="G53" s="708">
        <f t="shared" si="13"/>
        <v>1</v>
      </c>
      <c r="H53" s="708">
        <f t="shared" si="13"/>
        <v>1</v>
      </c>
      <c r="I53" s="345">
        <f t="shared" si="14"/>
        <v>62894.15</v>
      </c>
      <c r="K53" s="709">
        <v>62894.150000000016</v>
      </c>
      <c r="L53" s="708">
        <f t="shared" si="15"/>
        <v>1</v>
      </c>
      <c r="M53" s="708">
        <f t="shared" si="15"/>
        <v>1</v>
      </c>
      <c r="N53" s="345">
        <f t="shared" si="16"/>
        <v>62894.150000000016</v>
      </c>
    </row>
    <row r="54" spans="1:14">
      <c r="A54" s="605">
        <f t="shared" si="1"/>
        <v>40</v>
      </c>
      <c r="B54" s="294">
        <v>36700</v>
      </c>
      <c r="C54" s="4" t="s">
        <v>813</v>
      </c>
      <c r="D54" s="709">
        <v>32054.705354499998</v>
      </c>
      <c r="E54" s="248">
        <v>0</v>
      </c>
      <c r="F54" s="345">
        <f t="shared" si="12"/>
        <v>32054.705354499998</v>
      </c>
      <c r="G54" s="708">
        <f t="shared" si="13"/>
        <v>1</v>
      </c>
      <c r="H54" s="708">
        <f t="shared" si="13"/>
        <v>1</v>
      </c>
      <c r="I54" s="345">
        <f t="shared" si="14"/>
        <v>32054.705354499998</v>
      </c>
      <c r="K54" s="709">
        <v>31315.508749288463</v>
      </c>
      <c r="L54" s="708">
        <f t="shared" si="15"/>
        <v>1</v>
      </c>
      <c r="M54" s="708">
        <f t="shared" si="15"/>
        <v>1</v>
      </c>
      <c r="N54" s="345">
        <f t="shared" si="16"/>
        <v>31315.508749288463</v>
      </c>
    </row>
    <row r="55" spans="1:14">
      <c r="A55" s="605">
        <f t="shared" si="1"/>
        <v>41</v>
      </c>
      <c r="B55" s="294">
        <v>36701</v>
      </c>
      <c r="C55" s="4" t="s">
        <v>15</v>
      </c>
      <c r="D55" s="709">
        <v>17756103.464348014</v>
      </c>
      <c r="E55" s="248">
        <v>0</v>
      </c>
      <c r="F55" s="345">
        <f t="shared" si="12"/>
        <v>17756103.464348014</v>
      </c>
      <c r="G55" s="708">
        <f t="shared" si="13"/>
        <v>1</v>
      </c>
      <c r="H55" s="708">
        <f t="shared" si="13"/>
        <v>1</v>
      </c>
      <c r="I55" s="345">
        <f t="shared" si="14"/>
        <v>17756103.464348014</v>
      </c>
      <c r="K55" s="709">
        <v>17564097.708478313</v>
      </c>
      <c r="L55" s="708">
        <f t="shared" si="15"/>
        <v>1</v>
      </c>
      <c r="M55" s="708">
        <f t="shared" si="15"/>
        <v>1</v>
      </c>
      <c r="N55" s="345">
        <f t="shared" si="16"/>
        <v>17564097.708478313</v>
      </c>
    </row>
    <row r="56" spans="1:14">
      <c r="A56" s="605">
        <f t="shared" si="1"/>
        <v>42</v>
      </c>
      <c r="B56" s="561">
        <v>36703</v>
      </c>
      <c r="C56" s="98" t="s">
        <v>1494</v>
      </c>
      <c r="D56" s="709">
        <v>11040.592749999998</v>
      </c>
      <c r="E56" s="338">
        <v>0</v>
      </c>
      <c r="F56" s="345">
        <f t="shared" ref="F56" si="17">D56-E56</f>
        <v>11040.592749999998</v>
      </c>
      <c r="G56" s="708">
        <f t="shared" si="13"/>
        <v>1</v>
      </c>
      <c r="H56" s="708">
        <f t="shared" si="13"/>
        <v>1</v>
      </c>
      <c r="I56" s="345">
        <f t="shared" ref="I56" si="18">F56*G56*H56</f>
        <v>11040.592749999998</v>
      </c>
      <c r="K56" s="709">
        <v>10762.243432692308</v>
      </c>
      <c r="L56" s="708">
        <f t="shared" si="15"/>
        <v>1</v>
      </c>
      <c r="M56" s="708">
        <f t="shared" si="15"/>
        <v>1</v>
      </c>
      <c r="N56" s="345">
        <f t="shared" ref="N56" si="19">K56*L56*M56</f>
        <v>10762.243432692308</v>
      </c>
    </row>
    <row r="57" spans="1:14">
      <c r="A57" s="605">
        <f t="shared" si="1"/>
        <v>43</v>
      </c>
      <c r="B57" s="294">
        <v>36900</v>
      </c>
      <c r="C57" s="4" t="s">
        <v>959</v>
      </c>
      <c r="D57" s="709">
        <v>593714.42714049993</v>
      </c>
      <c r="E57" s="248">
        <v>0</v>
      </c>
      <c r="F57" s="345">
        <f t="shared" si="12"/>
        <v>593714.42714049993</v>
      </c>
      <c r="G57" s="708">
        <f t="shared" si="13"/>
        <v>1</v>
      </c>
      <c r="H57" s="708">
        <f t="shared" si="13"/>
        <v>1</v>
      </c>
      <c r="I57" s="345">
        <f t="shared" si="14"/>
        <v>593714.42714049993</v>
      </c>
      <c r="K57" s="709">
        <v>575818.11653782683</v>
      </c>
      <c r="L57" s="708">
        <f t="shared" si="15"/>
        <v>1</v>
      </c>
      <c r="M57" s="708">
        <f t="shared" si="15"/>
        <v>1</v>
      </c>
      <c r="N57" s="345">
        <f t="shared" si="16"/>
        <v>575818.11653782683</v>
      </c>
    </row>
    <row r="58" spans="1:14">
      <c r="A58" s="605">
        <f t="shared" si="1"/>
        <v>44</v>
      </c>
      <c r="B58" s="294">
        <v>36901</v>
      </c>
      <c r="C58" s="4" t="s">
        <v>959</v>
      </c>
      <c r="D58" s="709">
        <v>1993278.5786455004</v>
      </c>
      <c r="E58" s="549">
        <v>0</v>
      </c>
      <c r="F58" s="711">
        <f t="shared" si="12"/>
        <v>1993278.5786455004</v>
      </c>
      <c r="G58" s="708">
        <f t="shared" si="13"/>
        <v>1</v>
      </c>
      <c r="H58" s="708">
        <f t="shared" si="13"/>
        <v>1</v>
      </c>
      <c r="I58" s="711">
        <f t="shared" si="14"/>
        <v>1993278.5786455004</v>
      </c>
      <c r="K58" s="709">
        <v>1972966.5704045582</v>
      </c>
      <c r="L58" s="708">
        <f t="shared" si="15"/>
        <v>1</v>
      </c>
      <c r="M58" s="708">
        <f t="shared" si="15"/>
        <v>1</v>
      </c>
      <c r="N58" s="711">
        <f t="shared" si="16"/>
        <v>1972966.5704045582</v>
      </c>
    </row>
    <row r="59" spans="1:14">
      <c r="A59" s="605">
        <f t="shared" si="1"/>
        <v>45</v>
      </c>
      <c r="B59" s="294"/>
      <c r="C59" s="4"/>
      <c r="D59" s="559"/>
      <c r="E59" s="248"/>
      <c r="F59" s="248"/>
      <c r="G59" s="266"/>
      <c r="H59" s="266"/>
      <c r="I59" s="248"/>
      <c r="K59" s="559"/>
      <c r="N59" s="248"/>
    </row>
    <row r="60" spans="1:14">
      <c r="A60" s="605">
        <f t="shared" si="1"/>
        <v>46</v>
      </c>
      <c r="B60" s="382"/>
      <c r="C60" s="4" t="s">
        <v>1303</v>
      </c>
      <c r="D60" s="707">
        <f>SUM(D50:D59)</f>
        <v>21056717.268010683</v>
      </c>
      <c r="E60" s="707">
        <f>SUM(E50:E59)</f>
        <v>0</v>
      </c>
      <c r="F60" s="707">
        <f>SUM(F50:F59)</f>
        <v>21056717.268010683</v>
      </c>
      <c r="G60" s="266"/>
      <c r="H60" s="266"/>
      <c r="I60" s="707">
        <f>SUM(I50:I59)</f>
        <v>21056717.268010683</v>
      </c>
      <c r="K60" s="707">
        <f>SUM(K50:K59)</f>
        <v>20820358.110896952</v>
      </c>
      <c r="N60" s="707">
        <f>SUM(N50:N59)</f>
        <v>20820358.110896952</v>
      </c>
    </row>
    <row r="61" spans="1:14">
      <c r="A61" s="605">
        <f t="shared" si="1"/>
        <v>47</v>
      </c>
      <c r="B61" s="382"/>
      <c r="C61" s="1"/>
      <c r="D61" s="248"/>
      <c r="E61" s="248"/>
      <c r="F61" s="248"/>
      <c r="G61" s="266"/>
      <c r="H61" s="266"/>
      <c r="I61" s="248"/>
      <c r="K61" s="248"/>
      <c r="N61" s="248"/>
    </row>
    <row r="62" spans="1:14">
      <c r="A62" s="605">
        <f t="shared" si="1"/>
        <v>48</v>
      </c>
      <c r="B62" s="382"/>
      <c r="C62" s="16" t="s">
        <v>290</v>
      </c>
      <c r="D62" s="248"/>
      <c r="E62" s="248"/>
      <c r="F62" s="248"/>
      <c r="G62" s="266"/>
      <c r="H62" s="266"/>
      <c r="I62" s="248"/>
      <c r="K62" s="248"/>
      <c r="N62" s="248"/>
    </row>
    <row r="63" spans="1:14">
      <c r="A63" s="605">
        <f t="shared" si="1"/>
        <v>49</v>
      </c>
      <c r="B63" s="294">
        <v>37400</v>
      </c>
      <c r="C63" s="4" t="s">
        <v>1105</v>
      </c>
      <c r="D63" s="720">
        <v>0</v>
      </c>
      <c r="E63" s="203">
        <v>0</v>
      </c>
      <c r="F63" s="707">
        <f t="shared" ref="F63:F84" si="20">D63-E63</f>
        <v>0</v>
      </c>
      <c r="G63" s="708">
        <f t="shared" ref="G63:H84" si="21">$G$16</f>
        <v>1</v>
      </c>
      <c r="H63" s="708">
        <f t="shared" si="21"/>
        <v>1</v>
      </c>
      <c r="I63" s="707">
        <f t="shared" ref="I63:I84" si="22">F63*G63*H63</f>
        <v>0</v>
      </c>
      <c r="K63" s="720">
        <v>0</v>
      </c>
      <c r="L63" s="708">
        <f t="shared" ref="L63:M84" si="23">$G$16</f>
        <v>1</v>
      </c>
      <c r="M63" s="708">
        <f t="shared" si="23"/>
        <v>1</v>
      </c>
      <c r="N63" s="707">
        <f t="shared" ref="N63:N84" si="24">K63*L63*M63</f>
        <v>0</v>
      </c>
    </row>
    <row r="64" spans="1:14">
      <c r="A64" s="605">
        <f t="shared" si="1"/>
        <v>50</v>
      </c>
      <c r="B64" s="294">
        <v>37401</v>
      </c>
      <c r="C64" s="4" t="s">
        <v>283</v>
      </c>
      <c r="D64" s="709">
        <v>0</v>
      </c>
      <c r="E64" s="248">
        <v>0</v>
      </c>
      <c r="F64" s="345">
        <f t="shared" si="20"/>
        <v>0</v>
      </c>
      <c r="G64" s="708">
        <f t="shared" si="21"/>
        <v>1</v>
      </c>
      <c r="H64" s="708">
        <f t="shared" si="21"/>
        <v>1</v>
      </c>
      <c r="I64" s="345">
        <f t="shared" si="22"/>
        <v>0</v>
      </c>
      <c r="K64" s="709">
        <v>0</v>
      </c>
      <c r="L64" s="708">
        <f t="shared" si="23"/>
        <v>1</v>
      </c>
      <c r="M64" s="708">
        <f t="shared" si="23"/>
        <v>1</v>
      </c>
      <c r="N64" s="345">
        <f t="shared" si="24"/>
        <v>0</v>
      </c>
    </row>
    <row r="65" spans="1:14">
      <c r="A65" s="605">
        <f t="shared" si="1"/>
        <v>51</v>
      </c>
      <c r="B65" s="294">
        <v>37402</v>
      </c>
      <c r="C65" s="4" t="s">
        <v>963</v>
      </c>
      <c r="D65" s="709">
        <v>603312.46191349963</v>
      </c>
      <c r="E65" s="248">
        <v>0</v>
      </c>
      <c r="F65" s="345">
        <f t="shared" si="20"/>
        <v>603312.46191349963</v>
      </c>
      <c r="G65" s="708">
        <f t="shared" si="21"/>
        <v>1</v>
      </c>
      <c r="H65" s="708">
        <f t="shared" si="21"/>
        <v>1</v>
      </c>
      <c r="I65" s="345">
        <f t="shared" si="22"/>
        <v>603312.46191349963</v>
      </c>
      <c r="K65" s="709">
        <v>574466.9258997885</v>
      </c>
      <c r="L65" s="708">
        <f t="shared" si="23"/>
        <v>1</v>
      </c>
      <c r="M65" s="708">
        <f t="shared" si="23"/>
        <v>1</v>
      </c>
      <c r="N65" s="345">
        <f t="shared" si="24"/>
        <v>574466.9258997885</v>
      </c>
    </row>
    <row r="66" spans="1:14">
      <c r="A66" s="605">
        <f t="shared" si="1"/>
        <v>52</v>
      </c>
      <c r="B66" s="294">
        <v>37403</v>
      </c>
      <c r="C66" s="4" t="s">
        <v>960</v>
      </c>
      <c r="D66" s="709">
        <v>0</v>
      </c>
      <c r="E66" s="248">
        <v>0</v>
      </c>
      <c r="F66" s="345">
        <f t="shared" si="20"/>
        <v>0</v>
      </c>
      <c r="G66" s="708">
        <f t="shared" si="21"/>
        <v>1</v>
      </c>
      <c r="H66" s="708">
        <f t="shared" si="21"/>
        <v>1</v>
      </c>
      <c r="I66" s="345">
        <f t="shared" si="22"/>
        <v>0</v>
      </c>
      <c r="K66" s="709">
        <v>0</v>
      </c>
      <c r="L66" s="708">
        <f t="shared" si="23"/>
        <v>1</v>
      </c>
      <c r="M66" s="708">
        <f t="shared" si="23"/>
        <v>1</v>
      </c>
      <c r="N66" s="345">
        <f t="shared" si="24"/>
        <v>0</v>
      </c>
    </row>
    <row r="67" spans="1:14">
      <c r="A67" s="605">
        <f t="shared" si="1"/>
        <v>53</v>
      </c>
      <c r="B67" s="294">
        <v>37500</v>
      </c>
      <c r="C67" s="4" t="s">
        <v>825</v>
      </c>
      <c r="D67" s="709">
        <v>132744.17628799999</v>
      </c>
      <c r="E67" s="248">
        <v>0</v>
      </c>
      <c r="F67" s="345">
        <f t="shared" si="20"/>
        <v>132744.17628799999</v>
      </c>
      <c r="G67" s="708">
        <f t="shared" si="21"/>
        <v>1</v>
      </c>
      <c r="H67" s="708">
        <f t="shared" si="21"/>
        <v>1</v>
      </c>
      <c r="I67" s="345">
        <f t="shared" si="22"/>
        <v>132744.17628799999</v>
      </c>
      <c r="K67" s="709">
        <v>130323.77169292307</v>
      </c>
      <c r="L67" s="708">
        <f t="shared" si="23"/>
        <v>1</v>
      </c>
      <c r="M67" s="708">
        <f t="shared" si="23"/>
        <v>1</v>
      </c>
      <c r="N67" s="345">
        <f t="shared" si="24"/>
        <v>130323.77169292307</v>
      </c>
    </row>
    <row r="68" spans="1:14">
      <c r="A68" s="605">
        <f t="shared" si="1"/>
        <v>54</v>
      </c>
      <c r="B68" s="294">
        <v>37501</v>
      </c>
      <c r="C68" s="4" t="s">
        <v>961</v>
      </c>
      <c r="D68" s="709">
        <v>80692.410535999981</v>
      </c>
      <c r="E68" s="248">
        <v>0</v>
      </c>
      <c r="F68" s="345">
        <f t="shared" si="20"/>
        <v>80692.410535999981</v>
      </c>
      <c r="G68" s="708">
        <f t="shared" si="21"/>
        <v>1</v>
      </c>
      <c r="H68" s="708">
        <f t="shared" si="21"/>
        <v>1</v>
      </c>
      <c r="I68" s="345">
        <f t="shared" si="22"/>
        <v>80692.410535999981</v>
      </c>
      <c r="K68" s="709">
        <v>79973.722836615387</v>
      </c>
      <c r="L68" s="708">
        <f t="shared" si="23"/>
        <v>1</v>
      </c>
      <c r="M68" s="708">
        <f t="shared" si="23"/>
        <v>1</v>
      </c>
      <c r="N68" s="345">
        <f t="shared" si="24"/>
        <v>79973.722836615387</v>
      </c>
    </row>
    <row r="69" spans="1:14">
      <c r="A69" s="605">
        <f t="shared" si="1"/>
        <v>55</v>
      </c>
      <c r="B69" s="294">
        <v>37502</v>
      </c>
      <c r="C69" s="4" t="s">
        <v>963</v>
      </c>
      <c r="D69" s="709">
        <v>40211.282168000027</v>
      </c>
      <c r="E69" s="248">
        <v>0</v>
      </c>
      <c r="F69" s="345">
        <f t="shared" si="20"/>
        <v>40211.282168000027</v>
      </c>
      <c r="G69" s="708">
        <f t="shared" si="21"/>
        <v>1</v>
      </c>
      <c r="H69" s="708">
        <f t="shared" si="21"/>
        <v>1</v>
      </c>
      <c r="I69" s="345">
        <f t="shared" si="22"/>
        <v>40211.282168000027</v>
      </c>
      <c r="K69" s="709">
        <v>39878.191352923088</v>
      </c>
      <c r="L69" s="708">
        <f t="shared" si="23"/>
        <v>1</v>
      </c>
      <c r="M69" s="708">
        <f t="shared" si="23"/>
        <v>1</v>
      </c>
      <c r="N69" s="345">
        <f t="shared" si="24"/>
        <v>39878.191352923088</v>
      </c>
    </row>
    <row r="70" spans="1:14">
      <c r="A70" s="605">
        <f t="shared" si="1"/>
        <v>56</v>
      </c>
      <c r="B70" s="294">
        <v>37503</v>
      </c>
      <c r="C70" s="4" t="s">
        <v>962</v>
      </c>
      <c r="D70" s="709">
        <v>2161.0865759999983</v>
      </c>
      <c r="E70" s="248">
        <v>0</v>
      </c>
      <c r="F70" s="345">
        <f t="shared" si="20"/>
        <v>2161.0865759999983</v>
      </c>
      <c r="G70" s="708">
        <f t="shared" si="21"/>
        <v>1</v>
      </c>
      <c r="H70" s="708">
        <f t="shared" si="21"/>
        <v>1</v>
      </c>
      <c r="I70" s="345">
        <f t="shared" si="22"/>
        <v>2161.0865759999983</v>
      </c>
      <c r="K70" s="709">
        <v>2132.2436935384608</v>
      </c>
      <c r="L70" s="708">
        <f t="shared" si="23"/>
        <v>1</v>
      </c>
      <c r="M70" s="708">
        <f t="shared" si="23"/>
        <v>1</v>
      </c>
      <c r="N70" s="345">
        <f t="shared" si="24"/>
        <v>2132.2436935384608</v>
      </c>
    </row>
    <row r="71" spans="1:14">
      <c r="A71" s="605">
        <f t="shared" si="1"/>
        <v>57</v>
      </c>
      <c r="B71" s="294">
        <v>37600</v>
      </c>
      <c r="C71" s="4" t="s">
        <v>813</v>
      </c>
      <c r="D71" s="709">
        <v>1672865.3501720002</v>
      </c>
      <c r="E71" s="248">
        <v>0</v>
      </c>
      <c r="F71" s="345">
        <f t="shared" si="20"/>
        <v>1672865.3501720002</v>
      </c>
      <c r="G71" s="708">
        <f t="shared" si="21"/>
        <v>1</v>
      </c>
      <c r="H71" s="708">
        <f t="shared" si="21"/>
        <v>1</v>
      </c>
      <c r="I71" s="345">
        <f t="shared" si="22"/>
        <v>1672865.3501720002</v>
      </c>
      <c r="K71" s="709">
        <v>1593572.3050463076</v>
      </c>
      <c r="L71" s="708">
        <f t="shared" si="23"/>
        <v>1</v>
      </c>
      <c r="M71" s="708">
        <f t="shared" si="23"/>
        <v>1</v>
      </c>
      <c r="N71" s="345">
        <f t="shared" si="24"/>
        <v>1593572.3050463076</v>
      </c>
    </row>
    <row r="72" spans="1:14">
      <c r="A72" s="605">
        <f t="shared" si="1"/>
        <v>58</v>
      </c>
      <c r="B72" s="294">
        <v>37601</v>
      </c>
      <c r="C72" s="4" t="s">
        <v>15</v>
      </c>
      <c r="D72" s="709">
        <v>28631477.239217427</v>
      </c>
      <c r="E72" s="248">
        <v>0</v>
      </c>
      <c r="F72" s="345">
        <f t="shared" si="20"/>
        <v>28631477.239217427</v>
      </c>
      <c r="G72" s="708">
        <f t="shared" si="21"/>
        <v>1</v>
      </c>
      <c r="H72" s="708">
        <f t="shared" si="21"/>
        <v>1</v>
      </c>
      <c r="I72" s="345">
        <f t="shared" si="22"/>
        <v>28631477.239217427</v>
      </c>
      <c r="K72" s="709">
        <v>27044795.975789253</v>
      </c>
      <c r="L72" s="708">
        <f t="shared" si="23"/>
        <v>1</v>
      </c>
      <c r="M72" s="708">
        <f t="shared" si="23"/>
        <v>1</v>
      </c>
      <c r="N72" s="345">
        <f t="shared" si="24"/>
        <v>27044795.975789253</v>
      </c>
    </row>
    <row r="73" spans="1:14">
      <c r="A73" s="605">
        <f t="shared" si="1"/>
        <v>59</v>
      </c>
      <c r="B73" s="294">
        <v>37602</v>
      </c>
      <c r="C73" s="4" t="s">
        <v>814</v>
      </c>
      <c r="D73" s="709">
        <v>25538586.86337366</v>
      </c>
      <c r="E73" s="248">
        <v>0</v>
      </c>
      <c r="F73" s="345">
        <f t="shared" si="20"/>
        <v>25538586.86337366</v>
      </c>
      <c r="G73" s="708">
        <f t="shared" si="21"/>
        <v>1</v>
      </c>
      <c r="H73" s="708">
        <f t="shared" si="21"/>
        <v>1</v>
      </c>
      <c r="I73" s="345">
        <f t="shared" si="22"/>
        <v>25538586.86337366</v>
      </c>
      <c r="K73" s="709">
        <v>23833973.446900722</v>
      </c>
      <c r="L73" s="708">
        <f t="shared" si="23"/>
        <v>1</v>
      </c>
      <c r="M73" s="708">
        <f t="shared" si="23"/>
        <v>1</v>
      </c>
      <c r="N73" s="345">
        <f t="shared" si="24"/>
        <v>23833973.446900722</v>
      </c>
    </row>
    <row r="74" spans="1:14">
      <c r="A74" s="605">
        <f t="shared" si="1"/>
        <v>60</v>
      </c>
      <c r="B74" s="294">
        <v>37603</v>
      </c>
      <c r="C74" s="98" t="s">
        <v>1494</v>
      </c>
      <c r="D74" s="709">
        <v>1779756.1504520264</v>
      </c>
      <c r="E74" s="338">
        <v>0</v>
      </c>
      <c r="F74" s="345">
        <f t="shared" ref="F74:F75" si="25">D74-E74</f>
        <v>1779756.1504520264</v>
      </c>
      <c r="G74" s="708">
        <f t="shared" si="21"/>
        <v>1</v>
      </c>
      <c r="H74" s="708">
        <f t="shared" si="21"/>
        <v>1</v>
      </c>
      <c r="I74" s="345">
        <f t="shared" ref="I74:I75" si="26">F74*G74*H74</f>
        <v>1779756.1504520264</v>
      </c>
      <c r="K74" s="709">
        <v>1729471.5091478017</v>
      </c>
      <c r="L74" s="708">
        <f t="shared" si="23"/>
        <v>1</v>
      </c>
      <c r="M74" s="708">
        <f t="shared" si="23"/>
        <v>1</v>
      </c>
      <c r="N74" s="345">
        <f t="shared" ref="N74:N75" si="27">K74*L74*M74</f>
        <v>1729471.5091478017</v>
      </c>
    </row>
    <row r="75" spans="1:14">
      <c r="A75" s="605">
        <f t="shared" si="1"/>
        <v>61</v>
      </c>
      <c r="B75" s="294">
        <v>37604</v>
      </c>
      <c r="C75" s="98" t="s">
        <v>1495</v>
      </c>
      <c r="D75" s="709">
        <v>5360462.2602499966</v>
      </c>
      <c r="E75" s="338">
        <v>0</v>
      </c>
      <c r="F75" s="345">
        <f t="shared" si="25"/>
        <v>5360462.2602499966</v>
      </c>
      <c r="G75" s="708">
        <f t="shared" si="21"/>
        <v>1</v>
      </c>
      <c r="H75" s="708">
        <f t="shared" si="21"/>
        <v>1</v>
      </c>
      <c r="I75" s="345">
        <f t="shared" si="26"/>
        <v>5360462.2602499966</v>
      </c>
      <c r="K75" s="709">
        <v>5433245.2662211526</v>
      </c>
      <c r="L75" s="708">
        <f t="shared" si="23"/>
        <v>1</v>
      </c>
      <c r="M75" s="708">
        <f t="shared" si="23"/>
        <v>1</v>
      </c>
      <c r="N75" s="345">
        <f t="shared" si="27"/>
        <v>5433245.2662211526</v>
      </c>
    </row>
    <row r="76" spans="1:14">
      <c r="A76" s="605">
        <f t="shared" si="1"/>
        <v>62</v>
      </c>
      <c r="B76" s="294">
        <v>37800</v>
      </c>
      <c r="C76" s="4" t="s">
        <v>221</v>
      </c>
      <c r="D76" s="709">
        <v>5007226.3805279816</v>
      </c>
      <c r="E76" s="248">
        <v>0</v>
      </c>
      <c r="F76" s="345">
        <f t="shared" si="20"/>
        <v>5007226.3805279816</v>
      </c>
      <c r="G76" s="708">
        <f t="shared" si="21"/>
        <v>1</v>
      </c>
      <c r="H76" s="708">
        <f t="shared" si="21"/>
        <v>1</v>
      </c>
      <c r="I76" s="345">
        <f t="shared" si="22"/>
        <v>5007226.3805279816</v>
      </c>
      <c r="K76" s="709">
        <v>4733932.9971107626</v>
      </c>
      <c r="L76" s="708">
        <f t="shared" si="23"/>
        <v>1</v>
      </c>
      <c r="M76" s="708">
        <f t="shared" si="23"/>
        <v>1</v>
      </c>
      <c r="N76" s="345">
        <f t="shared" si="24"/>
        <v>4733932.9971107626</v>
      </c>
    </row>
    <row r="77" spans="1:14">
      <c r="A77" s="605">
        <f t="shared" si="1"/>
        <v>63</v>
      </c>
      <c r="B77" s="294">
        <v>37900</v>
      </c>
      <c r="C77" s="4" t="s">
        <v>1148</v>
      </c>
      <c r="D77" s="709">
        <v>1316472.1830329988</v>
      </c>
      <c r="E77" s="248">
        <v>0</v>
      </c>
      <c r="F77" s="345">
        <f t="shared" si="20"/>
        <v>1316472.1830329988</v>
      </c>
      <c r="G77" s="708">
        <f t="shared" si="21"/>
        <v>1</v>
      </c>
      <c r="H77" s="708">
        <f t="shared" si="21"/>
        <v>1</v>
      </c>
      <c r="I77" s="345">
        <f t="shared" si="22"/>
        <v>1316472.1830329988</v>
      </c>
      <c r="K77" s="709">
        <v>1234909.2588934994</v>
      </c>
      <c r="L77" s="708">
        <f t="shared" si="23"/>
        <v>1</v>
      </c>
      <c r="M77" s="708">
        <f t="shared" si="23"/>
        <v>1</v>
      </c>
      <c r="N77" s="345">
        <f t="shared" si="24"/>
        <v>1234909.2588934994</v>
      </c>
    </row>
    <row r="78" spans="1:14">
      <c r="A78" s="605">
        <f>A77+1</f>
        <v>64</v>
      </c>
      <c r="B78" s="294">
        <v>37905</v>
      </c>
      <c r="C78" s="4" t="s">
        <v>698</v>
      </c>
      <c r="D78" s="709">
        <v>1040392.9128474996</v>
      </c>
      <c r="E78" s="248">
        <v>0</v>
      </c>
      <c r="F78" s="345">
        <f t="shared" si="20"/>
        <v>1040392.9128474996</v>
      </c>
      <c r="G78" s="708">
        <f t="shared" si="21"/>
        <v>1</v>
      </c>
      <c r="H78" s="708">
        <f t="shared" si="21"/>
        <v>1</v>
      </c>
      <c r="I78" s="345">
        <f t="shared" si="22"/>
        <v>1040392.9128474996</v>
      </c>
      <c r="K78" s="709">
        <v>1021749.4415358652</v>
      </c>
      <c r="L78" s="708">
        <f t="shared" si="23"/>
        <v>1</v>
      </c>
      <c r="M78" s="708">
        <f t="shared" si="23"/>
        <v>1</v>
      </c>
      <c r="N78" s="345">
        <f t="shared" si="24"/>
        <v>1021749.4415358652</v>
      </c>
    </row>
    <row r="79" spans="1:14">
      <c r="A79" s="605">
        <f t="shared" si="1"/>
        <v>65</v>
      </c>
      <c r="B79" s="294">
        <v>38000</v>
      </c>
      <c r="C79" s="4" t="s">
        <v>1013</v>
      </c>
      <c r="D79" s="709">
        <v>37658454.128658891</v>
      </c>
      <c r="E79" s="248">
        <v>0</v>
      </c>
      <c r="F79" s="345">
        <f t="shared" si="20"/>
        <v>37658454.128658891</v>
      </c>
      <c r="G79" s="708">
        <f t="shared" si="21"/>
        <v>1</v>
      </c>
      <c r="H79" s="708">
        <f t="shared" si="21"/>
        <v>1</v>
      </c>
      <c r="I79" s="345">
        <f t="shared" si="22"/>
        <v>37658454.128658891</v>
      </c>
      <c r="K79" s="709">
        <v>37126547.481363542</v>
      </c>
      <c r="L79" s="708">
        <f t="shared" si="23"/>
        <v>1</v>
      </c>
      <c r="M79" s="708">
        <f t="shared" si="23"/>
        <v>1</v>
      </c>
      <c r="N79" s="345">
        <f t="shared" si="24"/>
        <v>37126547.481363542</v>
      </c>
    </row>
    <row r="80" spans="1:14">
      <c r="A80" s="605">
        <f t="shared" si="1"/>
        <v>66</v>
      </c>
      <c r="B80" s="294">
        <v>38100</v>
      </c>
      <c r="C80" s="4" t="s">
        <v>815</v>
      </c>
      <c r="D80" s="709">
        <v>23104334.588388026</v>
      </c>
      <c r="E80" s="248">
        <v>0</v>
      </c>
      <c r="F80" s="345">
        <f t="shared" si="20"/>
        <v>23104334.588388026</v>
      </c>
      <c r="G80" s="708">
        <f t="shared" si="21"/>
        <v>1</v>
      </c>
      <c r="H80" s="708">
        <f t="shared" si="21"/>
        <v>1</v>
      </c>
      <c r="I80" s="345">
        <f t="shared" si="22"/>
        <v>23104334.588388026</v>
      </c>
      <c r="K80" s="709">
        <v>22286831.691255443</v>
      </c>
      <c r="L80" s="708">
        <f t="shared" si="23"/>
        <v>1</v>
      </c>
      <c r="M80" s="708">
        <f t="shared" si="23"/>
        <v>1</v>
      </c>
      <c r="N80" s="345">
        <f t="shared" si="24"/>
        <v>22286831.691255443</v>
      </c>
    </row>
    <row r="81" spans="1:14">
      <c r="A81" s="605">
        <f t="shared" si="1"/>
        <v>67</v>
      </c>
      <c r="B81" s="294">
        <v>38200</v>
      </c>
      <c r="C81" s="4" t="s">
        <v>420</v>
      </c>
      <c r="D81" s="709">
        <v>21451840.092218567</v>
      </c>
      <c r="E81" s="248">
        <v>0</v>
      </c>
      <c r="F81" s="345">
        <f t="shared" si="20"/>
        <v>21451840.092218567</v>
      </c>
      <c r="G81" s="708">
        <f t="shared" si="21"/>
        <v>1</v>
      </c>
      <c r="H81" s="708">
        <f t="shared" si="21"/>
        <v>1</v>
      </c>
      <c r="I81" s="345">
        <f t="shared" si="22"/>
        <v>21451840.092218567</v>
      </c>
      <c r="K81" s="709">
        <v>20641923.145218946</v>
      </c>
      <c r="L81" s="708">
        <f t="shared" si="23"/>
        <v>1</v>
      </c>
      <c r="M81" s="708">
        <f t="shared" si="23"/>
        <v>1</v>
      </c>
      <c r="N81" s="345">
        <f t="shared" si="24"/>
        <v>20641923.145218946</v>
      </c>
    </row>
    <row r="82" spans="1:14">
      <c r="A82" s="605">
        <f t="shared" si="1"/>
        <v>68</v>
      </c>
      <c r="B82" s="294">
        <v>38300</v>
      </c>
      <c r="C82" s="4" t="s">
        <v>1014</v>
      </c>
      <c r="D82" s="709">
        <v>375750.32505000016</v>
      </c>
      <c r="E82" s="248">
        <v>0</v>
      </c>
      <c r="F82" s="345">
        <f t="shared" si="20"/>
        <v>375750.32505000016</v>
      </c>
      <c r="G82" s="708">
        <f t="shared" si="21"/>
        <v>1</v>
      </c>
      <c r="H82" s="708">
        <f t="shared" si="21"/>
        <v>1</v>
      </c>
      <c r="I82" s="345">
        <f t="shared" si="22"/>
        <v>375750.32505000016</v>
      </c>
      <c r="K82" s="709">
        <v>373789.79328269238</v>
      </c>
      <c r="L82" s="708">
        <f t="shared" si="23"/>
        <v>1</v>
      </c>
      <c r="M82" s="708">
        <f t="shared" si="23"/>
        <v>1</v>
      </c>
      <c r="N82" s="345">
        <f t="shared" si="24"/>
        <v>373789.79328269238</v>
      </c>
    </row>
    <row r="83" spans="1:14">
      <c r="A83" s="605">
        <f t="shared" si="1"/>
        <v>69</v>
      </c>
      <c r="B83" s="294">
        <v>38400</v>
      </c>
      <c r="C83" s="4" t="s">
        <v>421</v>
      </c>
      <c r="D83" s="709">
        <v>120722.91225599998</v>
      </c>
      <c r="E83" s="248">
        <v>0</v>
      </c>
      <c r="F83" s="345">
        <f t="shared" si="20"/>
        <v>120722.91225599998</v>
      </c>
      <c r="G83" s="708">
        <f t="shared" si="21"/>
        <v>1</v>
      </c>
      <c r="H83" s="708">
        <f t="shared" si="21"/>
        <v>1</v>
      </c>
      <c r="I83" s="345">
        <f t="shared" si="22"/>
        <v>120722.91225599998</v>
      </c>
      <c r="K83" s="709">
        <v>114584.30753046152</v>
      </c>
      <c r="L83" s="708">
        <f t="shared" si="23"/>
        <v>1</v>
      </c>
      <c r="M83" s="708">
        <f t="shared" si="23"/>
        <v>1</v>
      </c>
      <c r="N83" s="345">
        <f t="shared" si="24"/>
        <v>114584.30753046152</v>
      </c>
    </row>
    <row r="84" spans="1:14">
      <c r="A84" s="605">
        <f t="shared" ref="A84:A147" si="28">A83+1</f>
        <v>70</v>
      </c>
      <c r="B84" s="294">
        <v>38500</v>
      </c>
      <c r="C84" s="4" t="s">
        <v>422</v>
      </c>
      <c r="D84" s="709">
        <v>3017639.7740200008</v>
      </c>
      <c r="E84" s="248">
        <v>0</v>
      </c>
      <c r="F84" s="345">
        <f t="shared" si="20"/>
        <v>3017639.7740200008</v>
      </c>
      <c r="G84" s="708">
        <f t="shared" si="21"/>
        <v>1</v>
      </c>
      <c r="H84" s="708">
        <f t="shared" si="21"/>
        <v>1</v>
      </c>
      <c r="I84" s="345">
        <f t="shared" si="22"/>
        <v>3017639.7740200008</v>
      </c>
      <c r="K84" s="709">
        <v>2986224.6364669232</v>
      </c>
      <c r="L84" s="708">
        <f t="shared" si="23"/>
        <v>1</v>
      </c>
      <c r="M84" s="708">
        <f t="shared" si="23"/>
        <v>1</v>
      </c>
      <c r="N84" s="345">
        <f t="shared" si="24"/>
        <v>2986224.6364669232</v>
      </c>
    </row>
    <row r="85" spans="1:14">
      <c r="A85" s="605">
        <f t="shared" si="28"/>
        <v>71</v>
      </c>
      <c r="B85" s="294"/>
      <c r="C85" s="4"/>
      <c r="D85" s="559"/>
      <c r="E85" s="559"/>
      <c r="F85" s="559"/>
      <c r="G85" s="266"/>
      <c r="H85" s="266"/>
      <c r="I85" s="559"/>
      <c r="K85" s="559"/>
      <c r="N85" s="559"/>
    </row>
    <row r="86" spans="1:14">
      <c r="A86" s="605">
        <f t="shared" si="28"/>
        <v>72</v>
      </c>
      <c r="B86" s="294"/>
      <c r="C86" s="4" t="s">
        <v>1302</v>
      </c>
      <c r="D86" s="707">
        <f>SUM(D63:D85)</f>
        <v>156935102.57794657</v>
      </c>
      <c r="E86" s="707">
        <f>SUM(E63:E85)</f>
        <v>0</v>
      </c>
      <c r="F86" s="707">
        <f>SUM(F63:F85)</f>
        <v>156935102.57794657</v>
      </c>
      <c r="G86" s="266"/>
      <c r="H86" s="266"/>
      <c r="I86" s="707">
        <f>SUM(I63:I85)</f>
        <v>156935102.57794657</v>
      </c>
      <c r="K86" s="707">
        <f>SUM(K63:K85)</f>
        <v>150982326.11123914</v>
      </c>
      <c r="N86" s="707">
        <f>SUM(N63:N85)</f>
        <v>150982326.11123914</v>
      </c>
    </row>
    <row r="87" spans="1:14">
      <c r="A87" s="605">
        <f t="shared" si="28"/>
        <v>73</v>
      </c>
      <c r="B87" s="294"/>
      <c r="C87" s="4"/>
      <c r="D87" s="248"/>
      <c r="E87" s="248"/>
      <c r="F87" s="248"/>
      <c r="G87" s="266"/>
      <c r="H87" s="266"/>
      <c r="I87" s="248"/>
      <c r="K87" s="248"/>
      <c r="N87" s="248"/>
    </row>
    <row r="88" spans="1:14">
      <c r="A88" s="605">
        <f t="shared" si="28"/>
        <v>74</v>
      </c>
      <c r="B88" s="382"/>
      <c r="C88" s="16" t="s">
        <v>292</v>
      </c>
      <c r="D88" s="248"/>
      <c r="E88" s="248"/>
      <c r="F88" s="248"/>
      <c r="G88" s="266"/>
      <c r="H88" s="266"/>
      <c r="I88" s="248"/>
      <c r="K88" s="248"/>
      <c r="N88" s="248"/>
    </row>
    <row r="89" spans="1:14">
      <c r="A89" s="605">
        <f t="shared" si="28"/>
        <v>75</v>
      </c>
      <c r="B89" s="294">
        <v>38900</v>
      </c>
      <c r="C89" s="560" t="s">
        <v>1431</v>
      </c>
      <c r="D89" s="720">
        <v>0</v>
      </c>
      <c r="E89" s="203">
        <v>0</v>
      </c>
      <c r="F89" s="707">
        <f t="shared" ref="F89:F114" si="29">D89-E89</f>
        <v>0</v>
      </c>
      <c r="G89" s="708">
        <f t="shared" ref="G89:H102" si="30">$G$16</f>
        <v>1</v>
      </c>
      <c r="H89" s="708">
        <f t="shared" si="30"/>
        <v>1</v>
      </c>
      <c r="I89" s="707">
        <f t="shared" ref="I89:I114" si="31">F89*G89*H89</f>
        <v>0</v>
      </c>
      <c r="K89" s="720">
        <v>0</v>
      </c>
      <c r="L89" s="708">
        <f t="shared" ref="L89:M102" si="32">$G$16</f>
        <v>1</v>
      </c>
      <c r="M89" s="708">
        <f t="shared" si="32"/>
        <v>1</v>
      </c>
      <c r="N89" s="707">
        <f t="shared" ref="N89:N114" si="33">K89*L89*M89</f>
        <v>0</v>
      </c>
    </row>
    <row r="90" spans="1:14">
      <c r="A90" s="605">
        <f t="shared" si="28"/>
        <v>76</v>
      </c>
      <c r="B90" s="294">
        <v>39000</v>
      </c>
      <c r="C90" s="560" t="s">
        <v>1432</v>
      </c>
      <c r="D90" s="709">
        <v>1800963.9125270003</v>
      </c>
      <c r="E90" s="248">
        <v>0</v>
      </c>
      <c r="F90" s="345">
        <f t="shared" si="29"/>
        <v>1800963.9125270003</v>
      </c>
      <c r="G90" s="708">
        <f t="shared" si="30"/>
        <v>1</v>
      </c>
      <c r="H90" s="708">
        <f t="shared" si="30"/>
        <v>1</v>
      </c>
      <c r="I90" s="345">
        <f t="shared" si="31"/>
        <v>1800963.9125270003</v>
      </c>
      <c r="K90" s="709">
        <v>1690038.0052957307</v>
      </c>
      <c r="L90" s="708">
        <f t="shared" si="32"/>
        <v>1</v>
      </c>
      <c r="M90" s="708">
        <f t="shared" si="32"/>
        <v>1</v>
      </c>
      <c r="N90" s="345">
        <f t="shared" si="33"/>
        <v>1690038.0052957307</v>
      </c>
    </row>
    <row r="91" spans="1:14">
      <c r="A91" s="605">
        <f t="shared" si="28"/>
        <v>77</v>
      </c>
      <c r="B91" s="294">
        <v>39002</v>
      </c>
      <c r="C91" s="560" t="s">
        <v>1433</v>
      </c>
      <c r="D91" s="709">
        <v>115661.53542749998</v>
      </c>
      <c r="E91" s="248">
        <v>0</v>
      </c>
      <c r="F91" s="345">
        <f t="shared" si="29"/>
        <v>115661.53542749998</v>
      </c>
      <c r="G91" s="708">
        <f t="shared" si="30"/>
        <v>1</v>
      </c>
      <c r="H91" s="708">
        <f t="shared" si="30"/>
        <v>1</v>
      </c>
      <c r="I91" s="345">
        <f t="shared" si="31"/>
        <v>115661.53542749998</v>
      </c>
      <c r="K91" s="709">
        <v>113558.18607663459</v>
      </c>
      <c r="L91" s="708">
        <f t="shared" si="32"/>
        <v>1</v>
      </c>
      <c r="M91" s="708">
        <f t="shared" si="32"/>
        <v>1</v>
      </c>
      <c r="N91" s="345">
        <f t="shared" si="33"/>
        <v>113558.18607663459</v>
      </c>
    </row>
    <row r="92" spans="1:14">
      <c r="A92" s="605">
        <f t="shared" si="28"/>
        <v>78</v>
      </c>
      <c r="B92" s="294">
        <v>39003</v>
      </c>
      <c r="C92" s="560" t="s">
        <v>1434</v>
      </c>
      <c r="D92" s="709">
        <v>319098.79796000017</v>
      </c>
      <c r="E92" s="248">
        <v>0</v>
      </c>
      <c r="F92" s="345">
        <f t="shared" si="29"/>
        <v>319098.79796000017</v>
      </c>
      <c r="G92" s="708">
        <f t="shared" si="30"/>
        <v>1</v>
      </c>
      <c r="H92" s="708">
        <f t="shared" si="30"/>
        <v>1</v>
      </c>
      <c r="I92" s="345">
        <f t="shared" si="31"/>
        <v>319098.79796000017</v>
      </c>
      <c r="K92" s="709">
        <v>308447.68137384619</v>
      </c>
      <c r="L92" s="708">
        <f t="shared" si="32"/>
        <v>1</v>
      </c>
      <c r="M92" s="708">
        <f t="shared" si="32"/>
        <v>1</v>
      </c>
      <c r="N92" s="345">
        <f t="shared" si="33"/>
        <v>308447.68137384619</v>
      </c>
    </row>
    <row r="93" spans="1:14">
      <c r="A93" s="605">
        <f t="shared" si="28"/>
        <v>79</v>
      </c>
      <c r="B93" s="294">
        <v>39004</v>
      </c>
      <c r="C93" s="560" t="s">
        <v>1435</v>
      </c>
      <c r="D93" s="709">
        <v>8500.6536989999968</v>
      </c>
      <c r="E93" s="248">
        <v>0</v>
      </c>
      <c r="F93" s="345">
        <f t="shared" si="29"/>
        <v>8500.6536989999968</v>
      </c>
      <c r="G93" s="708">
        <f t="shared" si="30"/>
        <v>1</v>
      </c>
      <c r="H93" s="708">
        <f t="shared" si="30"/>
        <v>1</v>
      </c>
      <c r="I93" s="345">
        <f t="shared" si="31"/>
        <v>8500.6536989999968</v>
      </c>
      <c r="K93" s="709">
        <v>8224.0656112692304</v>
      </c>
      <c r="L93" s="708">
        <f t="shared" si="32"/>
        <v>1</v>
      </c>
      <c r="M93" s="708">
        <f t="shared" si="32"/>
        <v>1</v>
      </c>
      <c r="N93" s="345">
        <f t="shared" si="33"/>
        <v>8224.0656112692304</v>
      </c>
    </row>
    <row r="94" spans="1:14">
      <c r="A94" s="605">
        <f t="shared" si="28"/>
        <v>80</v>
      </c>
      <c r="B94" s="294">
        <v>39009</v>
      </c>
      <c r="C94" s="560" t="s">
        <v>1436</v>
      </c>
      <c r="D94" s="709">
        <v>1267195.19</v>
      </c>
      <c r="E94" s="248">
        <v>0</v>
      </c>
      <c r="F94" s="345">
        <f t="shared" si="29"/>
        <v>1267195.19</v>
      </c>
      <c r="G94" s="708">
        <f t="shared" si="30"/>
        <v>1</v>
      </c>
      <c r="H94" s="708">
        <f t="shared" si="30"/>
        <v>1</v>
      </c>
      <c r="I94" s="345">
        <f t="shared" si="31"/>
        <v>1267195.19</v>
      </c>
      <c r="K94" s="709">
        <v>1267195.1899999997</v>
      </c>
      <c r="L94" s="708">
        <f t="shared" si="32"/>
        <v>1</v>
      </c>
      <c r="M94" s="708">
        <f t="shared" si="32"/>
        <v>1</v>
      </c>
      <c r="N94" s="345">
        <f t="shared" si="33"/>
        <v>1267195.1899999997</v>
      </c>
    </row>
    <row r="95" spans="1:14">
      <c r="A95" s="605">
        <f t="shared" si="28"/>
        <v>81</v>
      </c>
      <c r="B95" s="294">
        <v>39100</v>
      </c>
      <c r="C95" s="560" t="s">
        <v>1437</v>
      </c>
      <c r="D95" s="709">
        <v>1405570.5754999996</v>
      </c>
      <c r="E95" s="248">
        <v>0</v>
      </c>
      <c r="F95" s="345">
        <f t="shared" si="29"/>
        <v>1405570.5754999996</v>
      </c>
      <c r="G95" s="708">
        <f t="shared" si="30"/>
        <v>1</v>
      </c>
      <c r="H95" s="708">
        <f t="shared" si="30"/>
        <v>1</v>
      </c>
      <c r="I95" s="345">
        <f t="shared" si="31"/>
        <v>1405570.5754999996</v>
      </c>
      <c r="K95" s="709">
        <v>1360178.9914807691</v>
      </c>
      <c r="L95" s="708">
        <f t="shared" si="32"/>
        <v>1</v>
      </c>
      <c r="M95" s="708">
        <f t="shared" si="32"/>
        <v>1</v>
      </c>
      <c r="N95" s="345">
        <f t="shared" si="33"/>
        <v>1360178.9914807691</v>
      </c>
    </row>
    <row r="96" spans="1:14">
      <c r="A96" s="605">
        <f t="shared" si="28"/>
        <v>82</v>
      </c>
      <c r="B96" s="294">
        <v>39103</v>
      </c>
      <c r="C96" s="560" t="s">
        <v>750</v>
      </c>
      <c r="D96" s="709">
        <v>0</v>
      </c>
      <c r="E96" s="248">
        <v>0</v>
      </c>
      <c r="F96" s="345">
        <f t="shared" si="29"/>
        <v>0</v>
      </c>
      <c r="G96" s="708">
        <f t="shared" si="30"/>
        <v>1</v>
      </c>
      <c r="H96" s="708">
        <f t="shared" si="30"/>
        <v>1</v>
      </c>
      <c r="I96" s="345">
        <f t="shared" si="31"/>
        <v>0</v>
      </c>
      <c r="K96" s="709">
        <v>0</v>
      </c>
      <c r="L96" s="708">
        <f t="shared" si="32"/>
        <v>1</v>
      </c>
      <c r="M96" s="708">
        <f t="shared" si="32"/>
        <v>1</v>
      </c>
      <c r="N96" s="345">
        <f t="shared" si="33"/>
        <v>0</v>
      </c>
    </row>
    <row r="97" spans="1:14">
      <c r="A97" s="605">
        <f t="shared" si="28"/>
        <v>83</v>
      </c>
      <c r="B97" s="294">
        <v>39200</v>
      </c>
      <c r="C97" s="560" t="s">
        <v>1438</v>
      </c>
      <c r="D97" s="709">
        <v>69784.465694999977</v>
      </c>
      <c r="E97" s="248">
        <v>0</v>
      </c>
      <c r="F97" s="345">
        <f t="shared" si="29"/>
        <v>69784.465694999977</v>
      </c>
      <c r="G97" s="708">
        <f t="shared" si="30"/>
        <v>1</v>
      </c>
      <c r="H97" s="708">
        <f t="shared" si="30"/>
        <v>1</v>
      </c>
      <c r="I97" s="345">
        <f t="shared" si="31"/>
        <v>69784.465694999977</v>
      </c>
      <c r="K97" s="709">
        <v>65762.796148653855</v>
      </c>
      <c r="L97" s="708">
        <f t="shared" si="32"/>
        <v>1</v>
      </c>
      <c r="M97" s="708">
        <f t="shared" si="32"/>
        <v>1</v>
      </c>
      <c r="N97" s="345">
        <f t="shared" si="33"/>
        <v>65762.796148653855</v>
      </c>
    </row>
    <row r="98" spans="1:14">
      <c r="A98" s="605">
        <f t="shared" si="28"/>
        <v>84</v>
      </c>
      <c r="B98" s="294">
        <v>39202</v>
      </c>
      <c r="C98" s="560" t="s">
        <v>1439</v>
      </c>
      <c r="D98" s="709">
        <v>7436.8827900000006</v>
      </c>
      <c r="E98" s="248">
        <v>0</v>
      </c>
      <c r="F98" s="345">
        <f t="shared" si="29"/>
        <v>7436.8827900000006</v>
      </c>
      <c r="G98" s="708">
        <f t="shared" si="30"/>
        <v>1</v>
      </c>
      <c r="H98" s="708">
        <f t="shared" si="30"/>
        <v>1</v>
      </c>
      <c r="I98" s="345">
        <f t="shared" si="31"/>
        <v>7436.8827900000006</v>
      </c>
      <c r="K98" s="709">
        <v>6622.7934434615399</v>
      </c>
      <c r="L98" s="708">
        <f t="shared" si="32"/>
        <v>1</v>
      </c>
      <c r="M98" s="708">
        <f t="shared" si="32"/>
        <v>1</v>
      </c>
      <c r="N98" s="345">
        <f t="shared" si="33"/>
        <v>6622.7934434615399</v>
      </c>
    </row>
    <row r="99" spans="1:14">
      <c r="A99" s="605">
        <f t="shared" si="28"/>
        <v>85</v>
      </c>
      <c r="B99" s="382">
        <v>39400</v>
      </c>
      <c r="C99" s="560" t="s">
        <v>1440</v>
      </c>
      <c r="D99" s="709">
        <v>3065859.7813638686</v>
      </c>
      <c r="E99" s="248">
        <v>0</v>
      </c>
      <c r="F99" s="345">
        <f t="shared" si="29"/>
        <v>3065859.7813638686</v>
      </c>
      <c r="G99" s="708">
        <f t="shared" si="30"/>
        <v>1</v>
      </c>
      <c r="H99" s="708">
        <f t="shared" si="30"/>
        <v>1</v>
      </c>
      <c r="I99" s="345">
        <f t="shared" si="31"/>
        <v>3065859.7813638686</v>
      </c>
      <c r="K99" s="709">
        <v>2872493.7439717758</v>
      </c>
      <c r="L99" s="708">
        <f t="shared" si="32"/>
        <v>1</v>
      </c>
      <c r="M99" s="708">
        <f t="shared" si="32"/>
        <v>1</v>
      </c>
      <c r="N99" s="345">
        <f t="shared" si="33"/>
        <v>2872493.7439717758</v>
      </c>
    </row>
    <row r="100" spans="1:14">
      <c r="A100" s="605">
        <f t="shared" si="28"/>
        <v>86</v>
      </c>
      <c r="B100" s="382">
        <v>39603</v>
      </c>
      <c r="C100" s="228" t="s">
        <v>1441</v>
      </c>
      <c r="D100" s="709">
        <v>0</v>
      </c>
      <c r="E100" s="248">
        <v>0</v>
      </c>
      <c r="F100" s="345">
        <f t="shared" si="29"/>
        <v>0</v>
      </c>
      <c r="G100" s="708">
        <f t="shared" si="30"/>
        <v>1</v>
      </c>
      <c r="H100" s="708">
        <f t="shared" si="30"/>
        <v>1</v>
      </c>
      <c r="I100" s="345">
        <f t="shared" si="31"/>
        <v>0</v>
      </c>
      <c r="K100" s="709">
        <v>0</v>
      </c>
      <c r="L100" s="708">
        <f t="shared" si="32"/>
        <v>1</v>
      </c>
      <c r="M100" s="708">
        <f t="shared" si="32"/>
        <v>1</v>
      </c>
      <c r="N100" s="345">
        <f t="shared" si="33"/>
        <v>0</v>
      </c>
    </row>
    <row r="101" spans="1:14">
      <c r="A101" s="605">
        <f t="shared" si="28"/>
        <v>87</v>
      </c>
      <c r="B101" s="382">
        <v>39604</v>
      </c>
      <c r="C101" s="560" t="s">
        <v>1442</v>
      </c>
      <c r="D101" s="709">
        <v>0</v>
      </c>
      <c r="E101" s="248">
        <v>0</v>
      </c>
      <c r="F101" s="345">
        <f t="shared" si="29"/>
        <v>0</v>
      </c>
      <c r="G101" s="708">
        <f t="shared" si="30"/>
        <v>1</v>
      </c>
      <c r="H101" s="708">
        <f t="shared" si="30"/>
        <v>1</v>
      </c>
      <c r="I101" s="345">
        <f t="shared" si="31"/>
        <v>0</v>
      </c>
      <c r="K101" s="709">
        <v>0</v>
      </c>
      <c r="L101" s="708">
        <f t="shared" si="32"/>
        <v>1</v>
      </c>
      <c r="M101" s="708">
        <f t="shared" si="32"/>
        <v>1</v>
      </c>
      <c r="N101" s="345">
        <f t="shared" si="33"/>
        <v>0</v>
      </c>
    </row>
    <row r="102" spans="1:14">
      <c r="A102" s="605">
        <f t="shared" si="28"/>
        <v>88</v>
      </c>
      <c r="B102" s="382">
        <v>39605</v>
      </c>
      <c r="C102" s="560" t="s">
        <v>1443</v>
      </c>
      <c r="D102" s="709">
        <v>0</v>
      </c>
      <c r="E102" s="248">
        <v>0</v>
      </c>
      <c r="F102" s="345">
        <f t="shared" si="29"/>
        <v>0</v>
      </c>
      <c r="G102" s="708">
        <f t="shared" si="30"/>
        <v>1</v>
      </c>
      <c r="H102" s="708">
        <f t="shared" si="30"/>
        <v>1</v>
      </c>
      <c r="I102" s="345">
        <f t="shared" si="31"/>
        <v>0</v>
      </c>
      <c r="K102" s="709">
        <v>0</v>
      </c>
      <c r="L102" s="708">
        <f t="shared" si="32"/>
        <v>1</v>
      </c>
      <c r="M102" s="708">
        <f t="shared" si="32"/>
        <v>1</v>
      </c>
      <c r="N102" s="345">
        <f t="shared" si="33"/>
        <v>0</v>
      </c>
    </row>
    <row r="103" spans="1:14">
      <c r="A103" s="605">
        <f t="shared" si="28"/>
        <v>89</v>
      </c>
      <c r="B103" s="382">
        <v>39700</v>
      </c>
      <c r="C103" s="560" t="s">
        <v>1444</v>
      </c>
      <c r="D103" s="709">
        <v>344945.34262849996</v>
      </c>
      <c r="E103" s="248">
        <v>0</v>
      </c>
      <c r="F103" s="345">
        <f t="shared" si="29"/>
        <v>344945.34262849996</v>
      </c>
      <c r="G103" s="708">
        <f t="shared" ref="G103:H114" si="34">$G$16</f>
        <v>1</v>
      </c>
      <c r="H103" s="708">
        <f t="shared" si="34"/>
        <v>1</v>
      </c>
      <c r="I103" s="345">
        <f t="shared" si="31"/>
        <v>344945.34262849996</v>
      </c>
      <c r="K103" s="709">
        <v>330550.83301536529</v>
      </c>
      <c r="L103" s="708">
        <f t="shared" ref="L103:M114" si="35">$G$16</f>
        <v>1</v>
      </c>
      <c r="M103" s="708">
        <f t="shared" si="35"/>
        <v>1</v>
      </c>
      <c r="N103" s="345">
        <f t="shared" si="33"/>
        <v>330550.83301536529</v>
      </c>
    </row>
    <row r="104" spans="1:14">
      <c r="A104" s="605">
        <f t="shared" si="28"/>
        <v>90</v>
      </c>
      <c r="B104" s="382">
        <v>39701</v>
      </c>
      <c r="C104" s="560" t="s">
        <v>1405</v>
      </c>
      <c r="D104" s="709">
        <v>0</v>
      </c>
      <c r="E104" s="248">
        <v>0</v>
      </c>
      <c r="F104" s="345">
        <f t="shared" si="29"/>
        <v>0</v>
      </c>
      <c r="G104" s="708">
        <f t="shared" si="34"/>
        <v>1</v>
      </c>
      <c r="H104" s="708">
        <f t="shared" si="34"/>
        <v>1</v>
      </c>
      <c r="I104" s="345">
        <f t="shared" si="31"/>
        <v>0</v>
      </c>
      <c r="K104" s="709">
        <v>0</v>
      </c>
      <c r="L104" s="708">
        <f t="shared" si="35"/>
        <v>1</v>
      </c>
      <c r="M104" s="708">
        <f t="shared" si="35"/>
        <v>1</v>
      </c>
      <c r="N104" s="345">
        <f t="shared" si="33"/>
        <v>0</v>
      </c>
    </row>
    <row r="105" spans="1:14">
      <c r="A105" s="605">
        <f t="shared" si="28"/>
        <v>91</v>
      </c>
      <c r="B105" s="382">
        <v>39702</v>
      </c>
      <c r="C105" s="560" t="s">
        <v>1405</v>
      </c>
      <c r="D105" s="709">
        <v>0</v>
      </c>
      <c r="E105" s="248">
        <v>0</v>
      </c>
      <c r="F105" s="345">
        <f t="shared" si="29"/>
        <v>0</v>
      </c>
      <c r="G105" s="708">
        <f t="shared" si="34"/>
        <v>1</v>
      </c>
      <c r="H105" s="708">
        <f t="shared" si="34"/>
        <v>1</v>
      </c>
      <c r="I105" s="345">
        <f t="shared" si="31"/>
        <v>0</v>
      </c>
      <c r="K105" s="709">
        <v>0</v>
      </c>
      <c r="L105" s="708">
        <f t="shared" si="35"/>
        <v>1</v>
      </c>
      <c r="M105" s="708">
        <f t="shared" si="35"/>
        <v>1</v>
      </c>
      <c r="N105" s="345">
        <f t="shared" si="33"/>
        <v>0</v>
      </c>
    </row>
    <row r="106" spans="1:14">
      <c r="A106" s="605">
        <f t="shared" si="28"/>
        <v>92</v>
      </c>
      <c r="B106" s="382">
        <v>39705</v>
      </c>
      <c r="C106" s="560" t="s">
        <v>1445</v>
      </c>
      <c r="D106" s="709">
        <v>0</v>
      </c>
      <c r="E106" s="248">
        <v>0</v>
      </c>
      <c r="F106" s="345">
        <f t="shared" si="29"/>
        <v>0</v>
      </c>
      <c r="G106" s="708">
        <f t="shared" si="34"/>
        <v>1</v>
      </c>
      <c r="H106" s="708">
        <f t="shared" si="34"/>
        <v>1</v>
      </c>
      <c r="I106" s="345">
        <f t="shared" si="31"/>
        <v>0</v>
      </c>
      <c r="K106" s="709">
        <v>0</v>
      </c>
      <c r="L106" s="708">
        <f t="shared" si="35"/>
        <v>1</v>
      </c>
      <c r="M106" s="708">
        <f t="shared" si="35"/>
        <v>1</v>
      </c>
      <c r="N106" s="345">
        <f t="shared" si="33"/>
        <v>0</v>
      </c>
    </row>
    <row r="107" spans="1:14">
      <c r="A107" s="605">
        <f t="shared" si="28"/>
        <v>93</v>
      </c>
      <c r="B107" s="382">
        <v>39800</v>
      </c>
      <c r="C107" s="560" t="s">
        <v>1446</v>
      </c>
      <c r="D107" s="709">
        <v>1403377.086840797</v>
      </c>
      <c r="E107" s="248">
        <v>0</v>
      </c>
      <c r="F107" s="345">
        <f t="shared" si="29"/>
        <v>1403377.086840797</v>
      </c>
      <c r="G107" s="708">
        <f t="shared" si="34"/>
        <v>1</v>
      </c>
      <c r="H107" s="708">
        <f t="shared" si="34"/>
        <v>1</v>
      </c>
      <c r="I107" s="345">
        <f t="shared" si="31"/>
        <v>1403377.086840797</v>
      </c>
      <c r="K107" s="709">
        <v>1315746.7037254719</v>
      </c>
      <c r="L107" s="708">
        <f t="shared" si="35"/>
        <v>1</v>
      </c>
      <c r="M107" s="708">
        <f t="shared" si="35"/>
        <v>1</v>
      </c>
      <c r="N107" s="345">
        <f t="shared" si="33"/>
        <v>1315746.7037254719</v>
      </c>
    </row>
    <row r="108" spans="1:14">
      <c r="A108" s="605">
        <f t="shared" si="28"/>
        <v>94</v>
      </c>
      <c r="B108" s="382">
        <v>39901</v>
      </c>
      <c r="C108" s="560" t="s">
        <v>1406</v>
      </c>
      <c r="D108" s="709">
        <v>21339.982683499995</v>
      </c>
      <c r="E108" s="248">
        <v>0</v>
      </c>
      <c r="F108" s="345">
        <f t="shared" si="29"/>
        <v>21339.982683499995</v>
      </c>
      <c r="G108" s="708">
        <f t="shared" si="34"/>
        <v>1</v>
      </c>
      <c r="H108" s="708">
        <f t="shared" si="34"/>
        <v>1</v>
      </c>
      <c r="I108" s="345">
        <f t="shared" si="31"/>
        <v>21339.982683499995</v>
      </c>
      <c r="K108" s="709">
        <v>19809.148030173073</v>
      </c>
      <c r="L108" s="708">
        <f t="shared" si="35"/>
        <v>1</v>
      </c>
      <c r="M108" s="708">
        <f t="shared" si="35"/>
        <v>1</v>
      </c>
      <c r="N108" s="345">
        <f t="shared" si="33"/>
        <v>19809.148030173073</v>
      </c>
    </row>
    <row r="109" spans="1:14">
      <c r="A109" s="605">
        <f t="shared" si="28"/>
        <v>95</v>
      </c>
      <c r="B109" s="382">
        <v>39902</v>
      </c>
      <c r="C109" s="560" t="s">
        <v>1407</v>
      </c>
      <c r="D109" s="709">
        <v>0</v>
      </c>
      <c r="E109" s="248">
        <v>0</v>
      </c>
      <c r="F109" s="345">
        <f t="shared" si="29"/>
        <v>0</v>
      </c>
      <c r="G109" s="708">
        <f t="shared" si="34"/>
        <v>1</v>
      </c>
      <c r="H109" s="708">
        <f t="shared" si="34"/>
        <v>1</v>
      </c>
      <c r="I109" s="345">
        <f t="shared" si="31"/>
        <v>0</v>
      </c>
      <c r="K109" s="709">
        <v>0</v>
      </c>
      <c r="L109" s="708">
        <f t="shared" si="35"/>
        <v>1</v>
      </c>
      <c r="M109" s="708">
        <f t="shared" si="35"/>
        <v>1</v>
      </c>
      <c r="N109" s="345">
        <f t="shared" si="33"/>
        <v>0</v>
      </c>
    </row>
    <row r="110" spans="1:14">
      <c r="A110" s="605">
        <f t="shared" si="28"/>
        <v>96</v>
      </c>
      <c r="B110" s="382">
        <v>39903</v>
      </c>
      <c r="C110" s="560" t="s">
        <v>1447</v>
      </c>
      <c r="D110" s="709">
        <v>0</v>
      </c>
      <c r="E110" s="248">
        <v>0</v>
      </c>
      <c r="F110" s="345">
        <f t="shared" si="29"/>
        <v>0</v>
      </c>
      <c r="G110" s="708">
        <f t="shared" si="34"/>
        <v>1</v>
      </c>
      <c r="H110" s="708">
        <f t="shared" si="34"/>
        <v>1</v>
      </c>
      <c r="I110" s="345">
        <f t="shared" si="31"/>
        <v>0</v>
      </c>
      <c r="K110" s="709">
        <v>0</v>
      </c>
      <c r="L110" s="708">
        <f t="shared" si="35"/>
        <v>1</v>
      </c>
      <c r="M110" s="708">
        <f t="shared" si="35"/>
        <v>1</v>
      </c>
      <c r="N110" s="345">
        <f t="shared" si="33"/>
        <v>0</v>
      </c>
    </row>
    <row r="111" spans="1:14">
      <c r="A111" s="605">
        <f t="shared" si="28"/>
        <v>97</v>
      </c>
      <c r="B111" s="382">
        <v>39906</v>
      </c>
      <c r="C111" s="560" t="s">
        <v>1448</v>
      </c>
      <c r="D111" s="709">
        <v>486632.08625000011</v>
      </c>
      <c r="E111" s="248">
        <v>0</v>
      </c>
      <c r="F111" s="345">
        <f t="shared" si="29"/>
        <v>486632.08625000011</v>
      </c>
      <c r="G111" s="708">
        <f t="shared" si="34"/>
        <v>1</v>
      </c>
      <c r="H111" s="708">
        <f t="shared" si="34"/>
        <v>1</v>
      </c>
      <c r="I111" s="345">
        <f t="shared" si="31"/>
        <v>486632.08625000011</v>
      </c>
      <c r="K111" s="709">
        <v>495077.82091346162</v>
      </c>
      <c r="L111" s="708">
        <f t="shared" si="35"/>
        <v>1</v>
      </c>
      <c r="M111" s="708">
        <f t="shared" si="35"/>
        <v>1</v>
      </c>
      <c r="N111" s="345">
        <f t="shared" si="33"/>
        <v>495077.82091346162</v>
      </c>
    </row>
    <row r="112" spans="1:14">
      <c r="A112" s="605">
        <f t="shared" si="28"/>
        <v>98</v>
      </c>
      <c r="B112" s="382">
        <v>39907</v>
      </c>
      <c r="C112" s="560" t="s">
        <v>1449</v>
      </c>
      <c r="D112" s="709">
        <v>0</v>
      </c>
      <c r="E112" s="248">
        <v>0</v>
      </c>
      <c r="F112" s="345">
        <f t="shared" si="29"/>
        <v>0</v>
      </c>
      <c r="G112" s="708">
        <f t="shared" si="34"/>
        <v>1</v>
      </c>
      <c r="H112" s="708">
        <f t="shared" si="34"/>
        <v>1</v>
      </c>
      <c r="I112" s="345">
        <f t="shared" si="31"/>
        <v>0</v>
      </c>
      <c r="K112" s="709">
        <v>0</v>
      </c>
      <c r="L112" s="708">
        <f t="shared" si="35"/>
        <v>1</v>
      </c>
      <c r="M112" s="708">
        <f t="shared" si="35"/>
        <v>1</v>
      </c>
      <c r="N112" s="345">
        <f t="shared" si="33"/>
        <v>0</v>
      </c>
    </row>
    <row r="113" spans="1:19">
      <c r="A113" s="605">
        <f t="shared" si="28"/>
        <v>99</v>
      </c>
      <c r="B113" s="382">
        <v>39908</v>
      </c>
      <c r="C113" s="560" t="s">
        <v>1450</v>
      </c>
      <c r="D113" s="709">
        <v>0</v>
      </c>
      <c r="E113" s="248">
        <v>0</v>
      </c>
      <c r="F113" s="345">
        <f t="shared" si="29"/>
        <v>0</v>
      </c>
      <c r="G113" s="708">
        <f t="shared" si="34"/>
        <v>1</v>
      </c>
      <c r="H113" s="708">
        <f t="shared" si="34"/>
        <v>1</v>
      </c>
      <c r="I113" s="345">
        <f t="shared" si="31"/>
        <v>0</v>
      </c>
      <c r="K113" s="709">
        <v>0</v>
      </c>
      <c r="L113" s="708">
        <f t="shared" si="35"/>
        <v>1</v>
      </c>
      <c r="M113" s="708">
        <f t="shared" si="35"/>
        <v>1</v>
      </c>
      <c r="N113" s="345">
        <f t="shared" si="33"/>
        <v>0</v>
      </c>
    </row>
    <row r="114" spans="1:19">
      <c r="A114" s="605">
        <f t="shared" si="28"/>
        <v>100</v>
      </c>
      <c r="B114" s="382" t="s">
        <v>1473</v>
      </c>
      <c r="C114" s="4" t="s">
        <v>1101</v>
      </c>
      <c r="D114" s="709">
        <v>-1655580.6699999992</v>
      </c>
      <c r="E114" s="248">
        <v>0</v>
      </c>
      <c r="F114" s="345">
        <f t="shared" si="29"/>
        <v>-1655580.6699999992</v>
      </c>
      <c r="G114" s="708">
        <f t="shared" si="34"/>
        <v>1</v>
      </c>
      <c r="H114" s="708">
        <f t="shared" si="34"/>
        <v>1</v>
      </c>
      <c r="I114" s="345">
        <f t="shared" si="31"/>
        <v>-1655580.6699999992</v>
      </c>
      <c r="K114" s="709">
        <v>-1782539.3653846146</v>
      </c>
      <c r="L114" s="708">
        <f t="shared" si="35"/>
        <v>1</v>
      </c>
      <c r="M114" s="708">
        <f t="shared" si="35"/>
        <v>1</v>
      </c>
      <c r="N114" s="345">
        <f t="shared" si="33"/>
        <v>-1782539.3653846146</v>
      </c>
    </row>
    <row r="115" spans="1:19">
      <c r="A115" s="605">
        <f t="shared" si="28"/>
        <v>101</v>
      </c>
      <c r="B115" s="382"/>
      <c r="C115" s="4"/>
      <c r="D115" s="559"/>
      <c r="E115" s="248"/>
      <c r="F115" s="559"/>
      <c r="G115" s="266"/>
      <c r="H115" s="266"/>
      <c r="I115" s="559"/>
      <c r="K115" s="559"/>
      <c r="L115" s="266"/>
      <c r="M115" s="266"/>
      <c r="N115" s="559"/>
    </row>
    <row r="116" spans="1:19">
      <c r="A116" s="605">
        <f t="shared" si="28"/>
        <v>102</v>
      </c>
      <c r="B116" s="228"/>
      <c r="C116" s="4" t="s">
        <v>1301</v>
      </c>
      <c r="D116" s="707">
        <f>SUM(D89:D115)</f>
        <v>8660785.6233651657</v>
      </c>
      <c r="E116" s="707">
        <f>SUM(E89:E115)</f>
        <v>0</v>
      </c>
      <c r="F116" s="707">
        <f>SUM(F89:F115)</f>
        <v>8660785.6233651657</v>
      </c>
      <c r="I116" s="707">
        <f>SUM(I89:I115)</f>
        <v>8660785.6233651657</v>
      </c>
      <c r="K116" s="707">
        <f>SUM(K89:K115)</f>
        <v>8071166.5937019996</v>
      </c>
      <c r="N116" s="707">
        <f>SUM(N89:N115)</f>
        <v>8071166.5937019996</v>
      </c>
    </row>
    <row r="117" spans="1:19">
      <c r="A117" s="605">
        <f t="shared" si="28"/>
        <v>103</v>
      </c>
      <c r="B117" s="228"/>
      <c r="C117" s="4"/>
      <c r="D117" s="248"/>
      <c r="E117" s="248"/>
      <c r="F117" s="248"/>
      <c r="I117" s="248"/>
      <c r="K117" s="248"/>
      <c r="N117" s="248"/>
    </row>
    <row r="118" spans="1:19">
      <c r="A118" s="605">
        <f t="shared" si="28"/>
        <v>104</v>
      </c>
      <c r="B118" s="228"/>
      <c r="C118" s="98" t="s">
        <v>1251</v>
      </c>
      <c r="D118" s="707">
        <f>D116+D86+D60+D47+D26+D19</f>
        <v>193343505.37538809</v>
      </c>
      <c r="E118" s="707">
        <f>E116+E86+E60+E47+E26+E19</f>
        <v>0</v>
      </c>
      <c r="F118" s="707">
        <f>F116+F86+F60+F47+F26+F19</f>
        <v>193343505.37538809</v>
      </c>
      <c r="I118" s="707">
        <f>I116+I86+I60+I47+I26+I19</f>
        <v>193343505.37538809</v>
      </c>
      <c r="K118" s="707">
        <f>K116+K86+K60+K47+K26+K19</f>
        <v>186306985.70911053</v>
      </c>
      <c r="N118" s="707">
        <f>N116+N86+N60+N47+N26+N19</f>
        <v>186306985.70911053</v>
      </c>
      <c r="S118" s="375"/>
    </row>
    <row r="119" spans="1:19">
      <c r="A119" s="605">
        <f t="shared" si="28"/>
        <v>105</v>
      </c>
      <c r="B119" s="545"/>
      <c r="D119" s="248"/>
    </row>
    <row r="120" spans="1:19" ht="15.75">
      <c r="A120" s="605">
        <f t="shared" si="28"/>
        <v>106</v>
      </c>
      <c r="B120" s="550" t="s">
        <v>6</v>
      </c>
      <c r="D120" s="248"/>
    </row>
    <row r="121" spans="1:19">
      <c r="A121" s="605">
        <f t="shared" si="28"/>
        <v>107</v>
      </c>
      <c r="B121" s="545"/>
      <c r="D121" s="248"/>
    </row>
    <row r="122" spans="1:19">
      <c r="A122" s="605">
        <f t="shared" si="28"/>
        <v>108</v>
      </c>
      <c r="B122" s="228"/>
      <c r="C122" s="16" t="s">
        <v>288</v>
      </c>
      <c r="D122" s="248"/>
    </row>
    <row r="123" spans="1:19">
      <c r="A123" s="605">
        <f t="shared" si="28"/>
        <v>109</v>
      </c>
      <c r="B123" s="294">
        <v>30100</v>
      </c>
      <c r="C123" s="4" t="s">
        <v>282</v>
      </c>
      <c r="D123" s="720">
        <v>0</v>
      </c>
      <c r="E123" s="203">
        <v>0</v>
      </c>
      <c r="F123" s="707">
        <f>D123+E123</f>
        <v>0</v>
      </c>
      <c r="G123" s="708">
        <f>$G$16</f>
        <v>1</v>
      </c>
      <c r="H123" s="684">
        <f>Allocation!$H$17</f>
        <v>0.49969999999999998</v>
      </c>
      <c r="I123" s="707">
        <f>F123*G123*H123</f>
        <v>0</v>
      </c>
      <c r="K123" s="720">
        <v>0</v>
      </c>
      <c r="L123" s="708">
        <f t="shared" ref="L123:M124" si="36">G123</f>
        <v>1</v>
      </c>
      <c r="M123" s="360">
        <f t="shared" si="36"/>
        <v>0.49969999999999998</v>
      </c>
      <c r="N123" s="707">
        <f>K123*L123*M123</f>
        <v>0</v>
      </c>
    </row>
    <row r="124" spans="1:19">
      <c r="A124" s="605">
        <f t="shared" si="28"/>
        <v>110</v>
      </c>
      <c r="B124" s="294">
        <v>30300</v>
      </c>
      <c r="C124" s="4" t="s">
        <v>515</v>
      </c>
      <c r="D124" s="709">
        <v>0</v>
      </c>
      <c r="E124" s="221">
        <v>0</v>
      </c>
      <c r="F124" s="710">
        <f>D124+E124</f>
        <v>0</v>
      </c>
      <c r="G124" s="708">
        <f>$G$16</f>
        <v>1</v>
      </c>
      <c r="H124" s="360">
        <f>$H$123</f>
        <v>0.49969999999999998</v>
      </c>
      <c r="I124" s="711">
        <f>F124*G124*H124</f>
        <v>0</v>
      </c>
      <c r="K124" s="709">
        <v>0</v>
      </c>
      <c r="L124" s="708">
        <f t="shared" si="36"/>
        <v>1</v>
      </c>
      <c r="M124" s="360">
        <f t="shared" si="36"/>
        <v>0.49969999999999998</v>
      </c>
      <c r="N124" s="711">
        <f>K124*L124*M124</f>
        <v>0</v>
      </c>
    </row>
    <row r="125" spans="1:19">
      <c r="A125" s="605">
        <f t="shared" si="28"/>
        <v>111</v>
      </c>
      <c r="B125" s="294"/>
      <c r="C125" s="4"/>
      <c r="D125" s="339"/>
      <c r="E125" s="339"/>
      <c r="F125" s="339"/>
      <c r="K125" s="559"/>
    </row>
    <row r="126" spans="1:19">
      <c r="A126" s="605">
        <f t="shared" si="28"/>
        <v>112</v>
      </c>
      <c r="B126" s="382"/>
      <c r="C126" s="4" t="s">
        <v>289</v>
      </c>
      <c r="D126" s="707">
        <f>SUM(D123:D125)</f>
        <v>0</v>
      </c>
      <c r="E126" s="707">
        <f>SUM(E123:E125)</f>
        <v>0</v>
      </c>
      <c r="F126" s="707">
        <f>SUM(F123:F125)</f>
        <v>0</v>
      </c>
      <c r="G126" s="266"/>
      <c r="H126" s="266"/>
      <c r="I126" s="707">
        <f>SUM(I123:I125)</f>
        <v>0</v>
      </c>
      <c r="K126" s="707">
        <f>SUM(K123:K125)</f>
        <v>0</v>
      </c>
      <c r="N126" s="707">
        <f>SUM(N123:N125)</f>
        <v>0</v>
      </c>
    </row>
    <row r="127" spans="1:19">
      <c r="A127" s="605">
        <f t="shared" si="28"/>
        <v>113</v>
      </c>
      <c r="B127" s="561"/>
    </row>
    <row r="128" spans="1:19">
      <c r="A128" s="605">
        <f t="shared" si="28"/>
        <v>114</v>
      </c>
      <c r="B128" s="382"/>
      <c r="C128" s="16" t="s">
        <v>290</v>
      </c>
    </row>
    <row r="129" spans="1:14">
      <c r="A129" s="605">
        <f t="shared" si="28"/>
        <v>115</v>
      </c>
      <c r="B129" s="294">
        <v>37400</v>
      </c>
      <c r="C129" s="4" t="s">
        <v>1105</v>
      </c>
      <c r="D129" s="203">
        <v>0</v>
      </c>
      <c r="E129" s="203">
        <v>0</v>
      </c>
      <c r="F129" s="707">
        <f t="shared" ref="F129:F149" si="37">D129+E129</f>
        <v>0</v>
      </c>
      <c r="G129" s="708">
        <f t="shared" ref="G129:G149" si="38">$G$16</f>
        <v>1</v>
      </c>
      <c r="H129" s="360">
        <f t="shared" ref="H129:H149" si="39">$H$123</f>
        <v>0.49969999999999998</v>
      </c>
      <c r="I129" s="707">
        <f t="shared" ref="I129:I149" si="40">F129*G129*H129</f>
        <v>0</v>
      </c>
      <c r="K129" s="203">
        <v>0</v>
      </c>
      <c r="L129" s="708">
        <f t="shared" ref="L129:L149" si="41">G129</f>
        <v>1</v>
      </c>
      <c r="M129" s="360">
        <f t="shared" ref="M129:M149" si="42">H129</f>
        <v>0.49969999999999998</v>
      </c>
      <c r="N129" s="707">
        <f t="shared" ref="N129:N149" si="43">K129*L129*M129</f>
        <v>0</v>
      </c>
    </row>
    <row r="130" spans="1:14">
      <c r="A130" s="605">
        <f t="shared" si="28"/>
        <v>116</v>
      </c>
      <c r="B130" s="294">
        <v>35010</v>
      </c>
      <c r="C130" s="4" t="s">
        <v>283</v>
      </c>
      <c r="D130" s="248">
        <v>0</v>
      </c>
      <c r="E130" s="248">
        <v>0</v>
      </c>
      <c r="F130" s="345">
        <f t="shared" si="37"/>
        <v>0</v>
      </c>
      <c r="G130" s="708">
        <f t="shared" si="38"/>
        <v>1</v>
      </c>
      <c r="H130" s="360">
        <f t="shared" si="39"/>
        <v>0.49969999999999998</v>
      </c>
      <c r="I130" s="345">
        <f t="shared" si="40"/>
        <v>0</v>
      </c>
      <c r="K130" s="248">
        <v>0</v>
      </c>
      <c r="L130" s="708">
        <f t="shared" si="41"/>
        <v>1</v>
      </c>
      <c r="M130" s="360">
        <f t="shared" si="42"/>
        <v>0.49969999999999998</v>
      </c>
      <c r="N130" s="345">
        <f t="shared" si="43"/>
        <v>0</v>
      </c>
    </row>
    <row r="131" spans="1:14">
      <c r="A131" s="605">
        <f t="shared" si="28"/>
        <v>117</v>
      </c>
      <c r="B131" s="294">
        <v>37402</v>
      </c>
      <c r="C131" s="4" t="s">
        <v>963</v>
      </c>
      <c r="D131" s="248">
        <v>0</v>
      </c>
      <c r="E131" s="248">
        <v>0</v>
      </c>
      <c r="F131" s="345">
        <f t="shared" si="37"/>
        <v>0</v>
      </c>
      <c r="G131" s="708">
        <f t="shared" si="38"/>
        <v>1</v>
      </c>
      <c r="H131" s="360">
        <f t="shared" si="39"/>
        <v>0.49969999999999998</v>
      </c>
      <c r="I131" s="345">
        <f t="shared" si="40"/>
        <v>0</v>
      </c>
      <c r="K131" s="248">
        <v>0</v>
      </c>
      <c r="L131" s="708">
        <f t="shared" si="41"/>
        <v>1</v>
      </c>
      <c r="M131" s="360">
        <f t="shared" si="42"/>
        <v>0.49969999999999998</v>
      </c>
      <c r="N131" s="345">
        <f t="shared" si="43"/>
        <v>0</v>
      </c>
    </row>
    <row r="132" spans="1:14">
      <c r="A132" s="605">
        <f t="shared" si="28"/>
        <v>118</v>
      </c>
      <c r="B132" s="294">
        <v>37403</v>
      </c>
      <c r="C132" s="4" t="s">
        <v>960</v>
      </c>
      <c r="D132" s="248">
        <v>0</v>
      </c>
      <c r="E132" s="248">
        <v>0</v>
      </c>
      <c r="F132" s="345">
        <f t="shared" si="37"/>
        <v>0</v>
      </c>
      <c r="G132" s="708">
        <f t="shared" si="38"/>
        <v>1</v>
      </c>
      <c r="H132" s="360">
        <f t="shared" si="39"/>
        <v>0.49969999999999998</v>
      </c>
      <c r="I132" s="345">
        <f t="shared" si="40"/>
        <v>0</v>
      </c>
      <c r="K132" s="248">
        <v>0</v>
      </c>
      <c r="L132" s="708">
        <f t="shared" si="41"/>
        <v>1</v>
      </c>
      <c r="M132" s="360">
        <f t="shared" si="42"/>
        <v>0.49969999999999998</v>
      </c>
      <c r="N132" s="345">
        <f t="shared" si="43"/>
        <v>0</v>
      </c>
    </row>
    <row r="133" spans="1:14">
      <c r="A133" s="605">
        <f t="shared" si="28"/>
        <v>119</v>
      </c>
      <c r="B133" s="294">
        <v>36602</v>
      </c>
      <c r="C133" s="4" t="s">
        <v>825</v>
      </c>
      <c r="D133" s="248">
        <v>0</v>
      </c>
      <c r="E133" s="248">
        <v>0</v>
      </c>
      <c r="F133" s="345">
        <f t="shared" si="37"/>
        <v>0</v>
      </c>
      <c r="G133" s="708">
        <f t="shared" si="38"/>
        <v>1</v>
      </c>
      <c r="H133" s="360">
        <f t="shared" si="39"/>
        <v>0.49969999999999998</v>
      </c>
      <c r="I133" s="345">
        <f t="shared" si="40"/>
        <v>0</v>
      </c>
      <c r="K133" s="248">
        <v>0</v>
      </c>
      <c r="L133" s="708">
        <f t="shared" si="41"/>
        <v>1</v>
      </c>
      <c r="M133" s="360">
        <f t="shared" si="42"/>
        <v>0.49969999999999998</v>
      </c>
      <c r="N133" s="345">
        <f t="shared" si="43"/>
        <v>0</v>
      </c>
    </row>
    <row r="134" spans="1:14">
      <c r="A134" s="605">
        <f t="shared" si="28"/>
        <v>120</v>
      </c>
      <c r="B134" s="294">
        <v>37501</v>
      </c>
      <c r="C134" s="4" t="s">
        <v>961</v>
      </c>
      <c r="D134" s="248">
        <v>0</v>
      </c>
      <c r="E134" s="248">
        <v>0</v>
      </c>
      <c r="F134" s="345">
        <f t="shared" si="37"/>
        <v>0</v>
      </c>
      <c r="G134" s="708">
        <f t="shared" si="38"/>
        <v>1</v>
      </c>
      <c r="H134" s="360">
        <f t="shared" si="39"/>
        <v>0.49969999999999998</v>
      </c>
      <c r="I134" s="345">
        <f t="shared" si="40"/>
        <v>0</v>
      </c>
      <c r="K134" s="248">
        <v>0</v>
      </c>
      <c r="L134" s="708">
        <f t="shared" si="41"/>
        <v>1</v>
      </c>
      <c r="M134" s="360">
        <f t="shared" si="42"/>
        <v>0.49969999999999998</v>
      </c>
      <c r="N134" s="345">
        <f t="shared" si="43"/>
        <v>0</v>
      </c>
    </row>
    <row r="135" spans="1:14">
      <c r="A135" s="605">
        <f t="shared" si="28"/>
        <v>121</v>
      </c>
      <c r="B135" s="294">
        <v>37402</v>
      </c>
      <c r="C135" s="4" t="s">
        <v>963</v>
      </c>
      <c r="D135" s="248">
        <v>0</v>
      </c>
      <c r="E135" s="248">
        <v>0</v>
      </c>
      <c r="F135" s="345">
        <f t="shared" si="37"/>
        <v>0</v>
      </c>
      <c r="G135" s="708">
        <f t="shared" si="38"/>
        <v>1</v>
      </c>
      <c r="H135" s="360">
        <f t="shared" si="39"/>
        <v>0.49969999999999998</v>
      </c>
      <c r="I135" s="345">
        <f t="shared" si="40"/>
        <v>0</v>
      </c>
      <c r="K135" s="248">
        <v>0</v>
      </c>
      <c r="L135" s="708">
        <f t="shared" si="41"/>
        <v>1</v>
      </c>
      <c r="M135" s="360">
        <f t="shared" si="42"/>
        <v>0.49969999999999998</v>
      </c>
      <c r="N135" s="345">
        <f t="shared" si="43"/>
        <v>0</v>
      </c>
    </row>
    <row r="136" spans="1:14">
      <c r="A136" s="605">
        <f t="shared" si="28"/>
        <v>122</v>
      </c>
      <c r="B136" s="294">
        <v>37503</v>
      </c>
      <c r="C136" s="4" t="s">
        <v>962</v>
      </c>
      <c r="D136" s="248">
        <v>0</v>
      </c>
      <c r="E136" s="248">
        <v>0</v>
      </c>
      <c r="F136" s="345">
        <f t="shared" si="37"/>
        <v>0</v>
      </c>
      <c r="G136" s="708">
        <f t="shared" si="38"/>
        <v>1</v>
      </c>
      <c r="H136" s="360">
        <f t="shared" si="39"/>
        <v>0.49969999999999998</v>
      </c>
      <c r="I136" s="345">
        <f t="shared" si="40"/>
        <v>0</v>
      </c>
      <c r="K136" s="248">
        <v>0</v>
      </c>
      <c r="L136" s="708">
        <f t="shared" si="41"/>
        <v>1</v>
      </c>
      <c r="M136" s="360">
        <f t="shared" si="42"/>
        <v>0.49969999999999998</v>
      </c>
      <c r="N136" s="345">
        <f t="shared" si="43"/>
        <v>0</v>
      </c>
    </row>
    <row r="137" spans="1:14">
      <c r="A137" s="605">
        <f t="shared" si="28"/>
        <v>123</v>
      </c>
      <c r="B137" s="294">
        <v>36700</v>
      </c>
      <c r="C137" s="4" t="s">
        <v>813</v>
      </c>
      <c r="D137" s="248">
        <v>0</v>
      </c>
      <c r="E137" s="248">
        <v>0</v>
      </c>
      <c r="F137" s="345">
        <f t="shared" si="37"/>
        <v>0</v>
      </c>
      <c r="G137" s="708">
        <f t="shared" si="38"/>
        <v>1</v>
      </c>
      <c r="H137" s="360">
        <f t="shared" si="39"/>
        <v>0.49969999999999998</v>
      </c>
      <c r="I137" s="345">
        <f t="shared" si="40"/>
        <v>0</v>
      </c>
      <c r="K137" s="248">
        <v>0</v>
      </c>
      <c r="L137" s="708">
        <f t="shared" si="41"/>
        <v>1</v>
      </c>
      <c r="M137" s="360">
        <f t="shared" si="42"/>
        <v>0.49969999999999998</v>
      </c>
      <c r="N137" s="345">
        <f t="shared" si="43"/>
        <v>0</v>
      </c>
    </row>
    <row r="138" spans="1:14">
      <c r="A138" s="605">
        <f t="shared" si="28"/>
        <v>124</v>
      </c>
      <c r="B138" s="294">
        <v>36701</v>
      </c>
      <c r="C138" s="4" t="s">
        <v>15</v>
      </c>
      <c r="D138" s="248">
        <v>0</v>
      </c>
      <c r="E138" s="248">
        <v>0</v>
      </c>
      <c r="F138" s="345">
        <f t="shared" si="37"/>
        <v>0</v>
      </c>
      <c r="G138" s="708">
        <f t="shared" si="38"/>
        <v>1</v>
      </c>
      <c r="H138" s="360">
        <f t="shared" si="39"/>
        <v>0.49969999999999998</v>
      </c>
      <c r="I138" s="345">
        <f t="shared" si="40"/>
        <v>0</v>
      </c>
      <c r="K138" s="248">
        <v>0</v>
      </c>
      <c r="L138" s="708">
        <f t="shared" si="41"/>
        <v>1</v>
      </c>
      <c r="M138" s="360">
        <f t="shared" si="42"/>
        <v>0.49969999999999998</v>
      </c>
      <c r="N138" s="345">
        <f t="shared" si="43"/>
        <v>0</v>
      </c>
    </row>
    <row r="139" spans="1:14">
      <c r="A139" s="605">
        <f t="shared" si="28"/>
        <v>125</v>
      </c>
      <c r="B139" s="294">
        <v>37602</v>
      </c>
      <c r="C139" s="4" t="s">
        <v>814</v>
      </c>
      <c r="D139" s="248">
        <v>0</v>
      </c>
      <c r="E139" s="248">
        <v>0</v>
      </c>
      <c r="F139" s="345">
        <f t="shared" si="37"/>
        <v>0</v>
      </c>
      <c r="G139" s="708">
        <f t="shared" si="38"/>
        <v>1</v>
      </c>
      <c r="H139" s="360">
        <f t="shared" si="39"/>
        <v>0.49969999999999998</v>
      </c>
      <c r="I139" s="345">
        <f t="shared" si="40"/>
        <v>0</v>
      </c>
      <c r="K139" s="248">
        <v>0</v>
      </c>
      <c r="L139" s="708">
        <f t="shared" si="41"/>
        <v>1</v>
      </c>
      <c r="M139" s="360">
        <f t="shared" si="42"/>
        <v>0.49969999999999998</v>
      </c>
      <c r="N139" s="345">
        <f t="shared" si="43"/>
        <v>0</v>
      </c>
    </row>
    <row r="140" spans="1:14">
      <c r="A140" s="605">
        <f t="shared" si="28"/>
        <v>126</v>
      </c>
      <c r="B140" s="294">
        <v>37800</v>
      </c>
      <c r="C140" s="4" t="s">
        <v>221</v>
      </c>
      <c r="D140" s="248">
        <v>0</v>
      </c>
      <c r="E140" s="248">
        <v>0</v>
      </c>
      <c r="F140" s="345">
        <f t="shared" si="37"/>
        <v>0</v>
      </c>
      <c r="G140" s="708">
        <f t="shared" si="38"/>
        <v>1</v>
      </c>
      <c r="H140" s="360">
        <f t="shared" si="39"/>
        <v>0.49969999999999998</v>
      </c>
      <c r="I140" s="345">
        <f t="shared" si="40"/>
        <v>0</v>
      </c>
      <c r="K140" s="248">
        <v>0</v>
      </c>
      <c r="L140" s="708">
        <f t="shared" si="41"/>
        <v>1</v>
      </c>
      <c r="M140" s="360">
        <f t="shared" si="42"/>
        <v>0.49969999999999998</v>
      </c>
      <c r="N140" s="345">
        <f t="shared" si="43"/>
        <v>0</v>
      </c>
    </row>
    <row r="141" spans="1:14">
      <c r="A141" s="605">
        <f t="shared" si="28"/>
        <v>127</v>
      </c>
      <c r="B141" s="294">
        <v>37900</v>
      </c>
      <c r="C141" s="4" t="s">
        <v>1148</v>
      </c>
      <c r="D141" s="248">
        <v>0</v>
      </c>
      <c r="E141" s="248">
        <v>0</v>
      </c>
      <c r="F141" s="345">
        <f t="shared" si="37"/>
        <v>0</v>
      </c>
      <c r="G141" s="708">
        <f t="shared" si="38"/>
        <v>1</v>
      </c>
      <c r="H141" s="360">
        <f t="shared" si="39"/>
        <v>0.49969999999999998</v>
      </c>
      <c r="I141" s="345">
        <f t="shared" si="40"/>
        <v>0</v>
      </c>
      <c r="K141" s="248">
        <v>0</v>
      </c>
      <c r="L141" s="708">
        <f t="shared" si="41"/>
        <v>1</v>
      </c>
      <c r="M141" s="360">
        <f t="shared" si="42"/>
        <v>0.49969999999999998</v>
      </c>
      <c r="N141" s="345">
        <f t="shared" si="43"/>
        <v>0</v>
      </c>
    </row>
    <row r="142" spans="1:14">
      <c r="A142" s="605">
        <f t="shared" si="28"/>
        <v>128</v>
      </c>
      <c r="B142" s="294">
        <v>37905</v>
      </c>
      <c r="C142" s="4" t="s">
        <v>698</v>
      </c>
      <c r="D142" s="248">
        <v>0</v>
      </c>
      <c r="E142" s="248">
        <v>0</v>
      </c>
      <c r="F142" s="345">
        <f t="shared" si="37"/>
        <v>0</v>
      </c>
      <c r="G142" s="708">
        <f t="shared" si="38"/>
        <v>1</v>
      </c>
      <c r="H142" s="360">
        <f t="shared" si="39"/>
        <v>0.49969999999999998</v>
      </c>
      <c r="I142" s="345">
        <f t="shared" si="40"/>
        <v>0</v>
      </c>
      <c r="K142" s="248">
        <v>0</v>
      </c>
      <c r="L142" s="708">
        <f t="shared" si="41"/>
        <v>1</v>
      </c>
      <c r="M142" s="360">
        <f t="shared" si="42"/>
        <v>0.49969999999999998</v>
      </c>
      <c r="N142" s="345">
        <f t="shared" si="43"/>
        <v>0</v>
      </c>
    </row>
    <row r="143" spans="1:14">
      <c r="A143" s="605">
        <f t="shared" si="28"/>
        <v>129</v>
      </c>
      <c r="B143" s="294">
        <v>38000</v>
      </c>
      <c r="C143" s="4" t="s">
        <v>1013</v>
      </c>
      <c r="D143" s="248">
        <v>0</v>
      </c>
      <c r="E143" s="248">
        <v>0</v>
      </c>
      <c r="F143" s="345">
        <f t="shared" si="37"/>
        <v>0</v>
      </c>
      <c r="G143" s="708">
        <f t="shared" si="38"/>
        <v>1</v>
      </c>
      <c r="H143" s="360">
        <f t="shared" si="39"/>
        <v>0.49969999999999998</v>
      </c>
      <c r="I143" s="345">
        <f t="shared" si="40"/>
        <v>0</v>
      </c>
      <c r="K143" s="248">
        <v>0</v>
      </c>
      <c r="L143" s="708">
        <f t="shared" si="41"/>
        <v>1</v>
      </c>
      <c r="M143" s="360">
        <f t="shared" si="42"/>
        <v>0.49969999999999998</v>
      </c>
      <c r="N143" s="345">
        <f t="shared" si="43"/>
        <v>0</v>
      </c>
    </row>
    <row r="144" spans="1:14">
      <c r="A144" s="605">
        <f t="shared" si="28"/>
        <v>130</v>
      </c>
      <c r="B144" s="294">
        <v>38100</v>
      </c>
      <c r="C144" s="4" t="s">
        <v>815</v>
      </c>
      <c r="D144" s="248">
        <v>0</v>
      </c>
      <c r="E144" s="248">
        <v>0</v>
      </c>
      <c r="F144" s="345">
        <f t="shared" si="37"/>
        <v>0</v>
      </c>
      <c r="G144" s="708">
        <f t="shared" si="38"/>
        <v>1</v>
      </c>
      <c r="H144" s="360">
        <f t="shared" si="39"/>
        <v>0.49969999999999998</v>
      </c>
      <c r="I144" s="345">
        <f t="shared" si="40"/>
        <v>0</v>
      </c>
      <c r="K144" s="248">
        <v>0</v>
      </c>
      <c r="L144" s="708">
        <f t="shared" si="41"/>
        <v>1</v>
      </c>
      <c r="M144" s="360">
        <f t="shared" si="42"/>
        <v>0.49969999999999998</v>
      </c>
      <c r="N144" s="345">
        <f t="shared" si="43"/>
        <v>0</v>
      </c>
    </row>
    <row r="145" spans="1:19">
      <c r="A145" s="605">
        <f t="shared" si="28"/>
        <v>131</v>
      </c>
      <c r="B145" s="294">
        <v>38200</v>
      </c>
      <c r="C145" s="4" t="s">
        <v>420</v>
      </c>
      <c r="D145" s="248">
        <v>0</v>
      </c>
      <c r="E145" s="248">
        <v>0</v>
      </c>
      <c r="F145" s="345">
        <f t="shared" si="37"/>
        <v>0</v>
      </c>
      <c r="G145" s="708">
        <f t="shared" si="38"/>
        <v>1</v>
      </c>
      <c r="H145" s="360">
        <f t="shared" si="39"/>
        <v>0.49969999999999998</v>
      </c>
      <c r="I145" s="345">
        <f t="shared" si="40"/>
        <v>0</v>
      </c>
      <c r="K145" s="248">
        <v>0</v>
      </c>
      <c r="L145" s="708">
        <f t="shared" si="41"/>
        <v>1</v>
      </c>
      <c r="M145" s="360">
        <f t="shared" si="42"/>
        <v>0.49969999999999998</v>
      </c>
      <c r="N145" s="345">
        <f t="shared" si="43"/>
        <v>0</v>
      </c>
    </row>
    <row r="146" spans="1:19">
      <c r="A146" s="605">
        <f t="shared" si="28"/>
        <v>132</v>
      </c>
      <c r="B146" s="294">
        <v>38300</v>
      </c>
      <c r="C146" s="4" t="s">
        <v>1014</v>
      </c>
      <c r="D146" s="248">
        <v>0</v>
      </c>
      <c r="E146" s="248">
        <v>0</v>
      </c>
      <c r="F146" s="345">
        <f t="shared" si="37"/>
        <v>0</v>
      </c>
      <c r="G146" s="708">
        <f t="shared" si="38"/>
        <v>1</v>
      </c>
      <c r="H146" s="360">
        <f t="shared" si="39"/>
        <v>0.49969999999999998</v>
      </c>
      <c r="I146" s="345">
        <f t="shared" si="40"/>
        <v>0</v>
      </c>
      <c r="K146" s="248">
        <v>0</v>
      </c>
      <c r="L146" s="708">
        <f t="shared" si="41"/>
        <v>1</v>
      </c>
      <c r="M146" s="360">
        <f t="shared" si="42"/>
        <v>0.49969999999999998</v>
      </c>
      <c r="N146" s="345">
        <f t="shared" si="43"/>
        <v>0</v>
      </c>
    </row>
    <row r="147" spans="1:19">
      <c r="A147" s="605">
        <f t="shared" si="28"/>
        <v>133</v>
      </c>
      <c r="B147" s="294">
        <v>38400</v>
      </c>
      <c r="C147" s="4" t="s">
        <v>421</v>
      </c>
      <c r="D147" s="248">
        <v>0</v>
      </c>
      <c r="E147" s="248">
        <v>0</v>
      </c>
      <c r="F147" s="345">
        <f t="shared" si="37"/>
        <v>0</v>
      </c>
      <c r="G147" s="708">
        <f t="shared" si="38"/>
        <v>1</v>
      </c>
      <c r="H147" s="360">
        <f t="shared" si="39"/>
        <v>0.49969999999999998</v>
      </c>
      <c r="I147" s="345">
        <f t="shared" si="40"/>
        <v>0</v>
      </c>
      <c r="K147" s="248">
        <v>0</v>
      </c>
      <c r="L147" s="708">
        <f t="shared" si="41"/>
        <v>1</v>
      </c>
      <c r="M147" s="360">
        <f t="shared" si="42"/>
        <v>0.49969999999999998</v>
      </c>
      <c r="N147" s="345">
        <f t="shared" si="43"/>
        <v>0</v>
      </c>
    </row>
    <row r="148" spans="1:19">
      <c r="A148" s="605">
        <f t="shared" ref="A148:A211" si="44">A147+1</f>
        <v>134</v>
      </c>
      <c r="B148" s="294">
        <v>38500</v>
      </c>
      <c r="C148" s="4" t="s">
        <v>422</v>
      </c>
      <c r="D148" s="248">
        <v>0</v>
      </c>
      <c r="E148" s="248">
        <v>0</v>
      </c>
      <c r="F148" s="345">
        <f t="shared" si="37"/>
        <v>0</v>
      </c>
      <c r="G148" s="708">
        <f t="shared" si="38"/>
        <v>1</v>
      </c>
      <c r="H148" s="360">
        <f t="shared" si="39"/>
        <v>0.49969999999999998</v>
      </c>
      <c r="I148" s="345">
        <f t="shared" si="40"/>
        <v>0</v>
      </c>
      <c r="K148" s="248">
        <v>0</v>
      </c>
      <c r="L148" s="708">
        <f t="shared" si="41"/>
        <v>1</v>
      </c>
      <c r="M148" s="360">
        <f t="shared" si="42"/>
        <v>0.49969999999999998</v>
      </c>
      <c r="N148" s="345">
        <f t="shared" si="43"/>
        <v>0</v>
      </c>
    </row>
    <row r="149" spans="1:19">
      <c r="A149" s="605">
        <f t="shared" si="44"/>
        <v>135</v>
      </c>
      <c r="B149" s="294">
        <v>38600</v>
      </c>
      <c r="C149" s="4" t="s">
        <v>101</v>
      </c>
      <c r="D149" s="549">
        <v>0</v>
      </c>
      <c r="E149" s="549">
        <v>0</v>
      </c>
      <c r="F149" s="711">
        <f t="shared" si="37"/>
        <v>0</v>
      </c>
      <c r="G149" s="708">
        <f t="shared" si="38"/>
        <v>1</v>
      </c>
      <c r="H149" s="360">
        <f t="shared" si="39"/>
        <v>0.49969999999999998</v>
      </c>
      <c r="I149" s="711">
        <f t="shared" si="40"/>
        <v>0</v>
      </c>
      <c r="K149" s="549">
        <v>0</v>
      </c>
      <c r="L149" s="708">
        <f t="shared" si="41"/>
        <v>1</v>
      </c>
      <c r="M149" s="360">
        <f t="shared" si="42"/>
        <v>0.49969999999999998</v>
      </c>
      <c r="N149" s="711">
        <f t="shared" si="43"/>
        <v>0</v>
      </c>
    </row>
    <row r="150" spans="1:19">
      <c r="A150" s="605">
        <f t="shared" si="44"/>
        <v>136</v>
      </c>
      <c r="B150" s="294"/>
      <c r="C150" s="4"/>
      <c r="K150" s="339"/>
      <c r="M150" s="267"/>
    </row>
    <row r="151" spans="1:19">
      <c r="A151" s="605">
        <f t="shared" si="44"/>
        <v>137</v>
      </c>
      <c r="B151" s="294"/>
      <c r="C151" s="4" t="s">
        <v>291</v>
      </c>
      <c r="D151" s="707">
        <f>SUM(D129:D150)</f>
        <v>0</v>
      </c>
      <c r="E151" s="707">
        <f>SUM(E129:E150)</f>
        <v>0</v>
      </c>
      <c r="F151" s="707">
        <f>SUM(F129:F150)</f>
        <v>0</v>
      </c>
      <c r="I151" s="707">
        <f>SUM(I129:I150)</f>
        <v>0</v>
      </c>
      <c r="K151" s="707">
        <f>SUM(K129:K150)</f>
        <v>0</v>
      </c>
      <c r="M151" s="267"/>
      <c r="N151" s="707">
        <f>SUM(N129:N150)</f>
        <v>0</v>
      </c>
    </row>
    <row r="152" spans="1:19">
      <c r="A152" s="605">
        <f t="shared" si="44"/>
        <v>138</v>
      </c>
      <c r="B152" s="294"/>
      <c r="C152" s="4"/>
      <c r="M152" s="267"/>
    </row>
    <row r="153" spans="1:19">
      <c r="A153" s="605">
        <f t="shared" si="44"/>
        <v>139</v>
      </c>
      <c r="B153" s="382"/>
      <c r="C153" s="16" t="s">
        <v>292</v>
      </c>
      <c r="M153" s="267"/>
    </row>
    <row r="154" spans="1:19">
      <c r="A154" s="605">
        <f t="shared" si="44"/>
        <v>140</v>
      </c>
      <c r="B154" s="294">
        <v>39001</v>
      </c>
      <c r="C154" s="4" t="s">
        <v>1451</v>
      </c>
      <c r="D154" s="720">
        <v>115083.08072200009</v>
      </c>
      <c r="E154" s="341">
        <v>0</v>
      </c>
      <c r="F154" s="707">
        <f t="shared" ref="F154:F170" si="45">D154+E154</f>
        <v>115083.08072200009</v>
      </c>
      <c r="G154" s="360">
        <f t="shared" ref="G154:G175" si="46">$G$16</f>
        <v>1</v>
      </c>
      <c r="H154" s="360">
        <f t="shared" ref="H154:H175" si="47">$H$123</f>
        <v>0.49969999999999998</v>
      </c>
      <c r="I154" s="345">
        <f t="shared" ref="I154:I175" si="48">F154*G154*H154</f>
        <v>57507.01543678344</v>
      </c>
      <c r="K154" s="720">
        <v>112402.32211746158</v>
      </c>
      <c r="L154" s="360">
        <f t="shared" ref="L154:L175" si="49">G154</f>
        <v>1</v>
      </c>
      <c r="M154" s="360">
        <f t="shared" ref="M154:M175" si="50">H154</f>
        <v>0.49969999999999998</v>
      </c>
      <c r="N154" s="707">
        <f t="shared" ref="N154:N175" si="51">K154*L154*M154</f>
        <v>56167.440362095549</v>
      </c>
      <c r="P154" s="294"/>
      <c r="R154" s="243"/>
      <c r="S154" s="243"/>
    </row>
    <row r="155" spans="1:19">
      <c r="A155" s="605">
        <f t="shared" si="44"/>
        <v>141</v>
      </c>
      <c r="B155" s="294">
        <v>39004</v>
      </c>
      <c r="C155" s="4" t="s">
        <v>1435</v>
      </c>
      <c r="D155" s="709">
        <v>14865.532706499998</v>
      </c>
      <c r="E155" s="248">
        <v>0</v>
      </c>
      <c r="F155" s="345">
        <f t="shared" si="45"/>
        <v>14865.532706499998</v>
      </c>
      <c r="G155" s="708">
        <f t="shared" si="46"/>
        <v>1</v>
      </c>
      <c r="H155" s="360">
        <f t="shared" si="47"/>
        <v>0.49969999999999998</v>
      </c>
      <c r="I155" s="345">
        <f t="shared" si="48"/>
        <v>7428.3066934380486</v>
      </c>
      <c r="K155" s="709">
        <v>14420.01880559615</v>
      </c>
      <c r="L155" s="708">
        <f t="shared" si="49"/>
        <v>1</v>
      </c>
      <c r="M155" s="360">
        <f t="shared" si="50"/>
        <v>0.49969999999999998</v>
      </c>
      <c r="N155" s="345">
        <f t="shared" si="51"/>
        <v>7205.6833971563956</v>
      </c>
      <c r="P155" s="294"/>
      <c r="R155" s="243"/>
      <c r="S155" s="243"/>
    </row>
    <row r="156" spans="1:19">
      <c r="A156" s="605">
        <f t="shared" si="44"/>
        <v>142</v>
      </c>
      <c r="B156" s="294">
        <v>39009</v>
      </c>
      <c r="C156" s="4" t="s">
        <v>1436</v>
      </c>
      <c r="D156" s="709">
        <v>38834</v>
      </c>
      <c r="E156" s="248">
        <v>0</v>
      </c>
      <c r="F156" s="345">
        <f t="shared" si="45"/>
        <v>38834</v>
      </c>
      <c r="G156" s="708">
        <f t="shared" si="46"/>
        <v>1</v>
      </c>
      <c r="H156" s="360">
        <f t="shared" si="47"/>
        <v>0.49969999999999998</v>
      </c>
      <c r="I156" s="345">
        <f t="shared" si="48"/>
        <v>19405.3498</v>
      </c>
      <c r="K156" s="709">
        <v>38834</v>
      </c>
      <c r="L156" s="708">
        <f t="shared" si="49"/>
        <v>1</v>
      </c>
      <c r="M156" s="360">
        <f t="shared" si="50"/>
        <v>0.49969999999999998</v>
      </c>
      <c r="N156" s="345">
        <f t="shared" si="51"/>
        <v>19405.3498</v>
      </c>
      <c r="P156" s="294"/>
      <c r="R156" s="243"/>
      <c r="S156" s="243"/>
    </row>
    <row r="157" spans="1:19">
      <c r="A157" s="605">
        <f t="shared" si="44"/>
        <v>143</v>
      </c>
      <c r="B157" s="294">
        <v>39100</v>
      </c>
      <c r="C157" s="4" t="s">
        <v>1437</v>
      </c>
      <c r="D157" s="709">
        <v>7323.978250000001</v>
      </c>
      <c r="E157" s="248">
        <v>0</v>
      </c>
      <c r="F157" s="345">
        <f t="shared" si="45"/>
        <v>7323.978250000001</v>
      </c>
      <c r="G157" s="708">
        <f t="shared" si="46"/>
        <v>1</v>
      </c>
      <c r="H157" s="360">
        <f t="shared" si="47"/>
        <v>0.49969999999999998</v>
      </c>
      <c r="I157" s="345">
        <f t="shared" si="48"/>
        <v>3659.7919315250006</v>
      </c>
      <c r="K157" s="709">
        <v>6598.9418365384618</v>
      </c>
      <c r="L157" s="708">
        <f t="shared" ref="L157:L162" si="52">G157</f>
        <v>1</v>
      </c>
      <c r="M157" s="360">
        <f t="shared" ref="M157:M162" si="53">H157</f>
        <v>0.49969999999999998</v>
      </c>
      <c r="N157" s="345">
        <f t="shared" si="51"/>
        <v>3297.4912357182693</v>
      </c>
      <c r="P157" s="294"/>
      <c r="R157" s="243"/>
      <c r="S157" s="243"/>
    </row>
    <row r="158" spans="1:19">
      <c r="A158" s="605">
        <f t="shared" si="44"/>
        <v>144</v>
      </c>
      <c r="B158" s="294">
        <v>39101</v>
      </c>
      <c r="C158" s="4" t="s">
        <v>1408</v>
      </c>
      <c r="D158" s="709">
        <v>0</v>
      </c>
      <c r="E158" s="248">
        <v>0</v>
      </c>
      <c r="F158" s="345">
        <f t="shared" si="45"/>
        <v>0</v>
      </c>
      <c r="G158" s="708">
        <f t="shared" si="46"/>
        <v>1</v>
      </c>
      <c r="H158" s="360">
        <f t="shared" si="47"/>
        <v>0.49969999999999998</v>
      </c>
      <c r="I158" s="345">
        <f t="shared" si="48"/>
        <v>0</v>
      </c>
      <c r="K158" s="709">
        <v>0</v>
      </c>
      <c r="L158" s="708">
        <f t="shared" si="52"/>
        <v>1</v>
      </c>
      <c r="M158" s="360">
        <f t="shared" si="53"/>
        <v>0.49969999999999998</v>
      </c>
      <c r="N158" s="345">
        <f t="shared" si="51"/>
        <v>0</v>
      </c>
      <c r="P158" s="294"/>
      <c r="R158" s="243"/>
      <c r="S158" s="243"/>
    </row>
    <row r="159" spans="1:19">
      <c r="A159" s="605">
        <f t="shared" si="44"/>
        <v>145</v>
      </c>
      <c r="B159" s="294">
        <v>39103</v>
      </c>
      <c r="C159" s="4" t="s">
        <v>750</v>
      </c>
      <c r="D159" s="709">
        <v>0</v>
      </c>
      <c r="E159" s="248">
        <v>0</v>
      </c>
      <c r="F159" s="345">
        <f t="shared" si="45"/>
        <v>0</v>
      </c>
      <c r="G159" s="708">
        <f t="shared" si="46"/>
        <v>1</v>
      </c>
      <c r="H159" s="360">
        <f t="shared" si="47"/>
        <v>0.49969999999999998</v>
      </c>
      <c r="I159" s="345">
        <f t="shared" si="48"/>
        <v>0</v>
      </c>
      <c r="K159" s="709">
        <v>0</v>
      </c>
      <c r="L159" s="708">
        <f t="shared" si="52"/>
        <v>1</v>
      </c>
      <c r="M159" s="360">
        <f t="shared" si="53"/>
        <v>0.49969999999999998</v>
      </c>
      <c r="N159" s="345">
        <f t="shared" si="51"/>
        <v>0</v>
      </c>
      <c r="P159" s="294"/>
      <c r="R159" s="243"/>
      <c r="S159" s="243"/>
    </row>
    <row r="160" spans="1:19">
      <c r="A160" s="605">
        <f t="shared" si="44"/>
        <v>146</v>
      </c>
      <c r="B160" s="294">
        <v>39200</v>
      </c>
      <c r="C160" s="4" t="s">
        <v>1452</v>
      </c>
      <c r="D160" s="709">
        <v>-2224.4228855000019</v>
      </c>
      <c r="E160" s="248">
        <v>0</v>
      </c>
      <c r="F160" s="345">
        <f t="shared" si="45"/>
        <v>-2224.4228855000019</v>
      </c>
      <c r="G160" s="708">
        <f t="shared" si="46"/>
        <v>1</v>
      </c>
      <c r="H160" s="360">
        <f t="shared" si="47"/>
        <v>0.49969999999999998</v>
      </c>
      <c r="I160" s="345">
        <f t="shared" si="48"/>
        <v>-1111.544115884351</v>
      </c>
      <c r="K160" s="709">
        <v>2916.8919154423061</v>
      </c>
      <c r="L160" s="708">
        <f t="shared" si="52"/>
        <v>1</v>
      </c>
      <c r="M160" s="360">
        <f t="shared" si="53"/>
        <v>0.49969999999999998</v>
      </c>
      <c r="N160" s="345">
        <f t="shared" si="51"/>
        <v>1457.5708901465202</v>
      </c>
      <c r="P160" s="294"/>
      <c r="R160" s="243"/>
      <c r="S160" s="243"/>
    </row>
    <row r="161" spans="1:19">
      <c r="A161" s="605">
        <f t="shared" si="44"/>
        <v>147</v>
      </c>
      <c r="B161" s="294">
        <v>39300</v>
      </c>
      <c r="C161" s="4" t="s">
        <v>622</v>
      </c>
      <c r="D161" s="709">
        <v>0</v>
      </c>
      <c r="E161" s="248">
        <v>0</v>
      </c>
      <c r="F161" s="345">
        <f t="shared" si="45"/>
        <v>0</v>
      </c>
      <c r="G161" s="708">
        <f t="shared" si="46"/>
        <v>1</v>
      </c>
      <c r="H161" s="360">
        <f t="shared" si="47"/>
        <v>0.49969999999999998</v>
      </c>
      <c r="I161" s="345">
        <f t="shared" si="48"/>
        <v>0</v>
      </c>
      <c r="K161" s="709">
        <v>0</v>
      </c>
      <c r="L161" s="708">
        <f t="shared" si="52"/>
        <v>1</v>
      </c>
      <c r="M161" s="360">
        <f t="shared" si="53"/>
        <v>0.49969999999999998</v>
      </c>
      <c r="N161" s="345">
        <f t="shared" si="51"/>
        <v>0</v>
      </c>
      <c r="P161" s="294"/>
      <c r="R161" s="243"/>
      <c r="S161" s="243"/>
    </row>
    <row r="162" spans="1:19">
      <c r="A162" s="605">
        <f t="shared" si="44"/>
        <v>148</v>
      </c>
      <c r="B162" s="294">
        <v>39400</v>
      </c>
      <c r="C162" s="4" t="s">
        <v>1440</v>
      </c>
      <c r="D162" s="709">
        <v>49176.210822000023</v>
      </c>
      <c r="E162" s="248">
        <v>0</v>
      </c>
      <c r="F162" s="345">
        <f t="shared" si="45"/>
        <v>49176.210822000023</v>
      </c>
      <c r="G162" s="708">
        <f t="shared" si="46"/>
        <v>1</v>
      </c>
      <c r="H162" s="360">
        <f t="shared" si="47"/>
        <v>0.49969999999999998</v>
      </c>
      <c r="I162" s="345">
        <f t="shared" si="48"/>
        <v>24573.352547753409</v>
      </c>
      <c r="K162" s="709">
        <v>46331.29022130771</v>
      </c>
      <c r="L162" s="708">
        <f t="shared" si="52"/>
        <v>1</v>
      </c>
      <c r="M162" s="360">
        <f t="shared" si="53"/>
        <v>0.49969999999999998</v>
      </c>
      <c r="N162" s="345">
        <f t="shared" si="51"/>
        <v>23151.745723587461</v>
      </c>
      <c r="P162" s="294"/>
      <c r="R162" s="243"/>
      <c r="S162" s="243"/>
    </row>
    <row r="163" spans="1:19">
      <c r="A163" s="605">
        <f t="shared" si="44"/>
        <v>149</v>
      </c>
      <c r="B163" s="294">
        <v>39600</v>
      </c>
      <c r="C163" s="4" t="s">
        <v>1453</v>
      </c>
      <c r="D163" s="709">
        <v>2382.9108519999995</v>
      </c>
      <c r="E163" s="248">
        <v>0</v>
      </c>
      <c r="F163" s="345">
        <f t="shared" si="45"/>
        <v>2382.9108519999995</v>
      </c>
      <c r="G163" s="708">
        <f t="shared" si="46"/>
        <v>1</v>
      </c>
      <c r="H163" s="360">
        <f t="shared" si="47"/>
        <v>0.49969999999999998</v>
      </c>
      <c r="I163" s="345">
        <f t="shared" si="48"/>
        <v>1190.7405527443998</v>
      </c>
      <c r="K163" s="709">
        <v>2076.3490755384619</v>
      </c>
      <c r="L163" s="708">
        <f t="shared" si="49"/>
        <v>1</v>
      </c>
      <c r="M163" s="360">
        <f t="shared" si="50"/>
        <v>0.49969999999999998</v>
      </c>
      <c r="N163" s="345">
        <f t="shared" si="51"/>
        <v>1037.5516330465693</v>
      </c>
      <c r="P163" s="294"/>
      <c r="R163" s="243"/>
      <c r="S163" s="243"/>
    </row>
    <row r="164" spans="1:19">
      <c r="A164" s="605">
        <f t="shared" si="44"/>
        <v>150</v>
      </c>
      <c r="B164" s="294">
        <v>39700</v>
      </c>
      <c r="C164" s="4" t="s">
        <v>1444</v>
      </c>
      <c r="D164" s="709">
        <v>-22066.73</v>
      </c>
      <c r="E164" s="248">
        <v>0</v>
      </c>
      <c r="F164" s="345">
        <f t="shared" si="45"/>
        <v>-22066.73</v>
      </c>
      <c r="G164" s="708">
        <f t="shared" si="46"/>
        <v>1</v>
      </c>
      <c r="H164" s="360">
        <f t="shared" si="47"/>
        <v>0.49969999999999998</v>
      </c>
      <c r="I164" s="345">
        <f t="shared" si="48"/>
        <v>-11026.744981</v>
      </c>
      <c r="K164" s="709">
        <v>-22066.730000000003</v>
      </c>
      <c r="L164" s="708">
        <f t="shared" si="49"/>
        <v>1</v>
      </c>
      <c r="M164" s="360">
        <f t="shared" si="50"/>
        <v>0.49969999999999998</v>
      </c>
      <c r="N164" s="345">
        <f t="shared" si="51"/>
        <v>-11026.744981000002</v>
      </c>
      <c r="P164" s="294"/>
      <c r="R164" s="243"/>
      <c r="S164" s="243"/>
    </row>
    <row r="165" spans="1:19">
      <c r="A165" s="605">
        <f t="shared" si="44"/>
        <v>151</v>
      </c>
      <c r="B165" s="294">
        <v>39701</v>
      </c>
      <c r="C165" s="4" t="s">
        <v>1405</v>
      </c>
      <c r="D165" s="709">
        <v>0</v>
      </c>
      <c r="E165" s="248">
        <v>0</v>
      </c>
      <c r="F165" s="345">
        <f t="shared" si="45"/>
        <v>0</v>
      </c>
      <c r="G165" s="708">
        <f t="shared" si="46"/>
        <v>1</v>
      </c>
      <c r="H165" s="360">
        <f t="shared" si="47"/>
        <v>0.49969999999999998</v>
      </c>
      <c r="I165" s="345">
        <f t="shared" si="48"/>
        <v>0</v>
      </c>
      <c r="K165" s="709">
        <v>0</v>
      </c>
      <c r="L165" s="708">
        <f t="shared" si="49"/>
        <v>1</v>
      </c>
      <c r="M165" s="360">
        <f t="shared" si="50"/>
        <v>0.49969999999999998</v>
      </c>
      <c r="N165" s="345">
        <f t="shared" si="51"/>
        <v>0</v>
      </c>
      <c r="P165" s="294"/>
      <c r="R165" s="243"/>
      <c r="S165" s="243"/>
    </row>
    <row r="166" spans="1:19">
      <c r="A166" s="605">
        <f t="shared" si="44"/>
        <v>152</v>
      </c>
      <c r="B166" s="382">
        <v>39702</v>
      </c>
      <c r="C166" s="4" t="s">
        <v>1405</v>
      </c>
      <c r="D166" s="709">
        <v>0</v>
      </c>
      <c r="E166" s="248">
        <v>0</v>
      </c>
      <c r="F166" s="345">
        <f t="shared" si="45"/>
        <v>0</v>
      </c>
      <c r="G166" s="708">
        <f t="shared" si="46"/>
        <v>1</v>
      </c>
      <c r="H166" s="360">
        <f t="shared" si="47"/>
        <v>0.49969999999999998</v>
      </c>
      <c r="I166" s="345">
        <f t="shared" si="48"/>
        <v>0</v>
      </c>
      <c r="K166" s="709">
        <v>0</v>
      </c>
      <c r="L166" s="708">
        <f t="shared" si="49"/>
        <v>1</v>
      </c>
      <c r="M166" s="360">
        <f t="shared" si="50"/>
        <v>0.49969999999999998</v>
      </c>
      <c r="N166" s="345">
        <f t="shared" si="51"/>
        <v>0</v>
      </c>
      <c r="P166" s="294"/>
      <c r="R166" s="243"/>
      <c r="S166" s="243"/>
    </row>
    <row r="167" spans="1:19">
      <c r="A167" s="605">
        <f t="shared" si="44"/>
        <v>153</v>
      </c>
      <c r="B167" s="382">
        <v>39800</v>
      </c>
      <c r="C167" s="4" t="s">
        <v>1446</v>
      </c>
      <c r="D167" s="709">
        <v>-126994.35</v>
      </c>
      <c r="E167" s="248">
        <v>0</v>
      </c>
      <c r="F167" s="345">
        <f t="shared" si="45"/>
        <v>-126994.35</v>
      </c>
      <c r="G167" s="708">
        <f t="shared" si="46"/>
        <v>1</v>
      </c>
      <c r="H167" s="360">
        <f t="shared" si="47"/>
        <v>0.49969999999999998</v>
      </c>
      <c r="I167" s="345">
        <f t="shared" si="48"/>
        <v>-63459.076695000003</v>
      </c>
      <c r="K167" s="709">
        <v>-126994.35000000002</v>
      </c>
      <c r="L167" s="708">
        <f t="shared" si="49"/>
        <v>1</v>
      </c>
      <c r="M167" s="360">
        <f t="shared" si="50"/>
        <v>0.49969999999999998</v>
      </c>
      <c r="N167" s="345">
        <f t="shared" si="51"/>
        <v>-63459.076695000011</v>
      </c>
      <c r="P167" s="294"/>
      <c r="R167" s="243"/>
      <c r="S167" s="243"/>
    </row>
    <row r="168" spans="1:19">
      <c r="A168" s="605">
        <f t="shared" si="44"/>
        <v>154</v>
      </c>
      <c r="B168" s="382">
        <v>39900</v>
      </c>
      <c r="C168" s="4" t="s">
        <v>1454</v>
      </c>
      <c r="D168" s="709">
        <v>0</v>
      </c>
      <c r="E168" s="248">
        <v>0</v>
      </c>
      <c r="F168" s="345">
        <f t="shared" si="45"/>
        <v>0</v>
      </c>
      <c r="G168" s="708">
        <f t="shared" si="46"/>
        <v>1</v>
      </c>
      <c r="H168" s="360">
        <f t="shared" si="47"/>
        <v>0.49969999999999998</v>
      </c>
      <c r="I168" s="345">
        <f t="shared" si="48"/>
        <v>0</v>
      </c>
      <c r="K168" s="709">
        <v>0</v>
      </c>
      <c r="L168" s="708">
        <f t="shared" si="49"/>
        <v>1</v>
      </c>
      <c r="M168" s="360">
        <f t="shared" si="50"/>
        <v>0.49969999999999998</v>
      </c>
      <c r="N168" s="345">
        <f t="shared" si="51"/>
        <v>0</v>
      </c>
      <c r="P168" s="294"/>
      <c r="R168" s="243"/>
      <c r="S168" s="243"/>
    </row>
    <row r="169" spans="1:19">
      <c r="A169" s="605">
        <f t="shared" si="44"/>
        <v>155</v>
      </c>
      <c r="B169" s="382">
        <v>39901</v>
      </c>
      <c r="C169" s="4" t="s">
        <v>1455</v>
      </c>
      <c r="D169" s="709">
        <v>0</v>
      </c>
      <c r="E169" s="248">
        <v>0</v>
      </c>
      <c r="F169" s="345">
        <f t="shared" si="45"/>
        <v>0</v>
      </c>
      <c r="G169" s="708">
        <f t="shared" si="46"/>
        <v>1</v>
      </c>
      <c r="H169" s="360">
        <f t="shared" si="47"/>
        <v>0.49969999999999998</v>
      </c>
      <c r="I169" s="345">
        <f t="shared" si="48"/>
        <v>0</v>
      </c>
      <c r="K169" s="709">
        <v>0</v>
      </c>
      <c r="L169" s="708">
        <f t="shared" si="49"/>
        <v>1</v>
      </c>
      <c r="M169" s="360">
        <f t="shared" si="50"/>
        <v>0.49969999999999998</v>
      </c>
      <c r="N169" s="345">
        <f t="shared" si="51"/>
        <v>0</v>
      </c>
      <c r="P169" s="294"/>
      <c r="R169" s="243"/>
      <c r="S169" s="243"/>
    </row>
    <row r="170" spans="1:19">
      <c r="A170" s="605">
        <f t="shared" si="44"/>
        <v>156</v>
      </c>
      <c r="B170" s="382">
        <v>39902</v>
      </c>
      <c r="C170" s="4" t="s">
        <v>1456</v>
      </c>
      <c r="D170" s="709">
        <v>0</v>
      </c>
      <c r="E170" s="248">
        <v>0</v>
      </c>
      <c r="F170" s="345">
        <f t="shared" si="45"/>
        <v>0</v>
      </c>
      <c r="G170" s="708">
        <f t="shared" si="46"/>
        <v>1</v>
      </c>
      <c r="H170" s="360">
        <f t="shared" si="47"/>
        <v>0.49969999999999998</v>
      </c>
      <c r="I170" s="345">
        <f t="shared" si="48"/>
        <v>0</v>
      </c>
      <c r="K170" s="709">
        <v>0</v>
      </c>
      <c r="L170" s="708">
        <f t="shared" si="49"/>
        <v>1</v>
      </c>
      <c r="M170" s="360">
        <f t="shared" si="50"/>
        <v>0.49969999999999998</v>
      </c>
      <c r="N170" s="345">
        <f t="shared" si="51"/>
        <v>0</v>
      </c>
      <c r="P170" s="294"/>
      <c r="R170" s="243"/>
      <c r="S170" s="243"/>
    </row>
    <row r="171" spans="1:19">
      <c r="A171" s="605">
        <f t="shared" si="44"/>
        <v>157</v>
      </c>
      <c r="B171" s="382">
        <v>39903</v>
      </c>
      <c r="C171" s="4" t="s">
        <v>1447</v>
      </c>
      <c r="D171" s="709">
        <v>17272.032000000007</v>
      </c>
      <c r="E171" s="248">
        <v>0</v>
      </c>
      <c r="F171" s="345">
        <f t="shared" ref="F171:F175" si="54">D171+E171</f>
        <v>17272.032000000007</v>
      </c>
      <c r="G171" s="708">
        <f t="shared" si="46"/>
        <v>1</v>
      </c>
      <c r="H171" s="360">
        <f t="shared" si="47"/>
        <v>0.49969999999999998</v>
      </c>
      <c r="I171" s="345">
        <f t="shared" si="48"/>
        <v>8630.834390400003</v>
      </c>
      <c r="K171" s="709">
        <v>15821.045153846158</v>
      </c>
      <c r="L171" s="708">
        <f t="shared" si="49"/>
        <v>1</v>
      </c>
      <c r="M171" s="360">
        <f t="shared" si="50"/>
        <v>0.49969999999999998</v>
      </c>
      <c r="N171" s="345">
        <f t="shared" si="51"/>
        <v>7905.7762633769253</v>
      </c>
      <c r="P171" s="294"/>
      <c r="R171" s="243"/>
      <c r="S171" s="243"/>
    </row>
    <row r="172" spans="1:19">
      <c r="A172" s="605">
        <f t="shared" si="44"/>
        <v>158</v>
      </c>
      <c r="B172" s="382">
        <v>39906</v>
      </c>
      <c r="C172" s="4" t="s">
        <v>1448</v>
      </c>
      <c r="D172" s="709">
        <v>0</v>
      </c>
      <c r="E172" s="248">
        <v>0</v>
      </c>
      <c r="F172" s="345">
        <f t="shared" si="54"/>
        <v>0</v>
      </c>
      <c r="G172" s="708">
        <f t="shared" si="46"/>
        <v>1</v>
      </c>
      <c r="H172" s="360">
        <f t="shared" si="47"/>
        <v>0.49969999999999998</v>
      </c>
      <c r="I172" s="345">
        <f t="shared" si="48"/>
        <v>0</v>
      </c>
      <c r="K172" s="709">
        <v>0</v>
      </c>
      <c r="L172" s="708">
        <f t="shared" si="49"/>
        <v>1</v>
      </c>
      <c r="M172" s="360">
        <f t="shared" si="50"/>
        <v>0.49969999999999998</v>
      </c>
      <c r="N172" s="345">
        <f t="shared" si="51"/>
        <v>0</v>
      </c>
      <c r="P172" s="294"/>
      <c r="R172" s="243"/>
      <c r="S172" s="243"/>
    </row>
    <row r="173" spans="1:19">
      <c r="A173" s="605">
        <f t="shared" si="44"/>
        <v>159</v>
      </c>
      <c r="B173" s="382">
        <v>39907</v>
      </c>
      <c r="C173" s="4" t="s">
        <v>1449</v>
      </c>
      <c r="D173" s="709">
        <v>43521.909999999989</v>
      </c>
      <c r="E173" s="248">
        <v>0</v>
      </c>
      <c r="F173" s="345">
        <f t="shared" si="54"/>
        <v>43521.909999999989</v>
      </c>
      <c r="G173" s="708">
        <f t="shared" si="46"/>
        <v>1</v>
      </c>
      <c r="H173" s="360">
        <f t="shared" si="47"/>
        <v>0.49969999999999998</v>
      </c>
      <c r="I173" s="345">
        <f t="shared" si="48"/>
        <v>21747.898426999993</v>
      </c>
      <c r="K173" s="709">
        <v>42769.279230769214</v>
      </c>
      <c r="L173" s="708">
        <f t="shared" si="49"/>
        <v>1</v>
      </c>
      <c r="M173" s="360">
        <f t="shared" si="50"/>
        <v>0.49969999999999998</v>
      </c>
      <c r="N173" s="345">
        <f t="shared" si="51"/>
        <v>21371.808831615377</v>
      </c>
      <c r="P173" s="294"/>
      <c r="R173" s="243"/>
      <c r="S173" s="243"/>
    </row>
    <row r="174" spans="1:19">
      <c r="A174" s="605">
        <f t="shared" si="44"/>
        <v>160</v>
      </c>
      <c r="B174" s="382">
        <v>39908</v>
      </c>
      <c r="C174" s="4" t="s">
        <v>1450</v>
      </c>
      <c r="D174" s="709">
        <v>0</v>
      </c>
      <c r="E174" s="248">
        <v>0</v>
      </c>
      <c r="F174" s="345">
        <f t="shared" si="54"/>
        <v>0</v>
      </c>
      <c r="G174" s="708">
        <f t="shared" si="46"/>
        <v>1</v>
      </c>
      <c r="H174" s="360">
        <f t="shared" si="47"/>
        <v>0.49969999999999998</v>
      </c>
      <c r="I174" s="345">
        <f t="shared" si="48"/>
        <v>0</v>
      </c>
      <c r="K174" s="709">
        <v>0</v>
      </c>
      <c r="L174" s="708">
        <f t="shared" si="49"/>
        <v>1</v>
      </c>
      <c r="M174" s="360">
        <f t="shared" si="50"/>
        <v>0.49969999999999998</v>
      </c>
      <c r="N174" s="345">
        <f t="shared" si="51"/>
        <v>0</v>
      </c>
      <c r="P174" s="294"/>
      <c r="R174" s="243"/>
      <c r="S174" s="243"/>
    </row>
    <row r="175" spans="1:19">
      <c r="A175" s="605">
        <f t="shared" si="44"/>
        <v>161</v>
      </c>
      <c r="B175" s="382" t="s">
        <v>1473</v>
      </c>
      <c r="C175" s="4" t="s">
        <v>1101</v>
      </c>
      <c r="D175" s="709">
        <v>52517.30000000001</v>
      </c>
      <c r="F175" s="345">
        <f t="shared" si="54"/>
        <v>52517.30000000001</v>
      </c>
      <c r="G175" s="708">
        <f t="shared" si="46"/>
        <v>1</v>
      </c>
      <c r="H175" s="360">
        <f t="shared" si="47"/>
        <v>0.49969999999999998</v>
      </c>
      <c r="I175" s="711">
        <f t="shared" si="48"/>
        <v>26242.894810000005</v>
      </c>
      <c r="K175" s="709">
        <v>52517.30000000001</v>
      </c>
      <c r="L175" s="708">
        <f t="shared" si="49"/>
        <v>1</v>
      </c>
      <c r="M175" s="360">
        <f t="shared" si="50"/>
        <v>0.49969999999999998</v>
      </c>
      <c r="N175" s="711">
        <f t="shared" si="51"/>
        <v>26242.894810000005</v>
      </c>
      <c r="R175" s="243"/>
      <c r="S175" s="243"/>
    </row>
    <row r="176" spans="1:19">
      <c r="A176" s="605">
        <f t="shared" si="44"/>
        <v>162</v>
      </c>
      <c r="B176" s="228"/>
      <c r="C176" s="4"/>
      <c r="D176" s="339"/>
      <c r="E176" s="339"/>
      <c r="F176" s="339"/>
      <c r="K176" s="559"/>
    </row>
    <row r="177" spans="1:19">
      <c r="A177" s="605">
        <f t="shared" si="44"/>
        <v>163</v>
      </c>
      <c r="B177" s="228"/>
      <c r="C177" s="4" t="s">
        <v>4</v>
      </c>
      <c r="D177" s="707">
        <f>SUM(D154:D175)</f>
        <v>189691.45246700008</v>
      </c>
      <c r="E177" s="707">
        <f>SUM(E154:E175)</f>
        <v>0</v>
      </c>
      <c r="F177" s="707">
        <f>SUM(F154:F175)</f>
        <v>189691.45246700008</v>
      </c>
      <c r="I177" s="707">
        <f>SUM(I154:I175)</f>
        <v>94788.818797759974</v>
      </c>
      <c r="K177" s="707">
        <f>SUM(K154:K175)</f>
        <v>185626.35835650002</v>
      </c>
      <c r="N177" s="707">
        <f>SUM(N154:N175)</f>
        <v>92757.491270743078</v>
      </c>
    </row>
    <row r="178" spans="1:19">
      <c r="A178" s="605">
        <f t="shared" si="44"/>
        <v>164</v>
      </c>
      <c r="B178" s="228"/>
      <c r="C178" s="4"/>
    </row>
    <row r="179" spans="1:19" ht="15.75" thickBot="1">
      <c r="A179" s="605">
        <f t="shared" si="44"/>
        <v>165</v>
      </c>
      <c r="B179" s="228"/>
      <c r="C179" s="98" t="s">
        <v>1254</v>
      </c>
      <c r="D179" s="712">
        <f>D126+D151+D177</f>
        <v>189691.45246700008</v>
      </c>
      <c r="E179" s="712">
        <f>E126+E151+E177</f>
        <v>0</v>
      </c>
      <c r="F179" s="712">
        <f>F126+F151+F177</f>
        <v>189691.45246700008</v>
      </c>
      <c r="I179" s="712">
        <f>I126+I151+I177</f>
        <v>94788.818797759974</v>
      </c>
      <c r="K179" s="712">
        <f>K126+K151+K177</f>
        <v>185626.35835650002</v>
      </c>
      <c r="N179" s="712">
        <f>N126+N151+N177</f>
        <v>92757.491270743078</v>
      </c>
    </row>
    <row r="180" spans="1:19" ht="15.75" thickTop="1">
      <c r="A180" s="605">
        <f t="shared" si="44"/>
        <v>166</v>
      </c>
      <c r="B180" s="545"/>
      <c r="D180" s="248"/>
      <c r="E180" s="189"/>
    </row>
    <row r="181" spans="1:19" ht="15.75">
      <c r="A181" s="605">
        <f t="shared" si="44"/>
        <v>167</v>
      </c>
      <c r="B181" s="550" t="s">
        <v>7</v>
      </c>
      <c r="D181" s="248"/>
      <c r="E181" s="189"/>
    </row>
    <row r="182" spans="1:19">
      <c r="A182" s="605">
        <f t="shared" si="44"/>
        <v>168</v>
      </c>
      <c r="D182" s="248"/>
    </row>
    <row r="183" spans="1:19">
      <c r="A183" s="605">
        <f t="shared" si="44"/>
        <v>169</v>
      </c>
      <c r="B183" s="228"/>
      <c r="C183" s="16" t="s">
        <v>292</v>
      </c>
      <c r="D183" s="248"/>
    </row>
    <row r="184" spans="1:19">
      <c r="A184" s="605">
        <f t="shared" si="44"/>
        <v>170</v>
      </c>
      <c r="B184" s="294">
        <v>39000</v>
      </c>
      <c r="C184" s="4" t="s">
        <v>1432</v>
      </c>
      <c r="D184" s="720">
        <v>1369503.3121520991</v>
      </c>
      <c r="E184" s="341">
        <v>0</v>
      </c>
      <c r="F184" s="707">
        <f t="shared" ref="F184:F222" si="55">D184+E184</f>
        <v>1369503.3121520991</v>
      </c>
      <c r="G184" s="684">
        <f>Allocation!$G$14</f>
        <v>9.1300000000000006E-2</v>
      </c>
      <c r="H184" s="684">
        <f>Allocation!$H$14</f>
        <v>0.49969999999999998</v>
      </c>
      <c r="I184" s="345">
        <f t="shared" ref="I184:I222" si="56">F184*G184*H184</f>
        <v>62480.315504023478</v>
      </c>
      <c r="K184" s="720">
        <v>1294851.6772014131</v>
      </c>
      <c r="L184" s="360">
        <f>G184</f>
        <v>9.1300000000000006E-2</v>
      </c>
      <c r="M184" s="360">
        <f t="shared" ref="M184:M222" si="57">H184</f>
        <v>0.49969999999999998</v>
      </c>
      <c r="N184" s="707">
        <f t="shared" ref="N184:N222" si="58">K184*L184*M184</f>
        <v>59074.513076805961</v>
      </c>
      <c r="P184" s="360"/>
      <c r="R184" s="243"/>
      <c r="S184" s="243"/>
    </row>
    <row r="185" spans="1:19">
      <c r="A185" s="605">
        <f t="shared" si="44"/>
        <v>171</v>
      </c>
      <c r="B185" s="294">
        <v>39005</v>
      </c>
      <c r="C185" s="4" t="s">
        <v>1457</v>
      </c>
      <c r="D185" s="709">
        <v>5789685.0418900028</v>
      </c>
      <c r="E185" s="341">
        <v>0</v>
      </c>
      <c r="F185" s="345">
        <f t="shared" si="55"/>
        <v>5789685.0418900028</v>
      </c>
      <c r="G185" s="267">
        <v>1</v>
      </c>
      <c r="H185" s="684">
        <f>Allocation!E20</f>
        <v>1.503839E-2</v>
      </c>
      <c r="I185" s="345">
        <f t="shared" ref="I185:I199" si="59">F185*G185*H185</f>
        <v>87067.541637108196</v>
      </c>
      <c r="K185" s="709">
        <v>5608831.5812780792</v>
      </c>
      <c r="L185" s="360">
        <f t="shared" ref="L185:L222" si="60">G185</f>
        <v>1</v>
      </c>
      <c r="M185" s="360">
        <f t="shared" ref="M185:M221" si="61">H185</f>
        <v>1.503839E-2</v>
      </c>
      <c r="N185" s="345">
        <f t="shared" si="58"/>
        <v>84347.796763576451</v>
      </c>
      <c r="P185" s="360"/>
      <c r="R185" s="243"/>
      <c r="S185" s="243"/>
    </row>
    <row r="186" spans="1:19">
      <c r="A186" s="605">
        <f t="shared" si="44"/>
        <v>172</v>
      </c>
      <c r="B186" s="294">
        <v>39009</v>
      </c>
      <c r="C186" s="4" t="s">
        <v>1436</v>
      </c>
      <c r="D186" s="709">
        <v>10396845.161311142</v>
      </c>
      <c r="E186" s="341">
        <v>0</v>
      </c>
      <c r="F186" s="345">
        <f t="shared" si="55"/>
        <v>10396845.161311142</v>
      </c>
      <c r="G186" s="684">
        <f>Allocation!$G$14</f>
        <v>9.1300000000000006E-2</v>
      </c>
      <c r="H186" s="684">
        <f>Allocation!$H$14</f>
        <v>0.49969999999999998</v>
      </c>
      <c r="I186" s="345">
        <f t="shared" si="59"/>
        <v>474331.21202488535</v>
      </c>
      <c r="K186" s="709">
        <v>10149389.677158991</v>
      </c>
      <c r="L186" s="360">
        <f t="shared" si="60"/>
        <v>9.1300000000000006E-2</v>
      </c>
      <c r="M186" s="360">
        <f t="shared" si="61"/>
        <v>0.49969999999999998</v>
      </c>
      <c r="N186" s="345">
        <f t="shared" si="58"/>
        <v>463041.64697905059</v>
      </c>
      <c r="P186" s="360"/>
      <c r="R186" s="243"/>
      <c r="S186" s="243"/>
    </row>
    <row r="187" spans="1:19">
      <c r="A187" s="605">
        <f t="shared" si="44"/>
        <v>173</v>
      </c>
      <c r="B187" s="294">
        <v>39020</v>
      </c>
      <c r="C187" s="4" t="s">
        <v>1409</v>
      </c>
      <c r="D187" s="709">
        <v>1983.2924619999997</v>
      </c>
      <c r="E187" s="341">
        <v>0</v>
      </c>
      <c r="F187" s="345">
        <f t="shared" si="55"/>
        <v>1983.2924619999997</v>
      </c>
      <c r="G187" s="267">
        <v>1</v>
      </c>
      <c r="H187" s="684">
        <f>Allocation!E22</f>
        <v>5.5924710000000002E-2</v>
      </c>
      <c r="I187" s="345">
        <f t="shared" si="59"/>
        <v>110.915055782536</v>
      </c>
      <c r="K187" s="709">
        <v>1667.6179705384616</v>
      </c>
      <c r="L187" s="360">
        <f t="shared" si="60"/>
        <v>1</v>
      </c>
      <c r="M187" s="360">
        <f t="shared" si="61"/>
        <v>5.5924710000000002E-2</v>
      </c>
      <c r="N187" s="345">
        <f t="shared" si="58"/>
        <v>93.261051393152016</v>
      </c>
      <c r="P187" s="360"/>
      <c r="R187" s="243"/>
      <c r="S187" s="243"/>
    </row>
    <row r="188" spans="1:19">
      <c r="A188" s="605">
        <f t="shared" si="44"/>
        <v>174</v>
      </c>
      <c r="B188" s="294">
        <v>39029</v>
      </c>
      <c r="C188" s="4" t="s">
        <v>1410</v>
      </c>
      <c r="D188" s="709">
        <v>16451.908463000007</v>
      </c>
      <c r="E188" s="341">
        <v>0</v>
      </c>
      <c r="F188" s="345">
        <f t="shared" si="55"/>
        <v>16451.908463000007</v>
      </c>
      <c r="G188" s="267">
        <v>1</v>
      </c>
      <c r="H188" s="684">
        <f>Allocation!E22</f>
        <v>5.5924710000000002E-2</v>
      </c>
      <c r="I188" s="345">
        <f t="shared" si="59"/>
        <v>920.06820973982121</v>
      </c>
      <c r="K188" s="709">
        <v>15103.897278500004</v>
      </c>
      <c r="L188" s="360">
        <f t="shared" si="60"/>
        <v>1</v>
      </c>
      <c r="M188" s="360">
        <f t="shared" si="61"/>
        <v>5.5924710000000002E-2</v>
      </c>
      <c r="N188" s="345">
        <f t="shared" si="58"/>
        <v>844.68107516990199</v>
      </c>
      <c r="P188" s="360"/>
      <c r="R188" s="243"/>
      <c r="S188" s="243"/>
    </row>
    <row r="189" spans="1:19">
      <c r="A189" s="605">
        <f t="shared" si="44"/>
        <v>175</v>
      </c>
      <c r="B189" s="294">
        <v>39100</v>
      </c>
      <c r="C189" s="4" t="s">
        <v>1437</v>
      </c>
      <c r="D189" s="709">
        <v>3598463.8373219697</v>
      </c>
      <c r="E189" s="341">
        <v>0</v>
      </c>
      <c r="F189" s="345">
        <f t="shared" si="55"/>
        <v>3598463.8373219697</v>
      </c>
      <c r="G189" s="684">
        <f>Allocation!$G$14</f>
        <v>9.1300000000000006E-2</v>
      </c>
      <c r="H189" s="684">
        <f>Allocation!$H$14</f>
        <v>0.49969999999999998</v>
      </c>
      <c r="I189" s="345">
        <f t="shared" si="59"/>
        <v>164171.31224924367</v>
      </c>
      <c r="K189" s="709">
        <v>3390686.4171291823</v>
      </c>
      <c r="L189" s="360">
        <f t="shared" si="60"/>
        <v>9.1300000000000006E-2</v>
      </c>
      <c r="M189" s="360">
        <f t="shared" si="61"/>
        <v>0.49969999999999998</v>
      </c>
      <c r="N189" s="345">
        <f t="shared" si="58"/>
        <v>154691.96404098201</v>
      </c>
      <c r="P189" s="360"/>
      <c r="R189" s="243"/>
      <c r="S189" s="243"/>
    </row>
    <row r="190" spans="1:19">
      <c r="A190" s="605">
        <f t="shared" si="44"/>
        <v>176</v>
      </c>
      <c r="B190" s="294">
        <v>39102</v>
      </c>
      <c r="C190" s="4" t="s">
        <v>1458</v>
      </c>
      <c r="D190" s="709">
        <v>1.26</v>
      </c>
      <c r="E190" s="341">
        <v>0</v>
      </c>
      <c r="F190" s="345">
        <f t="shared" si="55"/>
        <v>1.26</v>
      </c>
      <c r="G190" s="684">
        <f>Allocation!$G$14</f>
        <v>9.1300000000000006E-2</v>
      </c>
      <c r="H190" s="684">
        <f>Allocation!$H$14</f>
        <v>0.49969999999999998</v>
      </c>
      <c r="I190" s="345">
        <f t="shared" si="59"/>
        <v>5.7484488600000008E-2</v>
      </c>
      <c r="K190" s="709">
        <v>1.26</v>
      </c>
      <c r="L190" s="360">
        <f t="shared" si="60"/>
        <v>9.1300000000000006E-2</v>
      </c>
      <c r="M190" s="360">
        <f t="shared" si="61"/>
        <v>0.49969999999999998</v>
      </c>
      <c r="N190" s="345">
        <f t="shared" si="58"/>
        <v>5.7484488600000008E-2</v>
      </c>
      <c r="P190" s="360"/>
      <c r="R190" s="243"/>
      <c r="S190" s="243"/>
    </row>
    <row r="191" spans="1:19">
      <c r="A191" s="605">
        <f t="shared" si="44"/>
        <v>177</v>
      </c>
      <c r="B191" s="294">
        <v>39103</v>
      </c>
      <c r="C191" s="4" t="s">
        <v>1250</v>
      </c>
      <c r="D191" s="709">
        <v>0.45</v>
      </c>
      <c r="E191" s="341">
        <v>0</v>
      </c>
      <c r="F191" s="345">
        <f t="shared" si="55"/>
        <v>0.45</v>
      </c>
      <c r="G191" s="684">
        <f>Allocation!$G$14</f>
        <v>9.1300000000000006E-2</v>
      </c>
      <c r="H191" s="684">
        <f>Allocation!$H$14</f>
        <v>0.49969999999999998</v>
      </c>
      <c r="I191" s="345">
        <f t="shared" si="59"/>
        <v>2.0530174500000001E-2</v>
      </c>
      <c r="K191" s="709">
        <v>0.45000000000000012</v>
      </c>
      <c r="L191" s="360">
        <f t="shared" si="60"/>
        <v>9.1300000000000006E-2</v>
      </c>
      <c r="M191" s="360">
        <f t="shared" si="61"/>
        <v>0.49969999999999998</v>
      </c>
      <c r="N191" s="345">
        <f t="shared" si="58"/>
        <v>2.0530174500000008E-2</v>
      </c>
      <c r="P191" s="360"/>
      <c r="R191" s="243"/>
      <c r="S191" s="243"/>
    </row>
    <row r="192" spans="1:19">
      <c r="A192" s="605">
        <f t="shared" si="44"/>
        <v>178</v>
      </c>
      <c r="B192" s="294">
        <v>39104</v>
      </c>
      <c r="C192" s="4" t="s">
        <v>1459</v>
      </c>
      <c r="D192" s="709">
        <v>51906.093509999992</v>
      </c>
      <c r="E192" s="341">
        <v>0</v>
      </c>
      <c r="F192" s="345">
        <f t="shared" si="55"/>
        <v>51906.093509999992</v>
      </c>
      <c r="G192" s="360">
        <f>G185</f>
        <v>1</v>
      </c>
      <c r="H192" s="360">
        <f>H185</f>
        <v>1.503839E-2</v>
      </c>
      <c r="I192" s="345">
        <f t="shared" si="59"/>
        <v>780.58407757984878</v>
      </c>
      <c r="K192" s="709">
        <v>49635.570945000007</v>
      </c>
      <c r="L192" s="360">
        <f t="shared" si="60"/>
        <v>1</v>
      </c>
      <c r="M192" s="360">
        <f t="shared" si="61"/>
        <v>1.503839E-2</v>
      </c>
      <c r="N192" s="345">
        <f t="shared" si="58"/>
        <v>746.43907374357866</v>
      </c>
      <c r="P192" s="360"/>
      <c r="R192" s="243"/>
      <c r="S192" s="243"/>
    </row>
    <row r="193" spans="1:19">
      <c r="A193" s="605">
        <f t="shared" si="44"/>
        <v>179</v>
      </c>
      <c r="B193" s="294">
        <v>39120</v>
      </c>
      <c r="C193" s="4" t="s">
        <v>1411</v>
      </c>
      <c r="D193" s="709">
        <v>184288.17626000004</v>
      </c>
      <c r="E193" s="341">
        <v>0</v>
      </c>
      <c r="F193" s="345">
        <f t="shared" si="55"/>
        <v>184288.17626000004</v>
      </c>
      <c r="G193" s="267">
        <v>1</v>
      </c>
      <c r="H193" s="360">
        <f>H188</f>
        <v>5.5924710000000002E-2</v>
      </c>
      <c r="I193" s="345">
        <f t="shared" si="59"/>
        <v>10306.262813769386</v>
      </c>
      <c r="K193" s="709">
        <v>174893.8397623077</v>
      </c>
      <c r="L193" s="360">
        <f t="shared" si="60"/>
        <v>1</v>
      </c>
      <c r="M193" s="360">
        <f t="shared" si="61"/>
        <v>5.5924710000000002E-2</v>
      </c>
      <c r="N193" s="345">
        <f t="shared" si="58"/>
        <v>9780.8872694935271</v>
      </c>
      <c r="P193" s="360"/>
      <c r="R193" s="243"/>
      <c r="S193" s="243"/>
    </row>
    <row r="194" spans="1:19">
      <c r="A194" s="605">
        <f t="shared" si="44"/>
        <v>180</v>
      </c>
      <c r="B194" s="294">
        <v>39200</v>
      </c>
      <c r="C194" s="4" t="s">
        <v>1438</v>
      </c>
      <c r="D194" s="709">
        <v>212447.20665750001</v>
      </c>
      <c r="E194" s="341">
        <v>0</v>
      </c>
      <c r="F194" s="345">
        <f t="shared" si="55"/>
        <v>212447.20665750001</v>
      </c>
      <c r="G194" s="684">
        <f>Allocation!$G$14</f>
        <v>9.1300000000000006E-2</v>
      </c>
      <c r="H194" s="684">
        <f>Allocation!$H$14</f>
        <v>0.49969999999999998</v>
      </c>
      <c r="I194" s="345">
        <f t="shared" si="59"/>
        <v>9692.3960549245257</v>
      </c>
      <c r="K194" s="709">
        <v>203446.90256163463</v>
      </c>
      <c r="L194" s="360">
        <f t="shared" si="60"/>
        <v>9.1300000000000006E-2</v>
      </c>
      <c r="M194" s="360">
        <f t="shared" si="61"/>
        <v>0.49969999999999998</v>
      </c>
      <c r="N194" s="345">
        <f t="shared" si="58"/>
        <v>9281.7786912774591</v>
      </c>
      <c r="P194" s="360"/>
      <c r="R194" s="243"/>
      <c r="S194" s="243"/>
    </row>
    <row r="195" spans="1:19">
      <c r="A195" s="605">
        <f t="shared" si="44"/>
        <v>181</v>
      </c>
      <c r="B195" s="294">
        <v>39300</v>
      </c>
      <c r="C195" s="4" t="s">
        <v>1460</v>
      </c>
      <c r="D195" s="709">
        <v>0</v>
      </c>
      <c r="E195" s="341">
        <v>0</v>
      </c>
      <c r="F195" s="345">
        <f t="shared" si="55"/>
        <v>0</v>
      </c>
      <c r="G195" s="684">
        <f>Allocation!$G$14</f>
        <v>9.1300000000000006E-2</v>
      </c>
      <c r="H195" s="684">
        <f>Allocation!$H$14</f>
        <v>0.49969999999999998</v>
      </c>
      <c r="I195" s="345">
        <f t="shared" si="59"/>
        <v>0</v>
      </c>
      <c r="K195" s="709">
        <v>0</v>
      </c>
      <c r="L195" s="360">
        <f t="shared" si="60"/>
        <v>9.1300000000000006E-2</v>
      </c>
      <c r="M195" s="360">
        <f t="shared" si="61"/>
        <v>0.49969999999999998</v>
      </c>
      <c r="N195" s="345">
        <f t="shared" si="58"/>
        <v>0</v>
      </c>
      <c r="P195" s="360"/>
      <c r="R195" s="243"/>
      <c r="S195" s="243"/>
    </row>
    <row r="196" spans="1:19">
      <c r="A196" s="605">
        <f t="shared" si="44"/>
        <v>182</v>
      </c>
      <c r="B196" s="294">
        <v>39400</v>
      </c>
      <c r="C196" s="4" t="s">
        <v>1440</v>
      </c>
      <c r="D196" s="709">
        <v>24436.552236000003</v>
      </c>
      <c r="E196" s="341">
        <v>0</v>
      </c>
      <c r="F196" s="345">
        <f t="shared" si="55"/>
        <v>24436.552236000003</v>
      </c>
      <c r="G196" s="684">
        <f>Allocation!$G$14</f>
        <v>9.1300000000000006E-2</v>
      </c>
      <c r="H196" s="684">
        <f>Allocation!$H$14</f>
        <v>0.49969999999999998</v>
      </c>
      <c r="I196" s="345">
        <f t="shared" si="59"/>
        <v>1114.8592924076561</v>
      </c>
      <c r="K196" s="709">
        <v>39979.032525076924</v>
      </c>
      <c r="L196" s="360">
        <f t="shared" si="60"/>
        <v>9.1300000000000006E-2</v>
      </c>
      <c r="M196" s="360">
        <f t="shared" si="61"/>
        <v>0.49969999999999998</v>
      </c>
      <c r="N196" s="345">
        <f t="shared" si="58"/>
        <v>1823.9478090688997</v>
      </c>
      <c r="P196" s="360"/>
      <c r="R196" s="243"/>
      <c r="S196" s="243"/>
    </row>
    <row r="197" spans="1:19">
      <c r="A197" s="605">
        <f t="shared" si="44"/>
        <v>183</v>
      </c>
      <c r="B197" s="294">
        <v>39420</v>
      </c>
      <c r="C197" s="4" t="s">
        <v>1412</v>
      </c>
      <c r="D197" s="709">
        <v>388.07</v>
      </c>
      <c r="E197" s="341">
        <v>0</v>
      </c>
      <c r="F197" s="345">
        <f t="shared" si="55"/>
        <v>388.07</v>
      </c>
      <c r="G197" s="267">
        <v>1</v>
      </c>
      <c r="H197" s="360">
        <f>H188</f>
        <v>5.5924710000000002E-2</v>
      </c>
      <c r="I197" s="345">
        <f>F197*G197*H197</f>
        <v>21.7027022097</v>
      </c>
      <c r="K197" s="709">
        <v>388.07</v>
      </c>
      <c r="L197" s="360">
        <f t="shared" si="60"/>
        <v>1</v>
      </c>
      <c r="M197" s="360">
        <f t="shared" si="61"/>
        <v>5.5924710000000002E-2</v>
      </c>
      <c r="N197" s="345">
        <f t="shared" si="58"/>
        <v>21.7027022097</v>
      </c>
      <c r="P197" s="360"/>
      <c r="R197" s="243"/>
      <c r="S197" s="243"/>
    </row>
    <row r="198" spans="1:19">
      <c r="A198" s="605">
        <f t="shared" si="44"/>
        <v>184</v>
      </c>
      <c r="B198" s="294">
        <v>39500</v>
      </c>
      <c r="C198" s="4" t="s">
        <v>1461</v>
      </c>
      <c r="D198" s="709">
        <v>0</v>
      </c>
      <c r="E198" s="341">
        <v>0</v>
      </c>
      <c r="F198" s="345">
        <f t="shared" si="55"/>
        <v>0</v>
      </c>
      <c r="G198" s="684">
        <f>Allocation!$G$14</f>
        <v>9.1300000000000006E-2</v>
      </c>
      <c r="H198" s="684">
        <f>Allocation!$H$14</f>
        <v>0.49969999999999998</v>
      </c>
      <c r="I198" s="345">
        <f t="shared" si="59"/>
        <v>0</v>
      </c>
      <c r="K198" s="709">
        <v>0</v>
      </c>
      <c r="L198" s="360">
        <f t="shared" si="60"/>
        <v>9.1300000000000006E-2</v>
      </c>
      <c r="M198" s="360">
        <f t="shared" si="61"/>
        <v>0.49969999999999998</v>
      </c>
      <c r="N198" s="345">
        <f t="shared" si="58"/>
        <v>0</v>
      </c>
      <c r="P198" s="360"/>
      <c r="R198" s="243"/>
      <c r="S198" s="243"/>
    </row>
    <row r="199" spans="1:19">
      <c r="A199" s="605">
        <f t="shared" si="44"/>
        <v>185</v>
      </c>
      <c r="B199" s="294">
        <v>39700</v>
      </c>
      <c r="C199" s="4" t="s">
        <v>1444</v>
      </c>
      <c r="D199" s="709">
        <v>119245.05279228657</v>
      </c>
      <c r="E199" s="341">
        <v>0</v>
      </c>
      <c r="F199" s="345">
        <f t="shared" si="55"/>
        <v>119245.05279228657</v>
      </c>
      <c r="G199" s="684">
        <f>Allocation!$G$14</f>
        <v>9.1300000000000006E-2</v>
      </c>
      <c r="H199" s="684">
        <f>Allocation!$H$14</f>
        <v>0.49969999999999998</v>
      </c>
      <c r="I199" s="345">
        <f t="shared" si="59"/>
        <v>5440.2705379719018</v>
      </c>
      <c r="K199" s="709">
        <v>99915.60355605153</v>
      </c>
      <c r="L199" s="360">
        <f t="shared" si="60"/>
        <v>9.1300000000000006E-2</v>
      </c>
      <c r="M199" s="360">
        <f t="shared" si="61"/>
        <v>0.49969999999999998</v>
      </c>
      <c r="N199" s="345">
        <f t="shared" si="58"/>
        <v>4558.4106139523528</v>
      </c>
      <c r="P199" s="360"/>
      <c r="R199" s="243"/>
      <c r="S199" s="243"/>
    </row>
    <row r="200" spans="1:19">
      <c r="A200" s="605">
        <f t="shared" si="44"/>
        <v>186</v>
      </c>
      <c r="B200" s="294">
        <v>39720</v>
      </c>
      <c r="C200" s="4" t="s">
        <v>1413</v>
      </c>
      <c r="D200" s="709">
        <v>10796.604639999998</v>
      </c>
      <c r="E200" s="341">
        <v>0</v>
      </c>
      <c r="F200" s="345">
        <f t="shared" si="55"/>
        <v>10796.604639999998</v>
      </c>
      <c r="G200" s="267">
        <v>1</v>
      </c>
      <c r="H200" s="360">
        <f>H188</f>
        <v>5.5924710000000002E-2</v>
      </c>
      <c r="I200" s="345">
        <f t="shared" si="56"/>
        <v>603.7969834766543</v>
      </c>
      <c r="K200" s="709">
        <v>8502.1847107692283</v>
      </c>
      <c r="L200" s="360">
        <f t="shared" si="60"/>
        <v>1</v>
      </c>
      <c r="M200" s="360">
        <f t="shared" si="61"/>
        <v>5.5924710000000002E-2</v>
      </c>
      <c r="N200" s="345">
        <f t="shared" si="58"/>
        <v>475.482214316203</v>
      </c>
      <c r="P200" s="360"/>
      <c r="R200" s="243"/>
      <c r="S200" s="243"/>
    </row>
    <row r="201" spans="1:19">
      <c r="A201" s="605">
        <f t="shared" si="44"/>
        <v>187</v>
      </c>
      <c r="B201" s="294">
        <v>39800</v>
      </c>
      <c r="C201" s="4" t="s">
        <v>1446</v>
      </c>
      <c r="D201" s="709">
        <v>45620.451838000023</v>
      </c>
      <c r="E201" s="341">
        <v>0</v>
      </c>
      <c r="F201" s="345">
        <f t="shared" si="55"/>
        <v>45620.451838000023</v>
      </c>
      <c r="G201" s="360">
        <f>$G$184</f>
        <v>9.1300000000000006E-2</v>
      </c>
      <c r="H201" s="360">
        <f>$H$184</f>
        <v>0.49969999999999998</v>
      </c>
      <c r="I201" s="345">
        <f t="shared" si="56"/>
        <v>2081.3240822288585</v>
      </c>
      <c r="K201" s="709">
        <v>42276.527417923084</v>
      </c>
      <c r="L201" s="360">
        <f t="shared" si="60"/>
        <v>9.1300000000000006E-2</v>
      </c>
      <c r="M201" s="360">
        <f t="shared" si="61"/>
        <v>0.49969999999999998</v>
      </c>
      <c r="N201" s="345">
        <f t="shared" si="58"/>
        <v>1928.7655225422118</v>
      </c>
      <c r="P201" s="360"/>
      <c r="R201" s="243"/>
      <c r="S201" s="243"/>
    </row>
    <row r="202" spans="1:19">
      <c r="A202" s="605">
        <f t="shared" si="44"/>
        <v>188</v>
      </c>
      <c r="B202" s="294">
        <v>39820</v>
      </c>
      <c r="C202" s="4" t="s">
        <v>1414</v>
      </c>
      <c r="D202" s="709">
        <v>2796.9682640000015</v>
      </c>
      <c r="E202" s="341">
        <v>0</v>
      </c>
      <c r="F202" s="345">
        <f t="shared" si="55"/>
        <v>2796.9682640000015</v>
      </c>
      <c r="G202" s="267">
        <v>1</v>
      </c>
      <c r="H202" s="360">
        <f>H200</f>
        <v>5.5924710000000002E-2</v>
      </c>
      <c r="I202" s="345">
        <f t="shared" si="56"/>
        <v>156.41963904340352</v>
      </c>
      <c r="K202" s="709">
        <v>2470.2410710769236</v>
      </c>
      <c r="L202" s="360">
        <f t="shared" si="60"/>
        <v>1</v>
      </c>
      <c r="M202" s="360">
        <f t="shared" si="61"/>
        <v>5.5924710000000002E-2</v>
      </c>
      <c r="N202" s="345">
        <f t="shared" si="58"/>
        <v>138.14751553006636</v>
      </c>
      <c r="P202" s="360"/>
      <c r="R202" s="243"/>
      <c r="S202" s="243"/>
    </row>
    <row r="203" spans="1:19">
      <c r="A203" s="605">
        <f t="shared" si="44"/>
        <v>189</v>
      </c>
      <c r="B203" s="294">
        <v>39900</v>
      </c>
      <c r="C203" s="4" t="s">
        <v>1462</v>
      </c>
      <c r="D203" s="709">
        <v>-0.06</v>
      </c>
      <c r="E203" s="341">
        <v>0</v>
      </c>
      <c r="F203" s="345">
        <f t="shared" si="55"/>
        <v>-0.06</v>
      </c>
      <c r="G203" s="360">
        <f>$G$184</f>
        <v>9.1300000000000006E-2</v>
      </c>
      <c r="H203" s="360">
        <f>$H$184</f>
        <v>0.49969999999999998</v>
      </c>
      <c r="I203" s="345">
        <f t="shared" si="56"/>
        <v>-2.7373566E-3</v>
      </c>
      <c r="K203" s="709">
        <v>-6.0000000000000019E-2</v>
      </c>
      <c r="L203" s="360">
        <f t="shared" si="60"/>
        <v>9.1300000000000006E-2</v>
      </c>
      <c r="M203" s="360">
        <f t="shared" si="61"/>
        <v>0.49969999999999998</v>
      </c>
      <c r="N203" s="345">
        <f t="shared" si="58"/>
        <v>-2.7373566000000009E-3</v>
      </c>
      <c r="P203" s="360"/>
      <c r="R203" s="243"/>
      <c r="S203" s="243"/>
    </row>
    <row r="204" spans="1:19">
      <c r="A204" s="605">
        <f t="shared" si="44"/>
        <v>190</v>
      </c>
      <c r="B204" s="294">
        <v>39901</v>
      </c>
      <c r="C204" t="s">
        <v>1455</v>
      </c>
      <c r="D204" s="709">
        <v>5498639.1100308634</v>
      </c>
      <c r="E204" s="248">
        <v>0</v>
      </c>
      <c r="F204" s="345">
        <f t="shared" ref="F204" si="62">D204+E204</f>
        <v>5498639.1100308634</v>
      </c>
      <c r="G204" s="360">
        <f>$G$184</f>
        <v>9.1300000000000006E-2</v>
      </c>
      <c r="H204" s="360">
        <f>$H$199</f>
        <v>0.49969999999999998</v>
      </c>
      <c r="I204" s="345">
        <f t="shared" ref="I204" si="63">F204*G204*H204</f>
        <v>250862.26764768516</v>
      </c>
      <c r="K204" s="709">
        <v>3105505.0225580838</v>
      </c>
      <c r="L204" s="360">
        <f t="shared" si="60"/>
        <v>9.1300000000000006E-2</v>
      </c>
      <c r="M204" s="360">
        <f t="shared" si="61"/>
        <v>0.49969999999999998</v>
      </c>
      <c r="N204" s="345">
        <f t="shared" ref="N204" si="64">K204*L204*M204</f>
        <v>141681.24449720865</v>
      </c>
      <c r="P204" s="360"/>
      <c r="R204" s="243"/>
      <c r="S204" s="243"/>
    </row>
    <row r="205" spans="1:19">
      <c r="A205" s="605">
        <f t="shared" si="44"/>
        <v>191</v>
      </c>
      <c r="B205" s="294">
        <v>39902</v>
      </c>
      <c r="C205" s="4" t="s">
        <v>1456</v>
      </c>
      <c r="D205" s="709">
        <v>8393125.493798336</v>
      </c>
      <c r="E205" s="341">
        <v>0</v>
      </c>
      <c r="F205" s="345">
        <f t="shared" si="55"/>
        <v>8393125.493798336</v>
      </c>
      <c r="G205" s="360">
        <f t="shared" ref="G205:G223" si="65">$G$184</f>
        <v>9.1300000000000006E-2</v>
      </c>
      <c r="H205" s="360">
        <f t="shared" ref="H205:H223" si="66">$H$184</f>
        <v>0.49969999999999998</v>
      </c>
      <c r="I205" s="345">
        <f t="shared" si="56"/>
        <v>382916.29108461889</v>
      </c>
      <c r="K205" s="709">
        <v>7588658.9064231645</v>
      </c>
      <c r="L205" s="360">
        <f t="shared" si="60"/>
        <v>9.1300000000000006E-2</v>
      </c>
      <c r="M205" s="360">
        <f t="shared" si="61"/>
        <v>0.49969999999999998</v>
      </c>
      <c r="N205" s="345">
        <f t="shared" si="58"/>
        <v>346214.42571077053</v>
      </c>
      <c r="P205" s="360"/>
      <c r="R205" s="243"/>
      <c r="S205" s="243"/>
    </row>
    <row r="206" spans="1:19">
      <c r="A206" s="605">
        <f t="shared" si="44"/>
        <v>192</v>
      </c>
      <c r="B206" s="294">
        <v>39903</v>
      </c>
      <c r="C206" s="4" t="s">
        <v>1447</v>
      </c>
      <c r="D206" s="709">
        <v>1415268.9556887699</v>
      </c>
      <c r="E206" s="341">
        <v>0</v>
      </c>
      <c r="F206" s="345">
        <f t="shared" si="55"/>
        <v>1415268.9556887699</v>
      </c>
      <c r="G206" s="360">
        <f t="shared" si="65"/>
        <v>9.1300000000000006E-2</v>
      </c>
      <c r="H206" s="360">
        <f t="shared" si="66"/>
        <v>0.49969999999999998</v>
      </c>
      <c r="I206" s="345">
        <f t="shared" si="56"/>
        <v>64568.263610496033</v>
      </c>
      <c r="K206" s="709">
        <v>1179911.8277723382</v>
      </c>
      <c r="L206" s="360">
        <f t="shared" si="60"/>
        <v>9.1300000000000006E-2</v>
      </c>
      <c r="M206" s="360">
        <f t="shared" si="61"/>
        <v>0.49969999999999998</v>
      </c>
      <c r="N206" s="345">
        <f t="shared" si="58"/>
        <v>53830.657152844557</v>
      </c>
      <c r="P206" s="360"/>
      <c r="R206" s="243"/>
      <c r="S206" s="243"/>
    </row>
    <row r="207" spans="1:19">
      <c r="A207" s="605">
        <f t="shared" si="44"/>
        <v>193</v>
      </c>
      <c r="B207" s="294">
        <v>39904</v>
      </c>
      <c r="C207" s="4" t="s">
        <v>1463</v>
      </c>
      <c r="D207" s="709">
        <v>0</v>
      </c>
      <c r="E207" s="341">
        <v>0</v>
      </c>
      <c r="F207" s="345">
        <f t="shared" si="55"/>
        <v>0</v>
      </c>
      <c r="G207" s="360">
        <f t="shared" si="65"/>
        <v>9.1300000000000006E-2</v>
      </c>
      <c r="H207" s="360">
        <f t="shared" si="66"/>
        <v>0.49969999999999998</v>
      </c>
      <c r="I207" s="345">
        <f t="shared" si="56"/>
        <v>0</v>
      </c>
      <c r="K207" s="709">
        <v>0</v>
      </c>
      <c r="L207" s="360">
        <f t="shared" si="60"/>
        <v>9.1300000000000006E-2</v>
      </c>
      <c r="M207" s="360">
        <f t="shared" si="61"/>
        <v>0.49969999999999998</v>
      </c>
      <c r="N207" s="345">
        <f t="shared" si="58"/>
        <v>0</v>
      </c>
      <c r="P207" s="360"/>
      <c r="R207" s="243"/>
      <c r="S207" s="243"/>
    </row>
    <row r="208" spans="1:19">
      <c r="A208" s="605">
        <f t="shared" si="44"/>
        <v>194</v>
      </c>
      <c r="B208" s="294">
        <v>39905</v>
      </c>
      <c r="C208" s="4" t="s">
        <v>1464</v>
      </c>
      <c r="D208" s="709">
        <v>0</v>
      </c>
      <c r="E208" s="248">
        <v>0</v>
      </c>
      <c r="F208" s="345">
        <f t="shared" ref="F208" si="67">D208+E208</f>
        <v>0</v>
      </c>
      <c r="G208" s="360">
        <f t="shared" si="65"/>
        <v>9.1300000000000006E-2</v>
      </c>
      <c r="H208" s="360">
        <f t="shared" si="66"/>
        <v>0.49969999999999998</v>
      </c>
      <c r="I208" s="345">
        <f t="shared" ref="I208" si="68">F208*G208*H208</f>
        <v>0</v>
      </c>
      <c r="K208" s="709">
        <v>0</v>
      </c>
      <c r="L208" s="360">
        <f t="shared" si="60"/>
        <v>9.1300000000000006E-2</v>
      </c>
      <c r="M208" s="360">
        <f t="shared" si="61"/>
        <v>0.49969999999999998</v>
      </c>
      <c r="N208" s="345">
        <f t="shared" ref="N208" si="69">K208*L208*M208</f>
        <v>0</v>
      </c>
      <c r="P208" s="360"/>
      <c r="R208" s="243"/>
      <c r="S208" s="243"/>
    </row>
    <row r="209" spans="1:19">
      <c r="A209" s="605">
        <f t="shared" si="44"/>
        <v>195</v>
      </c>
      <c r="B209" s="382">
        <v>39906</v>
      </c>
      <c r="C209" s="4" t="s">
        <v>1448</v>
      </c>
      <c r="D209" s="709">
        <v>1180410.1874132669</v>
      </c>
      <c r="E209" s="341">
        <v>0</v>
      </c>
      <c r="F209" s="345">
        <f t="shared" si="55"/>
        <v>1180410.1874132669</v>
      </c>
      <c r="G209" s="360">
        <f t="shared" si="65"/>
        <v>9.1300000000000006E-2</v>
      </c>
      <c r="H209" s="360">
        <f t="shared" si="66"/>
        <v>0.49969999999999998</v>
      </c>
      <c r="I209" s="345">
        <f t="shared" si="56"/>
        <v>53853.393620382383</v>
      </c>
      <c r="K209" s="709">
        <v>800555.84669679718</v>
      </c>
      <c r="L209" s="360">
        <f t="shared" si="60"/>
        <v>9.1300000000000006E-2</v>
      </c>
      <c r="M209" s="360">
        <f t="shared" si="61"/>
        <v>0.49969999999999998</v>
      </c>
      <c r="N209" s="345">
        <f t="shared" si="58"/>
        <v>36523.44717706777</v>
      </c>
      <c r="P209" s="360"/>
      <c r="R209" s="243"/>
      <c r="S209" s="243"/>
    </row>
    <row r="210" spans="1:19">
      <c r="A210" s="605">
        <f t="shared" si="44"/>
        <v>196</v>
      </c>
      <c r="B210" s="382">
        <v>39907</v>
      </c>
      <c r="C210" s="4" t="s">
        <v>1449</v>
      </c>
      <c r="D210" s="709">
        <v>62619.487637499995</v>
      </c>
      <c r="E210" s="341">
        <v>0</v>
      </c>
      <c r="F210" s="345">
        <f t="shared" si="55"/>
        <v>62619.487637499995</v>
      </c>
      <c r="G210" s="360">
        <f t="shared" si="65"/>
        <v>9.1300000000000006E-2</v>
      </c>
      <c r="H210" s="360">
        <f t="shared" si="66"/>
        <v>0.49969999999999998</v>
      </c>
      <c r="I210" s="345">
        <f t="shared" si="56"/>
        <v>2856.864462885484</v>
      </c>
      <c r="K210" s="709">
        <v>58407.052440865387</v>
      </c>
      <c r="L210" s="360">
        <f t="shared" si="60"/>
        <v>9.1300000000000006E-2</v>
      </c>
      <c r="M210" s="360">
        <f t="shared" si="61"/>
        <v>0.49969999999999998</v>
      </c>
      <c r="N210" s="345">
        <f t="shared" si="58"/>
        <v>2664.6821747591493</v>
      </c>
      <c r="P210" s="360"/>
      <c r="R210" s="243"/>
      <c r="S210" s="243"/>
    </row>
    <row r="211" spans="1:19">
      <c r="A211" s="605">
        <f t="shared" si="44"/>
        <v>197</v>
      </c>
      <c r="B211" s="382">
        <v>39908</v>
      </c>
      <c r="C211" s="4" t="s">
        <v>1450</v>
      </c>
      <c r="D211" s="709">
        <v>62830179.348522395</v>
      </c>
      <c r="E211" s="341">
        <v>0</v>
      </c>
      <c r="F211" s="345">
        <f t="shared" si="55"/>
        <v>62830179.348522395</v>
      </c>
      <c r="G211" s="360">
        <f t="shared" si="65"/>
        <v>9.1300000000000006E-2</v>
      </c>
      <c r="H211" s="360">
        <f t="shared" si="66"/>
        <v>0.49969999999999998</v>
      </c>
      <c r="I211" s="345">
        <f t="shared" si="56"/>
        <v>2866476.7686476912</v>
      </c>
      <c r="K211" s="709">
        <v>59271506.048140854</v>
      </c>
      <c r="L211" s="360">
        <f t="shared" si="60"/>
        <v>9.1300000000000006E-2</v>
      </c>
      <c r="M211" s="360">
        <f t="shared" si="61"/>
        <v>0.49969999999999998</v>
      </c>
      <c r="N211" s="345">
        <f t="shared" si="58"/>
        <v>2704120.8045469713</v>
      </c>
      <c r="P211" s="360"/>
      <c r="R211" s="243"/>
      <c r="S211" s="243"/>
    </row>
    <row r="212" spans="1:19">
      <c r="A212" s="605">
        <f t="shared" ref="A212:A263" si="70">A211+1</f>
        <v>198</v>
      </c>
      <c r="B212" s="382">
        <v>39909</v>
      </c>
      <c r="C212" s="4" t="s">
        <v>1465</v>
      </c>
      <c r="D212" s="709">
        <v>0</v>
      </c>
      <c r="E212" s="341">
        <v>0</v>
      </c>
      <c r="F212" s="345">
        <f t="shared" si="55"/>
        <v>0</v>
      </c>
      <c r="G212" s="360">
        <f t="shared" si="65"/>
        <v>9.1300000000000006E-2</v>
      </c>
      <c r="H212" s="360">
        <f t="shared" si="66"/>
        <v>0.49969999999999998</v>
      </c>
      <c r="I212" s="345">
        <f t="shared" si="56"/>
        <v>0</v>
      </c>
      <c r="K212" s="709">
        <v>0</v>
      </c>
      <c r="L212" s="360">
        <f t="shared" si="60"/>
        <v>9.1300000000000006E-2</v>
      </c>
      <c r="M212" s="360">
        <f t="shared" si="61"/>
        <v>0.49969999999999998</v>
      </c>
      <c r="N212" s="345">
        <f t="shared" si="58"/>
        <v>0</v>
      </c>
      <c r="P212" s="360"/>
      <c r="R212" s="243"/>
      <c r="S212" s="243"/>
    </row>
    <row r="213" spans="1:19">
      <c r="A213" s="605">
        <f t="shared" si="70"/>
        <v>199</v>
      </c>
      <c r="B213" s="382">
        <v>39921</v>
      </c>
      <c r="C213" s="4" t="s">
        <v>1415</v>
      </c>
      <c r="D213" s="709">
        <v>1688324.1077489243</v>
      </c>
      <c r="E213" s="341">
        <v>0</v>
      </c>
      <c r="F213" s="345">
        <f t="shared" si="55"/>
        <v>1688324.1077489243</v>
      </c>
      <c r="G213" s="267">
        <v>1</v>
      </c>
      <c r="H213" s="360">
        <f>H187</f>
        <v>5.5924710000000002E-2</v>
      </c>
      <c r="I213" s="345">
        <f t="shared" si="56"/>
        <v>94419.036111867346</v>
      </c>
      <c r="K213" s="709">
        <v>1273227.8977713117</v>
      </c>
      <c r="L213" s="360">
        <f t="shared" si="60"/>
        <v>1</v>
      </c>
      <c r="M213" s="360">
        <f t="shared" si="61"/>
        <v>5.5924710000000002E-2</v>
      </c>
      <c r="N213" s="345">
        <f t="shared" si="58"/>
        <v>71204.900946770256</v>
      </c>
      <c r="P213" s="360"/>
      <c r="R213" s="243"/>
      <c r="S213" s="243"/>
    </row>
    <row r="214" spans="1:19">
      <c r="A214" s="605">
        <f t="shared" si="70"/>
        <v>200</v>
      </c>
      <c r="B214" s="382">
        <v>39922</v>
      </c>
      <c r="C214" s="4" t="s">
        <v>1416</v>
      </c>
      <c r="D214" s="709">
        <v>2879313.3057200015</v>
      </c>
      <c r="E214" s="341">
        <v>0</v>
      </c>
      <c r="F214" s="345">
        <f t="shared" si="55"/>
        <v>2879313.3057200015</v>
      </c>
      <c r="G214" s="267">
        <v>1</v>
      </c>
      <c r="H214" s="360">
        <f>H187</f>
        <v>5.5924710000000002E-2</v>
      </c>
      <c r="I214" s="345">
        <f t="shared" si="56"/>
        <v>161024.76162153244</v>
      </c>
      <c r="K214" s="709">
        <v>2600616.2826938471</v>
      </c>
      <c r="L214" s="360">
        <f t="shared" si="60"/>
        <v>1</v>
      </c>
      <c r="M214" s="360">
        <f t="shared" si="61"/>
        <v>5.5924710000000002E-2</v>
      </c>
      <c r="N214" s="345">
        <f t="shared" si="58"/>
        <v>145438.71143093143</v>
      </c>
      <c r="P214" s="360"/>
      <c r="R214" s="243"/>
      <c r="S214" s="243"/>
    </row>
    <row r="215" spans="1:19">
      <c r="A215" s="605">
        <f t="shared" si="70"/>
        <v>201</v>
      </c>
      <c r="B215" s="382">
        <v>39923</v>
      </c>
      <c r="C215" s="4" t="s">
        <v>1417</v>
      </c>
      <c r="D215" s="709">
        <v>144653.68846742992</v>
      </c>
      <c r="E215" s="341">
        <v>0</v>
      </c>
      <c r="F215" s="345">
        <f t="shared" si="55"/>
        <v>144653.68846742992</v>
      </c>
      <c r="G215" s="267">
        <v>1</v>
      </c>
      <c r="H215" s="360">
        <f>H187</f>
        <v>5.5924710000000002E-2</v>
      </c>
      <c r="I215" s="345">
        <f t="shared" si="56"/>
        <v>8089.715577971363</v>
      </c>
      <c r="K215" s="709">
        <v>110463.87422205192</v>
      </c>
      <c r="L215" s="360">
        <f t="shared" si="60"/>
        <v>1</v>
      </c>
      <c r="M215" s="360">
        <f t="shared" si="61"/>
        <v>5.5924710000000002E-2</v>
      </c>
      <c r="N215" s="345">
        <f t="shared" si="58"/>
        <v>6177.6601313447291</v>
      </c>
      <c r="P215" s="360"/>
      <c r="R215" s="243"/>
      <c r="S215" s="243"/>
    </row>
    <row r="216" spans="1:19">
      <c r="A216" s="605">
        <f t="shared" si="70"/>
        <v>202</v>
      </c>
      <c r="B216" s="382">
        <v>39924</v>
      </c>
      <c r="C216" s="4" t="s">
        <v>1311</v>
      </c>
      <c r="D216" s="709">
        <v>0</v>
      </c>
      <c r="E216" s="341">
        <v>0</v>
      </c>
      <c r="F216" s="345">
        <f t="shared" si="55"/>
        <v>0</v>
      </c>
      <c r="G216" s="360">
        <f t="shared" si="65"/>
        <v>9.1300000000000006E-2</v>
      </c>
      <c r="H216" s="360">
        <f t="shared" si="66"/>
        <v>0.49969999999999998</v>
      </c>
      <c r="I216" s="345">
        <f t="shared" si="56"/>
        <v>0</v>
      </c>
      <c r="K216" s="709">
        <v>0</v>
      </c>
      <c r="L216" s="360">
        <f t="shared" si="60"/>
        <v>9.1300000000000006E-2</v>
      </c>
      <c r="M216" s="360">
        <f t="shared" si="61"/>
        <v>0.49969999999999998</v>
      </c>
      <c r="N216" s="345">
        <f t="shared" si="58"/>
        <v>0</v>
      </c>
      <c r="P216" s="360"/>
      <c r="R216" s="243"/>
      <c r="S216" s="243"/>
    </row>
    <row r="217" spans="1:19">
      <c r="A217" s="605">
        <f t="shared" si="70"/>
        <v>203</v>
      </c>
      <c r="B217" s="382">
        <v>39926</v>
      </c>
      <c r="C217" s="4" t="s">
        <v>1426</v>
      </c>
      <c r="D217" s="709">
        <v>34385.838415999991</v>
      </c>
      <c r="E217" s="341">
        <v>0</v>
      </c>
      <c r="F217" s="345">
        <f t="shared" si="55"/>
        <v>34385.838415999991</v>
      </c>
      <c r="G217" s="267">
        <v>1</v>
      </c>
      <c r="H217" s="360">
        <f>H213</f>
        <v>5.5924710000000002E-2</v>
      </c>
      <c r="I217" s="345">
        <f t="shared" si="56"/>
        <v>1923.0180415216589</v>
      </c>
      <c r="K217" s="709">
        <v>21223.118419692306</v>
      </c>
      <c r="L217" s="360">
        <f t="shared" si="60"/>
        <v>1</v>
      </c>
      <c r="M217" s="360">
        <f t="shared" si="61"/>
        <v>5.5924710000000002E-2</v>
      </c>
      <c r="N217" s="345">
        <f t="shared" si="58"/>
        <v>1186.8967429169506</v>
      </c>
      <c r="P217" s="360"/>
      <c r="R217" s="243"/>
      <c r="S217" s="243"/>
    </row>
    <row r="218" spans="1:19">
      <c r="A218" s="605">
        <f t="shared" si="70"/>
        <v>204</v>
      </c>
      <c r="B218" s="382">
        <v>39928</v>
      </c>
      <c r="C218" s="4" t="s">
        <v>1427</v>
      </c>
      <c r="D218" s="709">
        <v>22167804.996012505</v>
      </c>
      <c r="E218" s="341">
        <v>0</v>
      </c>
      <c r="F218" s="345">
        <f t="shared" si="55"/>
        <v>22167804.996012505</v>
      </c>
      <c r="G218" s="267">
        <v>1</v>
      </c>
      <c r="H218" s="360">
        <f>H213</f>
        <v>5.5924710000000002E-2</v>
      </c>
      <c r="I218" s="345">
        <f t="shared" si="56"/>
        <v>1239728.0657385506</v>
      </c>
      <c r="K218" s="709">
        <v>21092569.063541826</v>
      </c>
      <c r="L218" s="360">
        <f t="shared" si="60"/>
        <v>1</v>
      </c>
      <c r="M218" s="360">
        <f t="shared" si="61"/>
        <v>5.5924710000000002E-2</v>
      </c>
      <c r="N218" s="345">
        <f t="shared" si="58"/>
        <v>1179595.8080335483</v>
      </c>
      <c r="P218" s="360"/>
      <c r="R218" s="243"/>
      <c r="S218" s="243"/>
    </row>
    <row r="219" spans="1:19">
      <c r="A219" s="605">
        <f t="shared" si="70"/>
        <v>205</v>
      </c>
      <c r="B219" s="382">
        <v>39931</v>
      </c>
      <c r="C219" s="4" t="s">
        <v>1428</v>
      </c>
      <c r="D219" s="709">
        <v>243549.45956499991</v>
      </c>
      <c r="E219" s="341">
        <v>0</v>
      </c>
      <c r="F219" s="345">
        <f t="shared" si="55"/>
        <v>243549.45956499991</v>
      </c>
      <c r="G219" s="267">
        <v>1</v>
      </c>
      <c r="H219" s="684">
        <f>Allocation!$E$23</f>
        <v>3.5999389999999999E-2</v>
      </c>
      <c r="I219" s="345">
        <f t="shared" si="56"/>
        <v>8767.6319791696624</v>
      </c>
      <c r="K219" s="709">
        <v>224672.00795980764</v>
      </c>
      <c r="L219" s="360">
        <f t="shared" si="60"/>
        <v>1</v>
      </c>
      <c r="M219" s="360">
        <f t="shared" si="61"/>
        <v>3.5999389999999999E-2</v>
      </c>
      <c r="N219" s="345">
        <f t="shared" si="58"/>
        <v>8088.0552366282191</v>
      </c>
      <c r="P219" s="360"/>
      <c r="R219" s="243"/>
      <c r="S219" s="243"/>
    </row>
    <row r="220" spans="1:19">
      <c r="A220" s="605">
        <f t="shared" si="70"/>
        <v>206</v>
      </c>
      <c r="B220" s="382">
        <v>39932</v>
      </c>
      <c r="C220" s="4" t="s">
        <v>1429</v>
      </c>
      <c r="D220" s="709">
        <v>450119.20782150008</v>
      </c>
      <c r="E220" s="341">
        <v>0</v>
      </c>
      <c r="F220" s="345">
        <f t="shared" si="55"/>
        <v>450119.20782150008</v>
      </c>
      <c r="G220" s="267">
        <v>1</v>
      </c>
      <c r="H220" s="684">
        <f>Allocation!$E$23</f>
        <v>3.5999389999999999E-2</v>
      </c>
      <c r="I220" s="345">
        <f t="shared" si="56"/>
        <v>16204.016908857231</v>
      </c>
      <c r="K220" s="709">
        <v>409061.50133655779</v>
      </c>
      <c r="L220" s="360">
        <f t="shared" si="60"/>
        <v>1</v>
      </c>
      <c r="M220" s="360">
        <f t="shared" si="61"/>
        <v>3.5999389999999999E-2</v>
      </c>
      <c r="N220" s="345">
        <f t="shared" si="58"/>
        <v>14725.964520600264</v>
      </c>
      <c r="P220" s="360"/>
      <c r="R220" s="243"/>
      <c r="S220" s="243"/>
    </row>
    <row r="221" spans="1:19">
      <c r="A221" s="605">
        <f t="shared" si="70"/>
        <v>207</v>
      </c>
      <c r="B221" s="382">
        <v>39938</v>
      </c>
      <c r="C221" s="4" t="s">
        <v>1430</v>
      </c>
      <c r="D221" s="709">
        <v>12249289.686180003</v>
      </c>
      <c r="E221" s="341">
        <v>0</v>
      </c>
      <c r="F221" s="345">
        <f t="shared" si="55"/>
        <v>12249289.686180003</v>
      </c>
      <c r="G221" s="267">
        <v>1</v>
      </c>
      <c r="H221" s="684">
        <f>Allocation!$E$23</f>
        <v>3.5999389999999999E-2</v>
      </c>
      <c r="I221" s="345">
        <f t="shared" si="56"/>
        <v>440966.95663577155</v>
      </c>
      <c r="K221" s="709">
        <v>11469284.522817692</v>
      </c>
      <c r="L221" s="360">
        <f t="shared" si="60"/>
        <v>1</v>
      </c>
      <c r="M221" s="360">
        <f t="shared" si="61"/>
        <v>3.5999389999999999E-2</v>
      </c>
      <c r="N221" s="345">
        <f t="shared" si="58"/>
        <v>412887.24655787798</v>
      </c>
      <c r="P221" s="360"/>
      <c r="R221" s="243"/>
      <c r="S221" s="243"/>
    </row>
    <row r="222" spans="1:19">
      <c r="A222" s="605">
        <f t="shared" si="70"/>
        <v>208</v>
      </c>
      <c r="B222" s="382" t="s">
        <v>1473</v>
      </c>
      <c r="C222" s="4" t="s">
        <v>1101</v>
      </c>
      <c r="D222" s="709">
        <v>0</v>
      </c>
      <c r="E222" s="1014">
        <v>0</v>
      </c>
      <c r="F222" s="345">
        <f t="shared" si="55"/>
        <v>0</v>
      </c>
      <c r="G222" s="360">
        <f t="shared" si="65"/>
        <v>9.1300000000000006E-2</v>
      </c>
      <c r="H222" s="360">
        <f t="shared" si="66"/>
        <v>0.49969999999999998</v>
      </c>
      <c r="I222" s="710">
        <f t="shared" si="56"/>
        <v>0</v>
      </c>
      <c r="K222" s="612">
        <v>0</v>
      </c>
      <c r="L222" s="721">
        <f t="shared" si="60"/>
        <v>9.1300000000000006E-2</v>
      </c>
      <c r="M222" s="721">
        <f t="shared" si="57"/>
        <v>0.49969999999999998</v>
      </c>
      <c r="N222" s="710">
        <f t="shared" si="58"/>
        <v>0</v>
      </c>
      <c r="P222" s="360"/>
      <c r="R222" s="243"/>
      <c r="S222" s="243"/>
    </row>
    <row r="223" spans="1:19">
      <c r="A223" s="605">
        <f t="shared" si="70"/>
        <v>209</v>
      </c>
      <c r="B223" s="382" t="s">
        <v>1618</v>
      </c>
      <c r="C223" s="4" t="s">
        <v>1621</v>
      </c>
      <c r="D223" s="709">
        <v>340244.57999999973</v>
      </c>
      <c r="E223" s="1014">
        <v>0</v>
      </c>
      <c r="F223" s="345">
        <f t="shared" ref="F223" si="71">D223+E223</f>
        <v>340244.57999999973</v>
      </c>
      <c r="G223" s="360">
        <f t="shared" si="65"/>
        <v>9.1300000000000006E-2</v>
      </c>
      <c r="H223" s="360">
        <f t="shared" si="66"/>
        <v>0.49969999999999998</v>
      </c>
      <c r="I223" s="711">
        <f t="shared" ref="I223" si="72">F223*G223*H223</f>
        <v>15522.845777953788</v>
      </c>
      <c r="K223" s="709">
        <v>433038.57999999984</v>
      </c>
      <c r="L223" s="360">
        <f t="shared" ref="L223" si="73">G223</f>
        <v>9.1300000000000006E-2</v>
      </c>
      <c r="M223" s="721">
        <f t="shared" ref="M223" si="74">H223</f>
        <v>0.49969999999999998</v>
      </c>
      <c r="N223" s="711">
        <f t="shared" ref="N223" si="75">K223*L223*M223</f>
        <v>19756.350250293792</v>
      </c>
      <c r="P223" s="360"/>
      <c r="R223" s="243"/>
      <c r="S223" s="243"/>
    </row>
    <row r="224" spans="1:19">
      <c r="A224" s="605">
        <f t="shared" si="70"/>
        <v>210</v>
      </c>
      <c r="B224" s="228"/>
      <c r="C224" s="4"/>
      <c r="D224" s="339"/>
      <c r="E224" s="339"/>
      <c r="F224" s="339"/>
      <c r="K224" s="339"/>
    </row>
    <row r="225" spans="1:19" ht="15.75" thickBot="1">
      <c r="A225" s="605">
        <f t="shared" si="70"/>
        <v>211</v>
      </c>
      <c r="B225" s="228"/>
      <c r="C225" s="98" t="s">
        <v>1252</v>
      </c>
      <c r="D225" s="715">
        <f>SUM(D184:D223)</f>
        <v>141402786.8328205</v>
      </c>
      <c r="E225" s="715">
        <f>SUM(E184:E223)</f>
        <v>0</v>
      </c>
      <c r="F225" s="715">
        <f>SUM(F184:F223)</f>
        <v>141402786.8328205</v>
      </c>
      <c r="I225" s="715">
        <f>SUM(I184:I223)</f>
        <v>6427458.9536086544</v>
      </c>
      <c r="K225" s="715">
        <f>SUM(K184:K223)</f>
        <v>130720742.04336144</v>
      </c>
      <c r="N225" s="715">
        <f>SUM(N184:N223)</f>
        <v>5934946.354786953</v>
      </c>
    </row>
    <row r="226" spans="1:19" ht="15.75" thickTop="1">
      <c r="A226" s="605">
        <f t="shared" si="70"/>
        <v>212</v>
      </c>
      <c r="B226" s="545"/>
      <c r="D226" s="248"/>
    </row>
    <row r="227" spans="1:19" ht="15.75">
      <c r="A227" s="605">
        <f t="shared" si="70"/>
        <v>213</v>
      </c>
      <c r="B227" s="550" t="s">
        <v>8</v>
      </c>
      <c r="D227" s="248"/>
    </row>
    <row r="228" spans="1:19">
      <c r="A228" s="605">
        <f t="shared" si="70"/>
        <v>214</v>
      </c>
      <c r="B228" s="545"/>
      <c r="D228" s="248"/>
    </row>
    <row r="229" spans="1:19">
      <c r="A229" s="605">
        <f t="shared" si="70"/>
        <v>215</v>
      </c>
      <c r="B229" s="228"/>
      <c r="C229" s="16" t="s">
        <v>292</v>
      </c>
      <c r="D229" s="248"/>
    </row>
    <row r="230" spans="1:19">
      <c r="A230" s="605">
        <f t="shared" si="70"/>
        <v>216</v>
      </c>
      <c r="B230" s="294">
        <v>38900</v>
      </c>
      <c r="C230" s="4" t="s">
        <v>1466</v>
      </c>
      <c r="D230" s="720">
        <v>0</v>
      </c>
      <c r="E230" s="203">
        <v>0</v>
      </c>
      <c r="F230" s="707">
        <f t="shared" ref="F230:F259" si="76">D230+E230</f>
        <v>0</v>
      </c>
      <c r="G230" s="684">
        <f>Allocation!$G$15</f>
        <v>0.109</v>
      </c>
      <c r="H230" s="684">
        <f>Allocation!$H$15</f>
        <v>0.49459999999999998</v>
      </c>
      <c r="I230" s="707">
        <f t="shared" ref="I230:I259" si="77">F230*G230*H230</f>
        <v>0</v>
      </c>
      <c r="K230" s="720">
        <v>0</v>
      </c>
      <c r="L230" s="360">
        <f t="shared" ref="L230:L259" si="78">G230</f>
        <v>0.109</v>
      </c>
      <c r="M230" s="360">
        <f t="shared" ref="M230:M259" si="79">H230</f>
        <v>0.49459999999999998</v>
      </c>
      <c r="N230" s="707">
        <f t="shared" ref="N230:N259" si="80">K230*L230*M230</f>
        <v>0</v>
      </c>
      <c r="P230" s="360"/>
      <c r="R230" s="243"/>
      <c r="S230" s="243"/>
    </row>
    <row r="231" spans="1:19">
      <c r="A231" s="605">
        <f t="shared" si="70"/>
        <v>217</v>
      </c>
      <c r="B231" s="294">
        <v>38910</v>
      </c>
      <c r="C231" s="4" t="s">
        <v>1467</v>
      </c>
      <c r="D231" s="709">
        <v>0</v>
      </c>
      <c r="E231" s="248">
        <v>0</v>
      </c>
      <c r="F231" s="345">
        <f t="shared" si="76"/>
        <v>0</v>
      </c>
      <c r="G231" s="267">
        <v>1</v>
      </c>
      <c r="H231" s="684">
        <f>Allocation!$I$21</f>
        <v>2.983098E-2</v>
      </c>
      <c r="I231" s="345">
        <f t="shared" si="77"/>
        <v>0</v>
      </c>
      <c r="K231" s="709">
        <v>0</v>
      </c>
      <c r="L231" s="360">
        <f t="shared" si="78"/>
        <v>1</v>
      </c>
      <c r="M231" s="360">
        <f t="shared" si="79"/>
        <v>2.983098E-2</v>
      </c>
      <c r="N231" s="345">
        <f t="shared" si="80"/>
        <v>0</v>
      </c>
      <c r="P231" s="360"/>
      <c r="R231" s="243"/>
      <c r="S231" s="243"/>
    </row>
    <row r="232" spans="1:19">
      <c r="A232" s="605">
        <f t="shared" si="70"/>
        <v>218</v>
      </c>
      <c r="B232" s="294">
        <v>39000</v>
      </c>
      <c r="C232" s="4" t="s">
        <v>1432</v>
      </c>
      <c r="D232" s="709">
        <v>4479651.0468293428</v>
      </c>
      <c r="E232" s="248">
        <v>0</v>
      </c>
      <c r="F232" s="345">
        <f t="shared" si="76"/>
        <v>4479651.0468293428</v>
      </c>
      <c r="G232" s="360">
        <f>$G$230</f>
        <v>0.109</v>
      </c>
      <c r="H232" s="360">
        <f>$H$230</f>
        <v>0.49459999999999998</v>
      </c>
      <c r="I232" s="345">
        <f t="shared" si="77"/>
        <v>241504.25944603543</v>
      </c>
      <c r="K232" s="709">
        <v>4306577.1366807912</v>
      </c>
      <c r="L232" s="360">
        <f t="shared" si="78"/>
        <v>0.109</v>
      </c>
      <c r="M232" s="360">
        <f t="shared" si="79"/>
        <v>0.49459999999999998</v>
      </c>
      <c r="N232" s="345">
        <f t="shared" si="80"/>
        <v>232173.60264645278</v>
      </c>
      <c r="P232" s="360"/>
      <c r="R232" s="243"/>
      <c r="S232" s="243"/>
    </row>
    <row r="233" spans="1:19">
      <c r="A233" s="605">
        <f t="shared" si="70"/>
        <v>219</v>
      </c>
      <c r="B233" s="294">
        <v>39009</v>
      </c>
      <c r="C233" s="4" t="s">
        <v>1436</v>
      </c>
      <c r="D233" s="709">
        <v>2428691.8904920002</v>
      </c>
      <c r="E233" s="248">
        <v>0</v>
      </c>
      <c r="F233" s="345">
        <f t="shared" si="76"/>
        <v>2428691.8904920002</v>
      </c>
      <c r="G233" s="360">
        <f>$G$230</f>
        <v>0.109</v>
      </c>
      <c r="H233" s="360">
        <f>$H$230</f>
        <v>0.49459999999999998</v>
      </c>
      <c r="I233" s="345">
        <f t="shared" si="77"/>
        <v>130934.17998507043</v>
      </c>
      <c r="K233" s="709">
        <v>2351867.8220555391</v>
      </c>
      <c r="L233" s="360">
        <f t="shared" ref="L233:L258" si="81">G233</f>
        <v>0.109</v>
      </c>
      <c r="M233" s="360">
        <f t="shared" ref="M233:M258" si="82">H233</f>
        <v>0.49459999999999998</v>
      </c>
      <c r="N233" s="345">
        <f t="shared" si="80"/>
        <v>126792.48690196499</v>
      </c>
      <c r="P233" s="360"/>
      <c r="R233" s="243"/>
      <c r="S233" s="243"/>
    </row>
    <row r="234" spans="1:19">
      <c r="A234" s="605">
        <f t="shared" si="70"/>
        <v>220</v>
      </c>
      <c r="B234" s="294">
        <v>39010</v>
      </c>
      <c r="C234" s="4" t="s">
        <v>1468</v>
      </c>
      <c r="D234" s="709">
        <v>5346504.7117729988</v>
      </c>
      <c r="E234" s="248">
        <v>0</v>
      </c>
      <c r="F234" s="345">
        <f t="shared" si="76"/>
        <v>5346504.7117729988</v>
      </c>
      <c r="G234" s="267">
        <v>1</v>
      </c>
      <c r="H234" s="684">
        <f>Allocation!$I$21</f>
        <v>2.983098E-2</v>
      </c>
      <c r="I234" s="345">
        <f t="shared" si="77"/>
        <v>159491.47512680609</v>
      </c>
      <c r="K234" s="709">
        <v>5183396.2427850384</v>
      </c>
      <c r="L234" s="360">
        <f t="shared" si="81"/>
        <v>1</v>
      </c>
      <c r="M234" s="360">
        <f t="shared" si="82"/>
        <v>2.983098E-2</v>
      </c>
      <c r="N234" s="345">
        <f t="shared" si="80"/>
        <v>154625.78965059563</v>
      </c>
      <c r="P234" s="360"/>
      <c r="R234" s="243"/>
      <c r="S234" s="243"/>
    </row>
    <row r="235" spans="1:19">
      <c r="A235" s="605">
        <f t="shared" si="70"/>
        <v>221</v>
      </c>
      <c r="B235" s="294">
        <v>39100</v>
      </c>
      <c r="C235" s="4" t="s">
        <v>1437</v>
      </c>
      <c r="D235" s="709">
        <v>1599647.9310299999</v>
      </c>
      <c r="E235" s="248">
        <v>0</v>
      </c>
      <c r="F235" s="345">
        <f t="shared" si="76"/>
        <v>1599647.9310299999</v>
      </c>
      <c r="G235" s="360">
        <f t="shared" ref="G235:G238" si="83">$G$230</f>
        <v>0.109</v>
      </c>
      <c r="H235" s="360">
        <f t="shared" ref="H235:H238" si="84">$H$230</f>
        <v>0.49459999999999998</v>
      </c>
      <c r="I235" s="345">
        <f t="shared" si="77"/>
        <v>86239.25946893073</v>
      </c>
      <c r="K235" s="709">
        <v>1516252.1952773076</v>
      </c>
      <c r="L235" s="360">
        <f t="shared" si="81"/>
        <v>0.109</v>
      </c>
      <c r="M235" s="360">
        <f t="shared" si="82"/>
        <v>0.49459999999999998</v>
      </c>
      <c r="N235" s="345">
        <f t="shared" si="80"/>
        <v>81743.278600473044</v>
      </c>
      <c r="P235" s="360"/>
      <c r="R235" s="243"/>
      <c r="S235" s="243"/>
    </row>
    <row r="236" spans="1:19">
      <c r="A236" s="605">
        <f t="shared" si="70"/>
        <v>222</v>
      </c>
      <c r="B236" s="294">
        <v>39101</v>
      </c>
      <c r="C236" s="4" t="s">
        <v>1408</v>
      </c>
      <c r="D236" s="709">
        <v>0</v>
      </c>
      <c r="E236" s="248">
        <v>0</v>
      </c>
      <c r="F236" s="345">
        <f t="shared" si="76"/>
        <v>0</v>
      </c>
      <c r="G236" s="360">
        <f t="shared" si="83"/>
        <v>0.109</v>
      </c>
      <c r="H236" s="360">
        <f t="shared" si="84"/>
        <v>0.49459999999999998</v>
      </c>
      <c r="I236" s="345">
        <f t="shared" si="77"/>
        <v>0</v>
      </c>
      <c r="K236" s="709">
        <v>0</v>
      </c>
      <c r="L236" s="360">
        <f t="shared" si="81"/>
        <v>0.109</v>
      </c>
      <c r="M236" s="360">
        <f t="shared" si="82"/>
        <v>0.49459999999999998</v>
      </c>
      <c r="N236" s="345">
        <f t="shared" si="80"/>
        <v>0</v>
      </c>
      <c r="P236" s="360"/>
      <c r="R236" s="243"/>
      <c r="S236" s="243"/>
    </row>
    <row r="237" spans="1:19">
      <c r="A237" s="605">
        <f t="shared" si="70"/>
        <v>223</v>
      </c>
      <c r="B237" s="294">
        <v>39102</v>
      </c>
      <c r="C237" s="4" t="s">
        <v>1418</v>
      </c>
      <c r="D237" s="709">
        <v>0</v>
      </c>
      <c r="E237" s="248">
        <v>0</v>
      </c>
      <c r="F237" s="345">
        <f t="shared" si="76"/>
        <v>0</v>
      </c>
      <c r="G237" s="360">
        <f t="shared" si="83"/>
        <v>0.109</v>
      </c>
      <c r="H237" s="360">
        <f t="shared" si="84"/>
        <v>0.49459999999999998</v>
      </c>
      <c r="I237" s="345">
        <f t="shared" si="77"/>
        <v>0</v>
      </c>
      <c r="K237" s="709">
        <v>0</v>
      </c>
      <c r="L237" s="360">
        <f t="shared" si="81"/>
        <v>0.109</v>
      </c>
      <c r="M237" s="360">
        <f t="shared" si="82"/>
        <v>0.49459999999999998</v>
      </c>
      <c r="N237" s="345">
        <f t="shared" si="80"/>
        <v>0</v>
      </c>
      <c r="P237" s="360"/>
      <c r="R237" s="243"/>
      <c r="S237" s="243"/>
    </row>
    <row r="238" spans="1:19">
      <c r="A238" s="605">
        <f t="shared" si="70"/>
        <v>224</v>
      </c>
      <c r="B238" s="294">
        <v>39103</v>
      </c>
      <c r="C238" s="4" t="s">
        <v>1250</v>
      </c>
      <c r="D238" s="709">
        <v>0</v>
      </c>
      <c r="E238" s="248">
        <v>0</v>
      </c>
      <c r="F238" s="345">
        <f t="shared" si="76"/>
        <v>0</v>
      </c>
      <c r="G238" s="360">
        <f t="shared" si="83"/>
        <v>0.109</v>
      </c>
      <c r="H238" s="360">
        <f t="shared" si="84"/>
        <v>0.49459999999999998</v>
      </c>
      <c r="I238" s="345">
        <f t="shared" si="77"/>
        <v>0</v>
      </c>
      <c r="K238" s="709">
        <v>0</v>
      </c>
      <c r="L238" s="360">
        <f t="shared" si="81"/>
        <v>0.109</v>
      </c>
      <c r="M238" s="360">
        <f t="shared" si="82"/>
        <v>0.49459999999999998</v>
      </c>
      <c r="N238" s="345">
        <f t="shared" si="80"/>
        <v>0</v>
      </c>
      <c r="P238" s="360"/>
      <c r="R238" s="243"/>
      <c r="S238" s="243"/>
    </row>
    <row r="239" spans="1:19">
      <c r="A239" s="605">
        <f t="shared" si="70"/>
        <v>225</v>
      </c>
      <c r="B239" s="294">
        <v>39110</v>
      </c>
      <c r="C239" s="4" t="s">
        <v>1419</v>
      </c>
      <c r="D239" s="709">
        <v>146287.95849786382</v>
      </c>
      <c r="E239" s="248">
        <v>0</v>
      </c>
      <c r="F239" s="345">
        <f t="shared" si="76"/>
        <v>146287.95849786382</v>
      </c>
      <c r="G239" s="267">
        <v>1</v>
      </c>
      <c r="H239" s="684">
        <f>Allocation!$I$21</f>
        <v>2.983098E-2</v>
      </c>
      <c r="I239" s="345">
        <f t="shared" si="77"/>
        <v>4363.9131641906051</v>
      </c>
      <c r="K239" s="709">
        <v>125683.08358714551</v>
      </c>
      <c r="L239" s="360">
        <f t="shared" si="81"/>
        <v>1</v>
      </c>
      <c r="M239" s="360">
        <f t="shared" si="82"/>
        <v>2.983098E-2</v>
      </c>
      <c r="N239" s="345">
        <f t="shared" si="80"/>
        <v>3749.2495528264658</v>
      </c>
      <c r="P239" s="360"/>
      <c r="R239" s="243"/>
      <c r="S239" s="243"/>
    </row>
    <row r="240" spans="1:19">
      <c r="A240" s="605">
        <f t="shared" si="70"/>
        <v>226</v>
      </c>
      <c r="B240" s="294">
        <v>39210</v>
      </c>
      <c r="C240" s="4" t="s">
        <v>1420</v>
      </c>
      <c r="D240" s="709">
        <v>75448.89</v>
      </c>
      <c r="E240" s="248">
        <v>0</v>
      </c>
      <c r="F240" s="345">
        <f t="shared" si="76"/>
        <v>75448.89</v>
      </c>
      <c r="G240" s="267">
        <v>1</v>
      </c>
      <c r="H240" s="684">
        <f>Allocation!$I$21</f>
        <v>2.983098E-2</v>
      </c>
      <c r="I240" s="345">
        <f t="shared" si="77"/>
        <v>2250.7143286122</v>
      </c>
      <c r="K240" s="709">
        <v>80358.920000000013</v>
      </c>
      <c r="L240" s="360">
        <f t="shared" si="81"/>
        <v>1</v>
      </c>
      <c r="M240" s="360">
        <f t="shared" si="82"/>
        <v>2.983098E-2</v>
      </c>
      <c r="N240" s="345">
        <f t="shared" si="80"/>
        <v>2397.1853353416004</v>
      </c>
      <c r="P240" s="360"/>
      <c r="R240" s="243"/>
      <c r="S240" s="243"/>
    </row>
    <row r="241" spans="1:19">
      <c r="A241" s="605">
        <f t="shared" si="70"/>
        <v>227</v>
      </c>
      <c r="B241" s="294">
        <v>39410</v>
      </c>
      <c r="C241" s="4" t="s">
        <v>1421</v>
      </c>
      <c r="D241" s="709">
        <v>288803.04984072619</v>
      </c>
      <c r="E241" s="248">
        <v>0</v>
      </c>
      <c r="F241" s="345">
        <f t="shared" si="76"/>
        <v>288803.04984072619</v>
      </c>
      <c r="G241" s="267">
        <v>1</v>
      </c>
      <c r="H241" s="684">
        <f>Allocation!$I$21</f>
        <v>2.983098E-2</v>
      </c>
      <c r="I241" s="345">
        <f t="shared" si="77"/>
        <v>8615.278003737707</v>
      </c>
      <c r="K241" s="709">
        <v>297769.68051696528</v>
      </c>
      <c r="L241" s="360">
        <f t="shared" si="81"/>
        <v>1</v>
      </c>
      <c r="M241" s="360">
        <f t="shared" si="82"/>
        <v>2.983098E-2</v>
      </c>
      <c r="N241" s="345">
        <f t="shared" si="80"/>
        <v>8882.7613841079801</v>
      </c>
      <c r="P241" s="360"/>
      <c r="R241" s="243"/>
      <c r="S241" s="243"/>
    </row>
    <row r="242" spans="1:19">
      <c r="A242" s="605">
        <f t="shared" si="70"/>
        <v>228</v>
      </c>
      <c r="B242" s="294">
        <v>39510</v>
      </c>
      <c r="C242" s="4" t="s">
        <v>1422</v>
      </c>
      <c r="D242" s="709">
        <v>125.2</v>
      </c>
      <c r="E242" s="248">
        <v>0</v>
      </c>
      <c r="F242" s="345">
        <f t="shared" si="76"/>
        <v>125.2</v>
      </c>
      <c r="G242" s="267">
        <v>1</v>
      </c>
      <c r="H242" s="684">
        <f>Allocation!$I$21</f>
        <v>2.983098E-2</v>
      </c>
      <c r="I242" s="345">
        <f t="shared" si="77"/>
        <v>3.7348386960000002</v>
      </c>
      <c r="K242" s="709">
        <v>125.20000000000003</v>
      </c>
      <c r="L242" s="360">
        <f t="shared" si="81"/>
        <v>1</v>
      </c>
      <c r="M242" s="360">
        <f t="shared" si="82"/>
        <v>2.983098E-2</v>
      </c>
      <c r="N242" s="345">
        <f t="shared" si="80"/>
        <v>3.7348386960000011</v>
      </c>
      <c r="P242" s="360"/>
      <c r="R242" s="243"/>
      <c r="S242" s="243"/>
    </row>
    <row r="243" spans="1:19">
      <c r="A243" s="605">
        <f t="shared" si="70"/>
        <v>229</v>
      </c>
      <c r="B243" s="294">
        <v>39700</v>
      </c>
      <c r="C243" s="4" t="s">
        <v>1444</v>
      </c>
      <c r="D243" s="709">
        <v>1748632.8648959999</v>
      </c>
      <c r="E243" s="248">
        <v>0</v>
      </c>
      <c r="F243" s="345">
        <f t="shared" si="76"/>
        <v>1748632.8648959999</v>
      </c>
      <c r="G243" s="360">
        <f t="shared" ref="G243" si="85">$G$230</f>
        <v>0.109</v>
      </c>
      <c r="H243" s="360">
        <f t="shared" ref="H243" si="86">$H$230</f>
        <v>0.49459999999999998</v>
      </c>
      <c r="I243" s="345">
        <f t="shared" si="77"/>
        <v>94271.245832554196</v>
      </c>
      <c r="K243" s="709">
        <v>1687313.5286258459</v>
      </c>
      <c r="L243" s="360">
        <f t="shared" si="81"/>
        <v>0.109</v>
      </c>
      <c r="M243" s="360">
        <f t="shared" si="82"/>
        <v>0.49459999999999998</v>
      </c>
      <c r="N243" s="345">
        <f t="shared" si="80"/>
        <v>90965.434567159435</v>
      </c>
      <c r="P243" s="360"/>
      <c r="R243" s="243"/>
      <c r="S243" s="243"/>
    </row>
    <row r="244" spans="1:19">
      <c r="A244" s="605">
        <f t="shared" si="70"/>
        <v>230</v>
      </c>
      <c r="B244" s="294">
        <v>39710</v>
      </c>
      <c r="C244" s="4" t="s">
        <v>1469</v>
      </c>
      <c r="D244" s="709">
        <v>-41011.805136000017</v>
      </c>
      <c r="E244" s="248">
        <v>0</v>
      </c>
      <c r="F244" s="345">
        <f t="shared" si="76"/>
        <v>-41011.805136000017</v>
      </c>
      <c r="G244" s="267">
        <v>1</v>
      </c>
      <c r="H244" s="684">
        <f>Allocation!$I$21</f>
        <v>2.983098E-2</v>
      </c>
      <c r="I244" s="345">
        <f t="shared" si="77"/>
        <v>-1223.4223387759139</v>
      </c>
      <c r="K244" s="709">
        <v>-44004.856382769234</v>
      </c>
      <c r="L244" s="360">
        <f t="shared" si="81"/>
        <v>1</v>
      </c>
      <c r="M244" s="360">
        <f t="shared" si="82"/>
        <v>2.983098E-2</v>
      </c>
      <c r="N244" s="345">
        <f t="shared" si="80"/>
        <v>-1312.7079906572615</v>
      </c>
      <c r="P244" s="360"/>
      <c r="R244" s="243"/>
      <c r="S244" s="243"/>
    </row>
    <row r="245" spans="1:19">
      <c r="A245" s="605">
        <f t="shared" si="70"/>
        <v>231</v>
      </c>
      <c r="B245" s="294">
        <v>39800</v>
      </c>
      <c r="C245" s="4" t="s">
        <v>1446</v>
      </c>
      <c r="D245" s="709">
        <v>32297.862486000005</v>
      </c>
      <c r="E245" s="248">
        <v>0</v>
      </c>
      <c r="F245" s="345">
        <f t="shared" si="76"/>
        <v>32297.862486000005</v>
      </c>
      <c r="G245" s="360">
        <f>$G$230</f>
        <v>0.109</v>
      </c>
      <c r="H245" s="360">
        <f>$H$230</f>
        <v>0.49459999999999998</v>
      </c>
      <c r="I245" s="345">
        <f t="shared" si="77"/>
        <v>1741.2229836277406</v>
      </c>
      <c r="K245" s="709">
        <v>28199.7806693077</v>
      </c>
      <c r="L245" s="360">
        <f t="shared" si="81"/>
        <v>0.109</v>
      </c>
      <c r="M245" s="360">
        <f t="shared" si="82"/>
        <v>0.49459999999999998</v>
      </c>
      <c r="N245" s="345">
        <f t="shared" ref="N245" si="87">K245*L245*M245</f>
        <v>1520.289655575315</v>
      </c>
      <c r="P245" s="360"/>
      <c r="R245" s="243"/>
      <c r="S245" s="243"/>
    </row>
    <row r="246" spans="1:19">
      <c r="A246" s="605">
        <f t="shared" si="70"/>
        <v>232</v>
      </c>
      <c r="B246" s="382">
        <v>39810</v>
      </c>
      <c r="C246" s="4" t="s">
        <v>1423</v>
      </c>
      <c r="D246" s="709">
        <v>228860.18012549976</v>
      </c>
      <c r="E246" s="248">
        <v>0</v>
      </c>
      <c r="F246" s="345">
        <f t="shared" si="76"/>
        <v>228860.18012549976</v>
      </c>
      <c r="G246" s="267">
        <v>1</v>
      </c>
      <c r="H246" s="684">
        <f>Allocation!$I$21</f>
        <v>2.983098E-2</v>
      </c>
      <c r="I246" s="345">
        <f t="shared" si="77"/>
        <v>6827.1234561201809</v>
      </c>
      <c r="K246" s="709">
        <v>209943.87738549305</v>
      </c>
      <c r="L246" s="360">
        <f t="shared" si="81"/>
        <v>1</v>
      </c>
      <c r="M246" s="360">
        <f t="shared" si="82"/>
        <v>2.983098E-2</v>
      </c>
      <c r="N246" s="345">
        <f t="shared" si="80"/>
        <v>6262.8316074090953</v>
      </c>
      <c r="P246" s="360"/>
      <c r="R246" s="243"/>
      <c r="S246" s="243"/>
    </row>
    <row r="247" spans="1:19">
      <c r="A247" s="605">
        <f t="shared" si="70"/>
        <v>233</v>
      </c>
      <c r="B247" s="382">
        <v>39900</v>
      </c>
      <c r="C247" s="4" t="s">
        <v>1454</v>
      </c>
      <c r="D247" s="709">
        <v>-154264.63</v>
      </c>
      <c r="E247" s="248">
        <v>0</v>
      </c>
      <c r="F247" s="345">
        <f t="shared" si="76"/>
        <v>-154264.63</v>
      </c>
      <c r="G247" s="360">
        <f t="shared" ref="G247:G253" si="88">$G$230</f>
        <v>0.109</v>
      </c>
      <c r="H247" s="360">
        <f t="shared" ref="H247:H253" si="89">$H$230</f>
        <v>0.49459999999999998</v>
      </c>
      <c r="I247" s="345">
        <f t="shared" si="77"/>
        <v>-8316.6221737820015</v>
      </c>
      <c r="K247" s="709">
        <v>-154264.62999999995</v>
      </c>
      <c r="L247" s="360">
        <f t="shared" si="81"/>
        <v>0.109</v>
      </c>
      <c r="M247" s="360">
        <f t="shared" si="82"/>
        <v>0.49459999999999998</v>
      </c>
      <c r="N247" s="345">
        <f t="shared" si="80"/>
        <v>-8316.6221737819978</v>
      </c>
      <c r="P247" s="360"/>
      <c r="R247" s="243"/>
      <c r="S247" s="243"/>
    </row>
    <row r="248" spans="1:19">
      <c r="A248" s="605">
        <f t="shared" si="70"/>
        <v>234</v>
      </c>
      <c r="B248" s="382">
        <v>39901</v>
      </c>
      <c r="C248" s="4" t="s">
        <v>1455</v>
      </c>
      <c r="D248" s="709">
        <v>3312894.2088100011</v>
      </c>
      <c r="E248" s="248">
        <v>0</v>
      </c>
      <c r="F248" s="345">
        <f t="shared" si="76"/>
        <v>3312894.2088100011</v>
      </c>
      <c r="G248" s="360">
        <f t="shared" si="88"/>
        <v>0.109</v>
      </c>
      <c r="H248" s="360">
        <f t="shared" si="89"/>
        <v>0.49459999999999998</v>
      </c>
      <c r="I248" s="345">
        <f t="shared" si="77"/>
        <v>178602.76484883949</v>
      </c>
      <c r="K248" s="709">
        <v>2933097.5596796158</v>
      </c>
      <c r="L248" s="360">
        <f t="shared" si="81"/>
        <v>0.109</v>
      </c>
      <c r="M248" s="360">
        <f t="shared" si="82"/>
        <v>0.49459999999999998</v>
      </c>
      <c r="N248" s="345">
        <f t="shared" si="80"/>
        <v>158127.39577891162</v>
      </c>
      <c r="P248" s="360"/>
      <c r="R248" s="243"/>
      <c r="S248" s="243"/>
    </row>
    <row r="249" spans="1:19">
      <c r="A249" s="605">
        <f t="shared" si="70"/>
        <v>235</v>
      </c>
      <c r="B249" s="382">
        <v>39902</v>
      </c>
      <c r="C249" s="4" t="s">
        <v>1456</v>
      </c>
      <c r="D249" s="709">
        <v>1836405.3487388333</v>
      </c>
      <c r="E249" s="248">
        <v>0</v>
      </c>
      <c r="F249" s="345">
        <f t="shared" si="76"/>
        <v>1836405.3487388333</v>
      </c>
      <c r="G249" s="360">
        <f t="shared" si="88"/>
        <v>0.109</v>
      </c>
      <c r="H249" s="360">
        <f t="shared" si="89"/>
        <v>0.49459999999999998</v>
      </c>
      <c r="I249" s="345">
        <f t="shared" si="77"/>
        <v>99003.18331799873</v>
      </c>
      <c r="K249" s="709">
        <v>1812646.9475433531</v>
      </c>
      <c r="L249" s="360">
        <f t="shared" si="81"/>
        <v>0.109</v>
      </c>
      <c r="M249" s="360">
        <f t="shared" si="82"/>
        <v>0.49459999999999998</v>
      </c>
      <c r="N249" s="345">
        <f t="shared" si="80"/>
        <v>97722.334647788724</v>
      </c>
      <c r="P249" s="360"/>
      <c r="R249" s="243"/>
      <c r="S249" s="243"/>
    </row>
    <row r="250" spans="1:19">
      <c r="A250" s="605">
        <f t="shared" si="70"/>
        <v>236</v>
      </c>
      <c r="B250" s="382">
        <v>39903</v>
      </c>
      <c r="C250" s="4" t="s">
        <v>1447</v>
      </c>
      <c r="D250" s="709">
        <v>274381.908627</v>
      </c>
      <c r="E250" s="248">
        <v>0</v>
      </c>
      <c r="F250" s="345">
        <f t="shared" si="76"/>
        <v>274381.908627</v>
      </c>
      <c r="G250" s="360">
        <f t="shared" si="88"/>
        <v>0.109</v>
      </c>
      <c r="H250" s="360">
        <f t="shared" si="89"/>
        <v>0.49459999999999998</v>
      </c>
      <c r="I250" s="345">
        <f t="shared" si="77"/>
        <v>14792.312828753647</v>
      </c>
      <c r="K250" s="709">
        <v>240991.45693803852</v>
      </c>
      <c r="L250" s="360">
        <f t="shared" si="81"/>
        <v>0.109</v>
      </c>
      <c r="M250" s="360">
        <f t="shared" si="82"/>
        <v>0.49459999999999998</v>
      </c>
      <c r="N250" s="345">
        <f t="shared" si="80"/>
        <v>12992.18683156937</v>
      </c>
      <c r="P250" s="360"/>
      <c r="R250" s="243"/>
      <c r="S250" s="243"/>
    </row>
    <row r="251" spans="1:19">
      <c r="A251" s="605">
        <f t="shared" si="70"/>
        <v>237</v>
      </c>
      <c r="B251" s="382">
        <v>39906</v>
      </c>
      <c r="C251" s="4" t="s">
        <v>1448</v>
      </c>
      <c r="D251" s="709">
        <v>338763.14126400003</v>
      </c>
      <c r="E251" s="248">
        <v>0</v>
      </c>
      <c r="F251" s="345">
        <f t="shared" si="76"/>
        <v>338763.14126400003</v>
      </c>
      <c r="G251" s="360">
        <f t="shared" si="88"/>
        <v>0.109</v>
      </c>
      <c r="H251" s="360">
        <f t="shared" si="89"/>
        <v>0.49459999999999998</v>
      </c>
      <c r="I251" s="345">
        <f t="shared" si="77"/>
        <v>18263.195213940013</v>
      </c>
      <c r="K251" s="709">
        <v>205307.84995569231</v>
      </c>
      <c r="L251" s="360">
        <f t="shared" si="81"/>
        <v>0.109</v>
      </c>
      <c r="M251" s="360">
        <f t="shared" si="82"/>
        <v>0.49459999999999998</v>
      </c>
      <c r="N251" s="345">
        <f t="shared" si="80"/>
        <v>11068.433622101309</v>
      </c>
      <c r="P251" s="360"/>
      <c r="R251" s="243"/>
      <c r="S251" s="243"/>
    </row>
    <row r="252" spans="1:19">
      <c r="A252" s="605">
        <f t="shared" si="70"/>
        <v>238</v>
      </c>
      <c r="B252" s="382">
        <v>39907</v>
      </c>
      <c r="C252" s="4" t="s">
        <v>1449</v>
      </c>
      <c r="D252" s="709">
        <v>-57199.47</v>
      </c>
      <c r="E252" s="248">
        <v>0</v>
      </c>
      <c r="F252" s="345">
        <f t="shared" si="76"/>
        <v>-57199.47</v>
      </c>
      <c r="G252" s="360">
        <f t="shared" si="88"/>
        <v>0.109</v>
      </c>
      <c r="H252" s="360">
        <f t="shared" si="89"/>
        <v>0.49459999999999998</v>
      </c>
      <c r="I252" s="345">
        <f t="shared" si="77"/>
        <v>-3083.7035069579997</v>
      </c>
      <c r="K252" s="709">
        <v>-57199.469999999979</v>
      </c>
      <c r="L252" s="360">
        <f t="shared" si="81"/>
        <v>0.109</v>
      </c>
      <c r="M252" s="360">
        <f t="shared" si="82"/>
        <v>0.49459999999999998</v>
      </c>
      <c r="N252" s="345">
        <f t="shared" si="80"/>
        <v>-3083.7035069579988</v>
      </c>
      <c r="P252" s="360"/>
      <c r="R252" s="243"/>
      <c r="S252" s="243"/>
    </row>
    <row r="253" spans="1:19">
      <c r="A253" s="605">
        <f t="shared" si="70"/>
        <v>239</v>
      </c>
      <c r="B253" s="382">
        <v>39908</v>
      </c>
      <c r="C253" s="4" t="s">
        <v>1450</v>
      </c>
      <c r="D253" s="709">
        <v>71436832.443525702</v>
      </c>
      <c r="E253" s="248">
        <v>0</v>
      </c>
      <c r="F253" s="345">
        <f t="shared" si="76"/>
        <v>71436832.443525702</v>
      </c>
      <c r="G253" s="360">
        <f t="shared" si="88"/>
        <v>0.109</v>
      </c>
      <c r="H253" s="360">
        <f t="shared" si="89"/>
        <v>0.49459999999999998</v>
      </c>
      <c r="I253" s="345">
        <f t="shared" si="77"/>
        <v>3851259.6485958914</v>
      </c>
      <c r="K253" s="709">
        <v>67648849.561624452</v>
      </c>
      <c r="L253" s="360">
        <f t="shared" si="81"/>
        <v>0.109</v>
      </c>
      <c r="M253" s="360">
        <f t="shared" si="82"/>
        <v>0.49459999999999998</v>
      </c>
      <c r="N253" s="345">
        <f t="shared" si="80"/>
        <v>3647044.1882565604</v>
      </c>
      <c r="P253" s="360"/>
      <c r="R253" s="243"/>
      <c r="S253" s="243"/>
    </row>
    <row r="254" spans="1:19">
      <c r="A254" s="605">
        <f t="shared" si="70"/>
        <v>240</v>
      </c>
      <c r="B254" s="382">
        <v>39910</v>
      </c>
      <c r="C254" s="4" t="s">
        <v>1470</v>
      </c>
      <c r="D254" s="709">
        <v>171687.58938467762</v>
      </c>
      <c r="E254" s="248">
        <v>0</v>
      </c>
      <c r="F254" s="345">
        <f t="shared" si="76"/>
        <v>171687.58938467762</v>
      </c>
      <c r="G254" s="267">
        <v>1</v>
      </c>
      <c r="H254" s="360">
        <f>$H$231</f>
        <v>2.983098E-2</v>
      </c>
      <c r="I254" s="345">
        <f t="shared" si="77"/>
        <v>5121.6090451825303</v>
      </c>
      <c r="K254" s="709">
        <v>156967.65664798091</v>
      </c>
      <c r="L254" s="360">
        <f t="shared" si="81"/>
        <v>1</v>
      </c>
      <c r="M254" s="360">
        <f t="shared" si="82"/>
        <v>2.983098E-2</v>
      </c>
      <c r="N254" s="345">
        <f t="shared" si="80"/>
        <v>4682.4990261127859</v>
      </c>
      <c r="P254" s="360"/>
      <c r="R254" s="243"/>
      <c r="S254" s="243"/>
    </row>
    <row r="255" spans="1:19">
      <c r="A255" s="605">
        <f t="shared" si="70"/>
        <v>241</v>
      </c>
      <c r="B255" s="382">
        <v>39916</v>
      </c>
      <c r="C255" s="4" t="s">
        <v>1471</v>
      </c>
      <c r="D255" s="709">
        <v>81609.345312000005</v>
      </c>
      <c r="E255" s="248">
        <v>0</v>
      </c>
      <c r="F255" s="345">
        <f t="shared" si="76"/>
        <v>81609.345312000005</v>
      </c>
      <c r="G255" s="267">
        <v>1</v>
      </c>
      <c r="H255" s="360">
        <f>$H$231</f>
        <v>2.983098E-2</v>
      </c>
      <c r="I255" s="345">
        <f t="shared" si="77"/>
        <v>2434.486747815366</v>
      </c>
      <c r="K255" s="709">
        <v>72378.290660923099</v>
      </c>
      <c r="L255" s="360">
        <f t="shared" si="81"/>
        <v>1</v>
      </c>
      <c r="M255" s="360">
        <f t="shared" si="82"/>
        <v>2.983098E-2</v>
      </c>
      <c r="N255" s="345">
        <f t="shared" si="80"/>
        <v>2159.1153411401838</v>
      </c>
      <c r="P255" s="360"/>
      <c r="R255" s="243"/>
      <c r="S255" s="243"/>
    </row>
    <row r="256" spans="1:19">
      <c r="A256" s="605">
        <f t="shared" si="70"/>
        <v>242</v>
      </c>
      <c r="B256" s="382">
        <v>39917</v>
      </c>
      <c r="C256" s="4" t="s">
        <v>1472</v>
      </c>
      <c r="D256" s="709">
        <v>-26854.246599999999</v>
      </c>
      <c r="E256" s="248">
        <v>0</v>
      </c>
      <c r="F256" s="345">
        <f t="shared" si="76"/>
        <v>-26854.246599999999</v>
      </c>
      <c r="G256" s="267">
        <v>1</v>
      </c>
      <c r="H256" s="360">
        <f>$H$231</f>
        <v>2.983098E-2</v>
      </c>
      <c r="I256" s="345">
        <f t="shared" si="77"/>
        <v>-801.08849323966797</v>
      </c>
      <c r="K256" s="709">
        <v>-27016.293700000002</v>
      </c>
      <c r="L256" s="360">
        <f t="shared" si="81"/>
        <v>1</v>
      </c>
      <c r="M256" s="360">
        <f t="shared" si="82"/>
        <v>2.983098E-2</v>
      </c>
      <c r="N256" s="345">
        <f t="shared" si="80"/>
        <v>-805.92251703882607</v>
      </c>
      <c r="P256" s="360"/>
      <c r="R256" s="243"/>
      <c r="S256" s="243"/>
    </row>
    <row r="257" spans="1:19">
      <c r="A257" s="605">
        <f t="shared" si="70"/>
        <v>243</v>
      </c>
      <c r="B257" s="382">
        <v>39918</v>
      </c>
      <c r="C257" s="4" t="s">
        <v>1424</v>
      </c>
      <c r="D257" s="709">
        <v>-9966.41</v>
      </c>
      <c r="E257" s="248">
        <v>0</v>
      </c>
      <c r="F257" s="345">
        <f t="shared" ref="F257:F258" si="90">D257+E257</f>
        <v>-9966.41</v>
      </c>
      <c r="G257" s="267">
        <v>1</v>
      </c>
      <c r="H257" s="360">
        <f>$H$231</f>
        <v>2.983098E-2</v>
      </c>
      <c r="I257" s="345">
        <f t="shared" ref="I257:I258" si="91">F257*G257*H257</f>
        <v>-297.30777738180001</v>
      </c>
      <c r="K257" s="709">
        <v>-9966.4100000000017</v>
      </c>
      <c r="L257" s="360">
        <f t="shared" si="81"/>
        <v>1</v>
      </c>
      <c r="M257" s="360">
        <f t="shared" si="82"/>
        <v>2.983098E-2</v>
      </c>
      <c r="N257" s="345">
        <f t="shared" ref="N257:N258" si="92">K257*L257*M257</f>
        <v>-297.30777738180007</v>
      </c>
      <c r="P257" s="360"/>
      <c r="R257" s="243"/>
      <c r="S257" s="243"/>
    </row>
    <row r="258" spans="1:19">
      <c r="A258" s="605">
        <f t="shared" si="70"/>
        <v>244</v>
      </c>
      <c r="B258" s="382">
        <v>39924</v>
      </c>
      <c r="C258" s="4" t="s">
        <v>1425</v>
      </c>
      <c r="D258" s="709">
        <v>0</v>
      </c>
      <c r="E258" s="248">
        <v>0</v>
      </c>
      <c r="F258" s="345">
        <f t="shared" si="90"/>
        <v>0</v>
      </c>
      <c r="G258" s="360">
        <f t="shared" ref="G258" si="93">$G$230</f>
        <v>0.109</v>
      </c>
      <c r="H258" s="360">
        <f t="shared" ref="H258" si="94">$H$230</f>
        <v>0.49459999999999998</v>
      </c>
      <c r="I258" s="345">
        <f t="shared" si="91"/>
        <v>0</v>
      </c>
      <c r="K258" s="709">
        <v>0</v>
      </c>
      <c r="L258" s="360">
        <f t="shared" si="81"/>
        <v>0.109</v>
      </c>
      <c r="M258" s="360">
        <f t="shared" si="82"/>
        <v>0.49459999999999998</v>
      </c>
      <c r="N258" s="345">
        <f t="shared" si="92"/>
        <v>0</v>
      </c>
      <c r="P258" s="360"/>
      <c r="R258" s="243"/>
      <c r="S258" s="243"/>
    </row>
    <row r="259" spans="1:19">
      <c r="A259" s="605">
        <f t="shared" si="70"/>
        <v>245</v>
      </c>
      <c r="B259" s="382" t="s">
        <v>1473</v>
      </c>
      <c r="C259" s="4" t="s">
        <v>1101</v>
      </c>
      <c r="D259" s="709">
        <v>0</v>
      </c>
      <c r="E259" s="221">
        <v>0</v>
      </c>
      <c r="F259" s="345">
        <f t="shared" si="76"/>
        <v>0</v>
      </c>
      <c r="G259" s="360">
        <f>$G$230</f>
        <v>0.109</v>
      </c>
      <c r="H259" s="360">
        <f>$H$230</f>
        <v>0.49459999999999998</v>
      </c>
      <c r="I259" s="711">
        <f t="shared" si="77"/>
        <v>0</v>
      </c>
      <c r="K259" s="709">
        <v>0</v>
      </c>
      <c r="L259" s="360">
        <f t="shared" si="78"/>
        <v>0.109</v>
      </c>
      <c r="M259" s="360">
        <f t="shared" si="79"/>
        <v>0.49459999999999998</v>
      </c>
      <c r="N259" s="711">
        <f t="shared" si="80"/>
        <v>0</v>
      </c>
      <c r="P259" s="360"/>
      <c r="R259" s="243"/>
      <c r="S259" s="243"/>
    </row>
    <row r="260" spans="1:19">
      <c r="A260" s="605">
        <f t="shared" si="70"/>
        <v>246</v>
      </c>
      <c r="B260" s="1"/>
      <c r="C260" s="4"/>
      <c r="D260" s="559"/>
      <c r="E260" s="339"/>
      <c r="F260" s="339"/>
      <c r="K260" s="339"/>
    </row>
    <row r="261" spans="1:19" ht="15.75" thickBot="1">
      <c r="A261" s="605">
        <f t="shared" si="70"/>
        <v>247</v>
      </c>
      <c r="B261" s="1"/>
      <c r="C261" s="98" t="s">
        <v>1253</v>
      </c>
      <c r="D261" s="715">
        <f>SUM(D230:D260)</f>
        <v>93538229.009896636</v>
      </c>
      <c r="E261" s="715">
        <f>SUM(E230:E260)</f>
        <v>0</v>
      </c>
      <c r="F261" s="715">
        <f>SUM(F230:F260)</f>
        <v>93538229.009896636</v>
      </c>
      <c r="I261" s="715">
        <f>SUM(I230:I260)</f>
        <v>4891997.4629426645</v>
      </c>
      <c r="K261" s="715">
        <f>SUM(K230:K260)</f>
        <v>88565275.130550727</v>
      </c>
      <c r="N261" s="715">
        <f>SUM(N230:N260)</f>
        <v>4629096.5342789693</v>
      </c>
    </row>
    <row r="262" spans="1:19" ht="15.75" thickTop="1">
      <c r="A262" s="605">
        <f t="shared" si="70"/>
        <v>248</v>
      </c>
    </row>
    <row r="263" spans="1:19" ht="30.75" thickBot="1">
      <c r="A263" s="605">
        <f t="shared" si="70"/>
        <v>249</v>
      </c>
      <c r="C263" s="336" t="s">
        <v>1103</v>
      </c>
      <c r="D263" s="715">
        <f>D261+D225+D179+D118</f>
        <v>428474212.67057222</v>
      </c>
      <c r="E263" s="715">
        <f>E261+E225+E179+E118</f>
        <v>0</v>
      </c>
      <c r="F263" s="715">
        <f>F261+F225+F179+F118</f>
        <v>428474212.67057222</v>
      </c>
      <c r="I263" s="715">
        <f>I261+I225+I179+I118</f>
        <v>204757750.61073717</v>
      </c>
      <c r="K263" s="715">
        <f>K261+K225+K179+K118</f>
        <v>405778629.2413792</v>
      </c>
      <c r="N263" s="715">
        <f>N261+N225+N179+N118</f>
        <v>196963786.0894472</v>
      </c>
      <c r="P263" s="329"/>
    </row>
    <row r="264" spans="1:19" ht="15.75" thickTop="1"/>
    <row r="265" spans="1:19">
      <c r="H265" s="1020"/>
    </row>
    <row r="266" spans="1:19">
      <c r="B266" t="s">
        <v>1538</v>
      </c>
    </row>
    <row r="267" spans="1:19">
      <c r="B267" t="s">
        <v>1611</v>
      </c>
      <c r="H267" s="476"/>
    </row>
  </sheetData>
  <autoFilter ref="B184:N263"/>
  <mergeCells count="4">
    <mergeCell ref="A1:N1"/>
    <mergeCell ref="A2:N2"/>
    <mergeCell ref="A3:N3"/>
    <mergeCell ref="A4:N4"/>
  </mergeCells>
  <phoneticPr fontId="20" type="noConversion"/>
  <pageMargins left="0.75" right="0.75" top="1" bottom="0.94" header="0.5" footer="0.5"/>
  <pageSetup scale="53" orientation="landscape" r:id="rId1"/>
  <headerFooter alignWithMargins="0">
    <oddFooter>&amp;RSchedule &amp;A
Page &amp;P of &amp;N</oddFooter>
  </headerFooter>
  <rowBreaks count="6" manualBreakCount="6">
    <brk id="47" max="13" man="1"/>
    <brk id="86" max="13" man="1"/>
    <brk id="118" max="13" man="1"/>
    <brk id="151" max="13" man="1"/>
    <brk id="179" max="13" man="1"/>
    <brk id="226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T269"/>
  <sheetViews>
    <sheetView view="pageBreakPreview" zoomScale="80" zoomScaleNormal="100" zoomScaleSheetLayoutView="80" workbookViewId="0">
      <pane xSplit="3" ySplit="12" topLeftCell="D242" activePane="bottomRight" state="frozen"/>
      <selection activeCell="P23" sqref="P23:P157"/>
      <selection pane="topRight" activeCell="P23" sqref="P23:P157"/>
      <selection pane="bottomLeft" activeCell="P23" sqref="P23:P157"/>
      <selection pane="bottomRight" activeCell="T269" sqref="T269"/>
    </sheetView>
  </sheetViews>
  <sheetFormatPr defaultColWidth="8.88671875" defaultRowHeight="15"/>
  <cols>
    <col min="1" max="1" width="5" customWidth="1"/>
    <col min="2" max="2" width="9.33203125" customWidth="1"/>
    <col min="3" max="3" width="33.88671875" customWidth="1"/>
    <col min="4" max="4" width="14.44140625" customWidth="1"/>
    <col min="5" max="5" width="10.33203125" customWidth="1"/>
    <col min="6" max="6" width="14.33203125" customWidth="1"/>
    <col min="7" max="7" width="12.6640625" style="37" bestFit="1" customWidth="1"/>
    <col min="8" max="8" width="13.5546875" style="37" customWidth="1"/>
    <col min="9" max="9" width="14.5546875" customWidth="1"/>
    <col min="10" max="10" width="3.21875" customWidth="1"/>
    <col min="11" max="11" width="13.88671875" customWidth="1"/>
    <col min="12" max="12" width="12.6640625" style="37" bestFit="1" customWidth="1"/>
    <col min="13" max="13" width="9.77734375" style="37" bestFit="1" customWidth="1"/>
    <col min="14" max="14" width="16" bestFit="1" customWidth="1"/>
    <col min="15" max="15" width="6.21875" customWidth="1"/>
    <col min="16" max="16" width="20.88671875" bestFit="1" customWidth="1"/>
    <col min="17" max="17" width="12" bestFit="1" customWidth="1"/>
    <col min="18" max="18" width="1.77734375" customWidth="1"/>
    <col min="19" max="19" width="7.77734375" customWidth="1"/>
    <col min="20" max="20" width="7.109375" bestFit="1" customWidth="1"/>
  </cols>
  <sheetData>
    <row r="1" spans="1:19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</row>
    <row r="2" spans="1:19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</row>
    <row r="3" spans="1:19">
      <c r="A3" s="1060" t="s">
        <v>1076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</row>
    <row r="4" spans="1:19" ht="15.75">
      <c r="A4" s="1062" t="str">
        <f>'B.1 F '!A4</f>
        <v>Forecasted Test Period:  Twelve Months Ended March 31, 2026</v>
      </c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1:19" ht="15.75">
      <c r="A5" s="25"/>
      <c r="B5" s="25"/>
      <c r="C5" s="25"/>
      <c r="D5" s="332"/>
      <c r="E5" s="25"/>
      <c r="F5" s="25"/>
      <c r="G5" s="38"/>
      <c r="H5" s="38"/>
      <c r="I5" s="1"/>
      <c r="J5" s="1"/>
      <c r="K5" s="25"/>
      <c r="P5" s="330"/>
    </row>
    <row r="6" spans="1:19" ht="15.75">
      <c r="A6" s="699" t="str">
        <f>'B.1 F '!A6</f>
        <v>Data:______Base Period__X___Forecasted Period</v>
      </c>
      <c r="B6" s="1"/>
      <c r="C6" s="1"/>
      <c r="D6" s="1"/>
      <c r="E6" s="330"/>
      <c r="F6" s="1"/>
      <c r="G6" s="38"/>
      <c r="K6" s="1"/>
      <c r="N6" s="476" t="s">
        <v>1332</v>
      </c>
    </row>
    <row r="7" spans="1:19">
      <c r="A7" s="699" t="str">
        <f>'B.1 F '!A7</f>
        <v>Type of Filing:___X____Original________Updated ________Revised</v>
      </c>
      <c r="B7" s="4"/>
      <c r="C7" s="1"/>
      <c r="D7" s="1"/>
      <c r="E7" s="1"/>
      <c r="F7" s="1"/>
      <c r="G7" s="38"/>
      <c r="I7" s="4"/>
      <c r="J7" s="4"/>
      <c r="K7" s="1"/>
      <c r="N7" s="17" t="s">
        <v>975</v>
      </c>
    </row>
    <row r="8" spans="1:19">
      <c r="A8" s="699" t="str">
        <f>'B.1 F '!A8</f>
        <v>Workpaper Reference No(s).</v>
      </c>
      <c r="B8" s="1"/>
      <c r="C8" s="1"/>
      <c r="D8" s="1"/>
      <c r="E8" s="1"/>
      <c r="F8" s="1"/>
      <c r="G8" s="38"/>
      <c r="I8" s="4"/>
      <c r="J8" s="4"/>
      <c r="K8" s="1"/>
      <c r="N8" s="718" t="str">
        <f>'B.2 B'!N8</f>
        <v>Witness: Waller</v>
      </c>
    </row>
    <row r="9" spans="1:19">
      <c r="A9" s="538"/>
      <c r="B9" s="42"/>
      <c r="C9" s="227"/>
      <c r="D9" s="135"/>
      <c r="E9" s="42"/>
      <c r="F9" s="42"/>
      <c r="G9" s="196"/>
      <c r="H9" s="197"/>
      <c r="I9" s="539"/>
      <c r="J9" s="4"/>
      <c r="K9" s="135"/>
      <c r="L9" s="469"/>
      <c r="M9" s="469"/>
      <c r="N9" s="540"/>
    </row>
    <row r="10" spans="1:19" ht="15.75">
      <c r="A10" s="541"/>
      <c r="B10" s="1"/>
      <c r="C10" s="554"/>
      <c r="D10" s="331">
        <v>46112</v>
      </c>
      <c r="E10" s="1"/>
      <c r="F10" s="1"/>
      <c r="G10" s="38" t="s">
        <v>12</v>
      </c>
      <c r="H10" s="2" t="s">
        <v>10</v>
      </c>
      <c r="I10" s="542"/>
      <c r="J10" s="4"/>
      <c r="K10" s="543"/>
      <c r="L10" s="38" t="s">
        <v>12</v>
      </c>
      <c r="M10" s="2" t="s">
        <v>10</v>
      </c>
      <c r="N10" s="542"/>
    </row>
    <row r="11" spans="1:19" ht="15.75">
      <c r="A11" s="541" t="s">
        <v>88</v>
      </c>
      <c r="B11" s="2" t="s">
        <v>259</v>
      </c>
      <c r="C11" s="190" t="s">
        <v>208</v>
      </c>
      <c r="D11" s="557" t="s">
        <v>1255</v>
      </c>
      <c r="E11" s="2"/>
      <c r="F11" s="2" t="s">
        <v>9</v>
      </c>
      <c r="G11" s="2" t="s">
        <v>13</v>
      </c>
      <c r="H11" s="2" t="s">
        <v>567</v>
      </c>
      <c r="I11" s="190" t="s">
        <v>11</v>
      </c>
      <c r="J11" s="2"/>
      <c r="K11" s="544" t="s">
        <v>43</v>
      </c>
      <c r="L11" s="2" t="s">
        <v>13</v>
      </c>
      <c r="M11" s="2" t="s">
        <v>567</v>
      </c>
      <c r="N11" s="190" t="s">
        <v>11</v>
      </c>
    </row>
    <row r="12" spans="1:19" ht="15.75">
      <c r="A12" s="191" t="s">
        <v>94</v>
      </c>
      <c r="B12" s="27" t="s">
        <v>94</v>
      </c>
      <c r="C12" s="192" t="s">
        <v>287</v>
      </c>
      <c r="D12" s="558" t="s">
        <v>100</v>
      </c>
      <c r="E12" s="27" t="s">
        <v>951</v>
      </c>
      <c r="F12" s="27" t="s">
        <v>100</v>
      </c>
      <c r="G12" s="27" t="s">
        <v>600</v>
      </c>
      <c r="H12" s="27" t="s">
        <v>600</v>
      </c>
      <c r="I12" s="192" t="s">
        <v>99</v>
      </c>
      <c r="J12" s="2"/>
      <c r="K12" s="558" t="s">
        <v>93</v>
      </c>
      <c r="L12" s="27" t="s">
        <v>600</v>
      </c>
      <c r="M12" s="27" t="s">
        <v>600</v>
      </c>
      <c r="N12" s="192" t="s">
        <v>99</v>
      </c>
      <c r="P12" s="57"/>
      <c r="Q12" s="57"/>
    </row>
    <row r="13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9" ht="15.75">
      <c r="B14" s="59" t="s">
        <v>5</v>
      </c>
    </row>
    <row r="15" spans="1:19">
      <c r="A15" s="2">
        <v>1</v>
      </c>
      <c r="B15" s="1"/>
      <c r="C15" s="16" t="s">
        <v>288</v>
      </c>
    </row>
    <row r="16" spans="1:19">
      <c r="A16" s="605">
        <f>A15+1</f>
        <v>2</v>
      </c>
      <c r="B16" s="294">
        <v>30100</v>
      </c>
      <c r="C16" s="4" t="s">
        <v>282</v>
      </c>
      <c r="D16" s="720">
        <v>8329.7199999999993</v>
      </c>
      <c r="E16" s="209">
        <v>0</v>
      </c>
      <c r="F16" s="707">
        <f>D16-E16</f>
        <v>8329.7199999999993</v>
      </c>
      <c r="G16" s="266">
        <v>1</v>
      </c>
      <c r="H16" s="708">
        <f>$G$16</f>
        <v>1</v>
      </c>
      <c r="I16" s="707">
        <f>F16*G16*H16</f>
        <v>8329.7199999999993</v>
      </c>
      <c r="J16" s="486"/>
      <c r="K16" s="720">
        <v>8329.7199999999993</v>
      </c>
      <c r="L16" s="708">
        <f t="shared" ref="L16:M17" si="0">$G$16</f>
        <v>1</v>
      </c>
      <c r="M16" s="708">
        <f t="shared" si="0"/>
        <v>1</v>
      </c>
      <c r="N16" s="707">
        <f>K16*L16*M16</f>
        <v>8329.7199999999993</v>
      </c>
      <c r="S16" s="294"/>
    </row>
    <row r="17" spans="1:19">
      <c r="A17" s="605">
        <f t="shared" ref="A17:A83" si="1">A16+1</f>
        <v>3</v>
      </c>
      <c r="B17" s="294">
        <v>30200</v>
      </c>
      <c r="C17" s="4" t="s">
        <v>147</v>
      </c>
      <c r="D17" s="709">
        <v>119852.69</v>
      </c>
      <c r="E17" s="338">
        <v>0</v>
      </c>
      <c r="F17" s="345">
        <f t="shared" ref="F17:F78" si="2">D17-E17</f>
        <v>119852.69</v>
      </c>
      <c r="G17" s="708">
        <f>$G$16</f>
        <v>1</v>
      </c>
      <c r="H17" s="708">
        <f>$G$16</f>
        <v>1</v>
      </c>
      <c r="I17" s="345">
        <f>F17*G17*H17</f>
        <v>119852.69</v>
      </c>
      <c r="K17" s="709">
        <v>119852.68999999996</v>
      </c>
      <c r="L17" s="708">
        <f t="shared" si="0"/>
        <v>1</v>
      </c>
      <c r="M17" s="708">
        <f t="shared" si="0"/>
        <v>1</v>
      </c>
      <c r="N17" s="345">
        <f>K17*L17*M17</f>
        <v>119852.68999999996</v>
      </c>
      <c r="S17" s="294"/>
    </row>
    <row r="18" spans="1:19">
      <c r="A18" s="605">
        <f t="shared" si="1"/>
        <v>4</v>
      </c>
      <c r="B18" s="294"/>
      <c r="C18" s="4"/>
      <c r="D18" s="562"/>
      <c r="E18" s="562"/>
      <c r="F18" s="562"/>
      <c r="G18" s="266"/>
      <c r="H18" s="266"/>
      <c r="I18" s="562"/>
      <c r="K18" s="562"/>
      <c r="N18" s="562"/>
    </row>
    <row r="19" spans="1:19">
      <c r="A19" s="605">
        <f t="shared" si="1"/>
        <v>5</v>
      </c>
      <c r="B19" s="382"/>
      <c r="C19" s="4" t="s">
        <v>1306</v>
      </c>
      <c r="D19" s="707">
        <f>SUM(D16:D18)</f>
        <v>128182.41</v>
      </c>
      <c r="E19" s="707">
        <f>SUM(E16:E18)</f>
        <v>0</v>
      </c>
      <c r="F19" s="707">
        <f>SUM(F16:F18)</f>
        <v>128182.41</v>
      </c>
      <c r="G19" s="266"/>
      <c r="H19" s="266"/>
      <c r="I19" s="707">
        <f>SUM(I16:I18)</f>
        <v>128182.41</v>
      </c>
      <c r="K19" s="707">
        <f>SUM(K16:K18)</f>
        <v>128182.40999999996</v>
      </c>
      <c r="N19" s="707">
        <f>SUM(N16:N17)</f>
        <v>128182.40999999996</v>
      </c>
    </row>
    <row r="20" spans="1:19">
      <c r="A20" s="605">
        <f t="shared" si="1"/>
        <v>6</v>
      </c>
      <c r="B20" s="382"/>
      <c r="C20" s="1"/>
      <c r="D20" s="338"/>
      <c r="E20" s="338"/>
      <c r="F20" s="338"/>
      <c r="G20" s="266"/>
      <c r="H20" s="266"/>
      <c r="I20" s="338"/>
      <c r="K20" s="338"/>
      <c r="N20" s="338"/>
    </row>
    <row r="21" spans="1:19">
      <c r="A21" s="605">
        <f t="shared" si="1"/>
        <v>7</v>
      </c>
      <c r="B21" s="382"/>
      <c r="C21" s="16" t="s">
        <v>148</v>
      </c>
      <c r="D21" s="338"/>
      <c r="E21" s="338"/>
      <c r="F21" s="338"/>
      <c r="G21" s="266"/>
      <c r="H21" s="266"/>
      <c r="I21" s="338"/>
      <c r="K21" s="338"/>
      <c r="N21" s="338"/>
    </row>
    <row r="22" spans="1:19">
      <c r="A22" s="605">
        <f t="shared" si="1"/>
        <v>8</v>
      </c>
      <c r="B22" s="294">
        <v>32540</v>
      </c>
      <c r="C22" s="4" t="s">
        <v>155</v>
      </c>
      <c r="D22" s="720">
        <v>0</v>
      </c>
      <c r="E22" s="209">
        <v>0</v>
      </c>
      <c r="F22" s="707">
        <f t="shared" si="2"/>
        <v>0</v>
      </c>
      <c r="G22" s="708">
        <f t="shared" ref="G22:H24" si="3">$G$16</f>
        <v>1</v>
      </c>
      <c r="H22" s="708">
        <f t="shared" si="3"/>
        <v>1</v>
      </c>
      <c r="I22" s="707">
        <f t="shared" ref="I22:I24" si="4">F22*G22*H22</f>
        <v>0</v>
      </c>
      <c r="K22" s="720">
        <v>0</v>
      </c>
      <c r="L22" s="708">
        <f t="shared" ref="L22:M24" si="5">$G$16</f>
        <v>1</v>
      </c>
      <c r="M22" s="708">
        <f t="shared" si="5"/>
        <v>1</v>
      </c>
      <c r="N22" s="707">
        <f t="shared" ref="N22:N24" si="6">K22*L22*M22</f>
        <v>0</v>
      </c>
      <c r="S22" s="294"/>
    </row>
    <row r="23" spans="1:19">
      <c r="A23" s="605">
        <f t="shared" si="1"/>
        <v>9</v>
      </c>
      <c r="B23" s="294">
        <v>33202</v>
      </c>
      <c r="C23" s="4" t="s">
        <v>569</v>
      </c>
      <c r="D23" s="709">
        <v>0</v>
      </c>
      <c r="E23" s="338">
        <v>0</v>
      </c>
      <c r="F23" s="345">
        <f t="shared" si="2"/>
        <v>0</v>
      </c>
      <c r="G23" s="708">
        <f t="shared" si="3"/>
        <v>1</v>
      </c>
      <c r="H23" s="708">
        <f t="shared" si="3"/>
        <v>1</v>
      </c>
      <c r="I23" s="345">
        <f t="shared" si="4"/>
        <v>0</v>
      </c>
      <c r="K23" s="709">
        <v>0</v>
      </c>
      <c r="L23" s="708">
        <f t="shared" si="5"/>
        <v>1</v>
      </c>
      <c r="M23" s="708">
        <f t="shared" si="5"/>
        <v>1</v>
      </c>
      <c r="N23" s="345">
        <f t="shared" si="6"/>
        <v>0</v>
      </c>
      <c r="S23" s="294"/>
    </row>
    <row r="24" spans="1:19">
      <c r="A24" s="605">
        <f t="shared" si="1"/>
        <v>10</v>
      </c>
      <c r="B24" s="294">
        <v>33400</v>
      </c>
      <c r="C24" s="4" t="s">
        <v>1078</v>
      </c>
      <c r="D24" s="709">
        <v>0</v>
      </c>
      <c r="E24" s="338">
        <v>0</v>
      </c>
      <c r="F24" s="345">
        <f t="shared" si="2"/>
        <v>0</v>
      </c>
      <c r="G24" s="708">
        <f t="shared" si="3"/>
        <v>1</v>
      </c>
      <c r="H24" s="708">
        <f t="shared" si="3"/>
        <v>1</v>
      </c>
      <c r="I24" s="345">
        <f t="shared" si="4"/>
        <v>0</v>
      </c>
      <c r="K24" s="709">
        <v>0</v>
      </c>
      <c r="L24" s="708">
        <f t="shared" si="5"/>
        <v>1</v>
      </c>
      <c r="M24" s="708">
        <f t="shared" si="5"/>
        <v>1</v>
      </c>
      <c r="N24" s="345">
        <f t="shared" si="6"/>
        <v>0</v>
      </c>
      <c r="S24" s="294"/>
    </row>
    <row r="25" spans="1:19">
      <c r="A25" s="605">
        <f t="shared" si="1"/>
        <v>11</v>
      </c>
      <c r="B25" s="294"/>
      <c r="C25" s="1"/>
      <c r="D25" s="562"/>
      <c r="E25" s="338"/>
      <c r="F25" s="338"/>
      <c r="G25" s="266"/>
      <c r="H25" s="266"/>
      <c r="I25" s="338"/>
      <c r="K25" s="562"/>
      <c r="N25" s="338"/>
    </row>
    <row r="26" spans="1:19">
      <c r="A26" s="605">
        <f t="shared" si="1"/>
        <v>12</v>
      </c>
      <c r="B26" s="294"/>
      <c r="C26" s="1" t="s">
        <v>1305</v>
      </c>
      <c r="D26" s="707">
        <f>SUM(D22:D25)</f>
        <v>0</v>
      </c>
      <c r="E26" s="707">
        <f>SUM(E22:E25)</f>
        <v>0</v>
      </c>
      <c r="F26" s="707">
        <f>SUM(F22:F25)</f>
        <v>0</v>
      </c>
      <c r="G26" s="266"/>
      <c r="H26" s="266"/>
      <c r="I26" s="707">
        <f>SUM(I22:I25)</f>
        <v>0</v>
      </c>
      <c r="K26" s="707">
        <f>SUM(K22:K25)</f>
        <v>0</v>
      </c>
      <c r="N26" s="707">
        <f>SUM(N22:N25)</f>
        <v>0</v>
      </c>
    </row>
    <row r="27" spans="1:19">
      <c r="A27" s="605">
        <f t="shared" si="1"/>
        <v>13</v>
      </c>
      <c r="B27" s="294"/>
      <c r="C27" s="4"/>
      <c r="D27" s="338"/>
      <c r="E27" s="338"/>
      <c r="F27" s="338"/>
      <c r="G27" s="266"/>
      <c r="H27" s="266"/>
      <c r="I27" s="338"/>
      <c r="K27" s="338"/>
      <c r="N27" s="338"/>
    </row>
    <row r="28" spans="1:19">
      <c r="A28" s="605">
        <f t="shared" si="1"/>
        <v>14</v>
      </c>
      <c r="B28" s="294"/>
      <c r="C28" s="16" t="s">
        <v>270</v>
      </c>
      <c r="D28" s="338"/>
      <c r="E28" s="338"/>
      <c r="F28" s="338"/>
      <c r="G28" s="266"/>
      <c r="H28" s="266"/>
      <c r="I28" s="338"/>
      <c r="K28" s="338"/>
      <c r="N28" s="338"/>
    </row>
    <row r="29" spans="1:19">
      <c r="A29" s="605">
        <f t="shared" si="1"/>
        <v>15</v>
      </c>
      <c r="B29" s="294">
        <v>35010</v>
      </c>
      <c r="C29" s="4" t="s">
        <v>283</v>
      </c>
      <c r="D29" s="720">
        <v>0</v>
      </c>
      <c r="E29" s="209">
        <v>0</v>
      </c>
      <c r="F29" s="707">
        <f t="shared" si="2"/>
        <v>0</v>
      </c>
      <c r="G29" s="708">
        <f t="shared" ref="G29:H45" si="7">$G$16</f>
        <v>1</v>
      </c>
      <c r="H29" s="708">
        <f t="shared" si="7"/>
        <v>1</v>
      </c>
      <c r="I29" s="707">
        <f t="shared" ref="I29:I45" si="8">F29*G29*H29</f>
        <v>0</v>
      </c>
      <c r="K29" s="720">
        <v>0</v>
      </c>
      <c r="L29" s="708">
        <f t="shared" ref="L29:M45" si="9">$G$16</f>
        <v>1</v>
      </c>
      <c r="M29" s="708">
        <f t="shared" si="9"/>
        <v>1</v>
      </c>
      <c r="N29" s="707">
        <f t="shared" ref="N29:N45" si="10">K29*L29*M29</f>
        <v>0</v>
      </c>
      <c r="S29" s="294"/>
    </row>
    <row r="30" spans="1:19">
      <c r="A30" s="605">
        <f t="shared" si="1"/>
        <v>16</v>
      </c>
      <c r="B30" s="294">
        <v>35020</v>
      </c>
      <c r="C30" s="4" t="s">
        <v>762</v>
      </c>
      <c r="D30" s="709">
        <v>4216.3808020000042</v>
      </c>
      <c r="E30" s="338">
        <v>0</v>
      </c>
      <c r="F30" s="345">
        <f t="shared" si="2"/>
        <v>4216.3808020000042</v>
      </c>
      <c r="G30" s="708">
        <f t="shared" si="7"/>
        <v>1</v>
      </c>
      <c r="H30" s="708">
        <f t="shared" si="7"/>
        <v>1</v>
      </c>
      <c r="I30" s="345">
        <f t="shared" si="8"/>
        <v>4216.3808020000042</v>
      </c>
      <c r="K30" s="709">
        <v>4200.4634300000025</v>
      </c>
      <c r="L30" s="708">
        <f t="shared" si="9"/>
        <v>1</v>
      </c>
      <c r="M30" s="708">
        <f t="shared" si="9"/>
        <v>1</v>
      </c>
      <c r="N30" s="345">
        <f t="shared" si="10"/>
        <v>4200.4634300000025</v>
      </c>
      <c r="S30" s="294"/>
    </row>
    <row r="31" spans="1:19">
      <c r="A31" s="605">
        <f t="shared" si="1"/>
        <v>17</v>
      </c>
      <c r="B31" s="294">
        <v>35100</v>
      </c>
      <c r="C31" s="4" t="s">
        <v>933</v>
      </c>
      <c r="D31" s="709">
        <v>8009.7146529999927</v>
      </c>
      <c r="E31" s="338">
        <v>0</v>
      </c>
      <c r="F31" s="345">
        <f t="shared" si="2"/>
        <v>8009.7146529999927</v>
      </c>
      <c r="G31" s="708">
        <f t="shared" si="7"/>
        <v>1</v>
      </c>
      <c r="H31" s="708">
        <f t="shared" si="7"/>
        <v>1</v>
      </c>
      <c r="I31" s="345">
        <f t="shared" si="8"/>
        <v>8009.7146529999927</v>
      </c>
      <c r="K31" s="709">
        <v>7862.8018949999951</v>
      </c>
      <c r="L31" s="708">
        <f t="shared" si="9"/>
        <v>1</v>
      </c>
      <c r="M31" s="708">
        <f t="shared" si="9"/>
        <v>1</v>
      </c>
      <c r="N31" s="345">
        <f t="shared" si="10"/>
        <v>7862.8018949999951</v>
      </c>
      <c r="S31" s="294"/>
    </row>
    <row r="32" spans="1:19">
      <c r="A32" s="605">
        <f t="shared" si="1"/>
        <v>18</v>
      </c>
      <c r="B32" s="294">
        <v>35102</v>
      </c>
      <c r="C32" s="4" t="s">
        <v>271</v>
      </c>
      <c r="D32" s="709">
        <v>121970.64717699985</v>
      </c>
      <c r="E32" s="338">
        <v>0</v>
      </c>
      <c r="F32" s="345">
        <f t="shared" si="2"/>
        <v>121970.64717699985</v>
      </c>
      <c r="G32" s="708">
        <f t="shared" si="7"/>
        <v>1</v>
      </c>
      <c r="H32" s="708">
        <f t="shared" si="7"/>
        <v>1</v>
      </c>
      <c r="I32" s="345">
        <f t="shared" si="8"/>
        <v>121970.64717699985</v>
      </c>
      <c r="K32" s="709">
        <v>120439.61655499988</v>
      </c>
      <c r="L32" s="708">
        <f t="shared" si="9"/>
        <v>1</v>
      </c>
      <c r="M32" s="708">
        <f t="shared" si="9"/>
        <v>1</v>
      </c>
      <c r="N32" s="345">
        <f t="shared" si="10"/>
        <v>120439.61655499988</v>
      </c>
      <c r="S32" s="294"/>
    </row>
    <row r="33" spans="1:19">
      <c r="A33" s="605">
        <f t="shared" si="1"/>
        <v>19</v>
      </c>
      <c r="B33" s="294">
        <v>35103</v>
      </c>
      <c r="C33" s="4" t="s">
        <v>558</v>
      </c>
      <c r="D33" s="709">
        <v>20991.103814999969</v>
      </c>
      <c r="E33" s="338">
        <v>0</v>
      </c>
      <c r="F33" s="345">
        <f t="shared" si="2"/>
        <v>20991.103814999969</v>
      </c>
      <c r="G33" s="708">
        <f t="shared" si="7"/>
        <v>1</v>
      </c>
      <c r="H33" s="708">
        <f t="shared" si="7"/>
        <v>1</v>
      </c>
      <c r="I33" s="345">
        <f t="shared" si="8"/>
        <v>20991.103814999969</v>
      </c>
      <c r="K33" s="709">
        <v>20863.842724999977</v>
      </c>
      <c r="L33" s="708">
        <f t="shared" si="9"/>
        <v>1</v>
      </c>
      <c r="M33" s="708">
        <f t="shared" si="9"/>
        <v>1</v>
      </c>
      <c r="N33" s="345">
        <f t="shared" si="10"/>
        <v>20863.842724999977</v>
      </c>
      <c r="S33" s="294"/>
    </row>
    <row r="34" spans="1:19">
      <c r="A34" s="605">
        <f t="shared" si="1"/>
        <v>20</v>
      </c>
      <c r="B34" s="294">
        <v>35104</v>
      </c>
      <c r="C34" s="4" t="s">
        <v>559</v>
      </c>
      <c r="D34" s="709">
        <v>106951.62709950005</v>
      </c>
      <c r="E34" s="338">
        <v>0</v>
      </c>
      <c r="F34" s="345">
        <f t="shared" si="2"/>
        <v>106951.62709950005</v>
      </c>
      <c r="G34" s="708">
        <f t="shared" si="7"/>
        <v>1</v>
      </c>
      <c r="H34" s="708">
        <f t="shared" si="7"/>
        <v>1</v>
      </c>
      <c r="I34" s="345">
        <f t="shared" si="8"/>
        <v>106951.62709950005</v>
      </c>
      <c r="K34" s="709">
        <v>106003.27364250003</v>
      </c>
      <c r="L34" s="708">
        <f t="shared" si="9"/>
        <v>1</v>
      </c>
      <c r="M34" s="708">
        <f t="shared" si="9"/>
        <v>1</v>
      </c>
      <c r="N34" s="345">
        <f t="shared" si="10"/>
        <v>106003.27364250003</v>
      </c>
      <c r="S34" s="294"/>
    </row>
    <row r="35" spans="1:19">
      <c r="A35" s="605">
        <f t="shared" si="1"/>
        <v>21</v>
      </c>
      <c r="B35" s="294">
        <v>35200</v>
      </c>
      <c r="C35" s="4" t="s">
        <v>419</v>
      </c>
      <c r="D35" s="709">
        <v>2588876.9843177502</v>
      </c>
      <c r="E35" s="338">
        <v>0</v>
      </c>
      <c r="F35" s="345">
        <f t="shared" si="2"/>
        <v>2588876.9843177502</v>
      </c>
      <c r="G35" s="708">
        <f t="shared" si="7"/>
        <v>1</v>
      </c>
      <c r="H35" s="708">
        <f t="shared" si="7"/>
        <v>1</v>
      </c>
      <c r="I35" s="345">
        <f t="shared" si="8"/>
        <v>2588876.9843177502</v>
      </c>
      <c r="K35" s="709">
        <v>2463748.5272673788</v>
      </c>
      <c r="L35" s="708">
        <f t="shared" si="9"/>
        <v>1</v>
      </c>
      <c r="M35" s="708">
        <f t="shared" si="9"/>
        <v>1</v>
      </c>
      <c r="N35" s="345">
        <f t="shared" si="10"/>
        <v>2463748.5272673788</v>
      </c>
      <c r="S35" s="294"/>
    </row>
    <row r="36" spans="1:19">
      <c r="A36" s="605">
        <f t="shared" si="1"/>
        <v>22</v>
      </c>
      <c r="B36" s="294">
        <v>35201</v>
      </c>
      <c r="C36" s="4" t="s">
        <v>560</v>
      </c>
      <c r="D36" s="709">
        <v>1516127.9991199996</v>
      </c>
      <c r="E36" s="338">
        <v>0</v>
      </c>
      <c r="F36" s="345">
        <f t="shared" si="2"/>
        <v>1516127.9991199996</v>
      </c>
      <c r="G36" s="708">
        <f t="shared" si="7"/>
        <v>1</v>
      </c>
      <c r="H36" s="708">
        <f t="shared" si="7"/>
        <v>1</v>
      </c>
      <c r="I36" s="345">
        <f t="shared" si="8"/>
        <v>1516127.9991199996</v>
      </c>
      <c r="K36" s="709">
        <v>1502528.0107999993</v>
      </c>
      <c r="L36" s="708">
        <f t="shared" si="9"/>
        <v>1</v>
      </c>
      <c r="M36" s="708">
        <f t="shared" si="9"/>
        <v>1</v>
      </c>
      <c r="N36" s="345">
        <f t="shared" si="10"/>
        <v>1502528.0107999993</v>
      </c>
      <c r="S36" s="294"/>
    </row>
    <row r="37" spans="1:19">
      <c r="A37" s="605">
        <f t="shared" si="1"/>
        <v>23</v>
      </c>
      <c r="B37" s="294">
        <v>35202</v>
      </c>
      <c r="C37" s="4" t="s">
        <v>561</v>
      </c>
      <c r="D37" s="709">
        <v>478965.33178200043</v>
      </c>
      <c r="E37" s="338">
        <v>0</v>
      </c>
      <c r="F37" s="345">
        <f t="shared" si="2"/>
        <v>478965.33178200043</v>
      </c>
      <c r="G37" s="708">
        <f t="shared" si="7"/>
        <v>1</v>
      </c>
      <c r="H37" s="708">
        <f t="shared" si="7"/>
        <v>1</v>
      </c>
      <c r="I37" s="345">
        <f t="shared" si="8"/>
        <v>478965.33178200043</v>
      </c>
      <c r="K37" s="709">
        <v>474360.55413000035</v>
      </c>
      <c r="L37" s="708">
        <f t="shared" si="9"/>
        <v>1</v>
      </c>
      <c r="M37" s="708">
        <f t="shared" si="9"/>
        <v>1</v>
      </c>
      <c r="N37" s="345">
        <f t="shared" si="10"/>
        <v>474360.55413000035</v>
      </c>
      <c r="S37" s="294"/>
    </row>
    <row r="38" spans="1:19">
      <c r="A38" s="605">
        <f t="shared" si="1"/>
        <v>24</v>
      </c>
      <c r="B38" s="294">
        <v>35203</v>
      </c>
      <c r="C38" s="4" t="s">
        <v>334</v>
      </c>
      <c r="D38" s="709">
        <v>714862.5775200011</v>
      </c>
      <c r="E38" s="338">
        <v>0</v>
      </c>
      <c r="F38" s="345">
        <f t="shared" si="2"/>
        <v>714862.5775200011</v>
      </c>
      <c r="G38" s="708">
        <f t="shared" si="7"/>
        <v>1</v>
      </c>
      <c r="H38" s="708">
        <f t="shared" si="7"/>
        <v>1</v>
      </c>
      <c r="I38" s="345">
        <f t="shared" si="8"/>
        <v>714862.5775200011</v>
      </c>
      <c r="K38" s="709">
        <v>702998.74680000101</v>
      </c>
      <c r="L38" s="708">
        <f t="shared" si="9"/>
        <v>1</v>
      </c>
      <c r="M38" s="708">
        <f t="shared" si="9"/>
        <v>1</v>
      </c>
      <c r="N38" s="345">
        <f t="shared" si="10"/>
        <v>702998.74680000101</v>
      </c>
      <c r="S38" s="294"/>
    </row>
    <row r="39" spans="1:19">
      <c r="A39" s="605">
        <f t="shared" si="1"/>
        <v>25</v>
      </c>
      <c r="B39" s="294">
        <v>35210</v>
      </c>
      <c r="C39" s="4" t="s">
        <v>562</v>
      </c>
      <c r="D39" s="709">
        <v>167828.30488200026</v>
      </c>
      <c r="E39" s="338">
        <v>0</v>
      </c>
      <c r="F39" s="345">
        <f t="shared" si="2"/>
        <v>167828.30488200026</v>
      </c>
      <c r="G39" s="708">
        <f t="shared" si="7"/>
        <v>1</v>
      </c>
      <c r="H39" s="708">
        <f t="shared" si="7"/>
        <v>1</v>
      </c>
      <c r="I39" s="345">
        <f t="shared" si="8"/>
        <v>167828.30488200026</v>
      </c>
      <c r="K39" s="709">
        <v>167328.42063000021</v>
      </c>
      <c r="L39" s="708">
        <f t="shared" si="9"/>
        <v>1</v>
      </c>
      <c r="M39" s="708">
        <f t="shared" si="9"/>
        <v>1</v>
      </c>
      <c r="N39" s="345">
        <f t="shared" si="10"/>
        <v>167328.42063000021</v>
      </c>
      <c r="S39" s="294"/>
    </row>
    <row r="40" spans="1:19">
      <c r="A40" s="605">
        <f t="shared" si="1"/>
        <v>26</v>
      </c>
      <c r="B40" s="294">
        <v>35211</v>
      </c>
      <c r="C40" s="4" t="s">
        <v>563</v>
      </c>
      <c r="D40" s="709">
        <v>44969.714719500043</v>
      </c>
      <c r="E40" s="338">
        <v>0</v>
      </c>
      <c r="F40" s="345">
        <f t="shared" si="2"/>
        <v>44969.714719500043</v>
      </c>
      <c r="G40" s="708">
        <f t="shared" si="7"/>
        <v>1</v>
      </c>
      <c r="H40" s="708">
        <f t="shared" si="7"/>
        <v>1</v>
      </c>
      <c r="I40" s="345">
        <f t="shared" si="8"/>
        <v>44969.714719500043</v>
      </c>
      <c r="K40" s="709">
        <v>44691.181942500029</v>
      </c>
      <c r="L40" s="708">
        <f t="shared" si="9"/>
        <v>1</v>
      </c>
      <c r="M40" s="708">
        <f t="shared" si="9"/>
        <v>1</v>
      </c>
      <c r="N40" s="345">
        <f t="shared" si="10"/>
        <v>44691.181942500029</v>
      </c>
      <c r="S40" s="294"/>
    </row>
    <row r="41" spans="1:19">
      <c r="A41" s="605">
        <f t="shared" si="1"/>
        <v>27</v>
      </c>
      <c r="B41" s="294">
        <v>35301</v>
      </c>
      <c r="C41" s="1" t="s">
        <v>156</v>
      </c>
      <c r="D41" s="709">
        <v>106670.61565849991</v>
      </c>
      <c r="E41" s="338">
        <v>0</v>
      </c>
      <c r="F41" s="345">
        <f t="shared" si="2"/>
        <v>106670.61565849991</v>
      </c>
      <c r="G41" s="708">
        <f t="shared" si="7"/>
        <v>1</v>
      </c>
      <c r="H41" s="708">
        <f t="shared" si="7"/>
        <v>1</v>
      </c>
      <c r="I41" s="345">
        <f t="shared" si="8"/>
        <v>106670.61565849991</v>
      </c>
      <c r="K41" s="709">
        <v>105565.90832749994</v>
      </c>
      <c r="L41" s="708">
        <f t="shared" si="9"/>
        <v>1</v>
      </c>
      <c r="M41" s="708">
        <f t="shared" si="9"/>
        <v>1</v>
      </c>
      <c r="N41" s="345">
        <f t="shared" si="10"/>
        <v>105565.90832749994</v>
      </c>
      <c r="S41" s="294"/>
    </row>
    <row r="42" spans="1:19">
      <c r="A42" s="605">
        <f t="shared" si="1"/>
        <v>28</v>
      </c>
      <c r="B42" s="294">
        <v>35302</v>
      </c>
      <c r="C42" s="4" t="s">
        <v>569</v>
      </c>
      <c r="D42" s="709">
        <v>155065.53174499972</v>
      </c>
      <c r="E42" s="338">
        <v>0</v>
      </c>
      <c r="F42" s="345">
        <f t="shared" si="2"/>
        <v>155065.53174499972</v>
      </c>
      <c r="G42" s="708">
        <f t="shared" si="7"/>
        <v>1</v>
      </c>
      <c r="H42" s="708">
        <f t="shared" si="7"/>
        <v>1</v>
      </c>
      <c r="I42" s="345">
        <f t="shared" si="8"/>
        <v>155065.53174499972</v>
      </c>
      <c r="K42" s="709">
        <v>153746.82267499983</v>
      </c>
      <c r="L42" s="708">
        <f t="shared" si="9"/>
        <v>1</v>
      </c>
      <c r="M42" s="708">
        <f t="shared" si="9"/>
        <v>1</v>
      </c>
      <c r="N42" s="345">
        <f t="shared" si="10"/>
        <v>153746.82267499983</v>
      </c>
      <c r="S42" s="294"/>
    </row>
    <row r="43" spans="1:19">
      <c r="A43" s="605">
        <f t="shared" si="1"/>
        <v>29</v>
      </c>
      <c r="B43" s="294">
        <v>35400</v>
      </c>
      <c r="C43" s="4" t="s">
        <v>564</v>
      </c>
      <c r="D43" s="709">
        <v>836635.22902100021</v>
      </c>
      <c r="E43" s="338">
        <v>0</v>
      </c>
      <c r="F43" s="345">
        <f t="shared" si="2"/>
        <v>836635.22902100021</v>
      </c>
      <c r="G43" s="708">
        <f t="shared" si="7"/>
        <v>1</v>
      </c>
      <c r="H43" s="708">
        <f t="shared" si="7"/>
        <v>1</v>
      </c>
      <c r="I43" s="345">
        <f t="shared" si="8"/>
        <v>836635.22902100021</v>
      </c>
      <c r="K43" s="709">
        <v>682171.7404159999</v>
      </c>
      <c r="L43" s="708">
        <f t="shared" si="9"/>
        <v>1</v>
      </c>
      <c r="M43" s="708">
        <f t="shared" si="9"/>
        <v>1</v>
      </c>
      <c r="N43" s="345">
        <f t="shared" si="10"/>
        <v>682171.7404159999</v>
      </c>
      <c r="S43" s="294"/>
    </row>
    <row r="44" spans="1:19">
      <c r="A44" s="605">
        <f t="shared" si="1"/>
        <v>30</v>
      </c>
      <c r="B44" s="294">
        <v>35500</v>
      </c>
      <c r="C44" s="4" t="s">
        <v>956</v>
      </c>
      <c r="D44" s="709">
        <v>169613.10633550028</v>
      </c>
      <c r="E44" s="338">
        <v>0</v>
      </c>
      <c r="F44" s="345">
        <f t="shared" si="2"/>
        <v>169613.10633550028</v>
      </c>
      <c r="G44" s="708">
        <f t="shared" si="7"/>
        <v>1</v>
      </c>
      <c r="H44" s="708">
        <f t="shared" si="7"/>
        <v>1</v>
      </c>
      <c r="I44" s="345">
        <f t="shared" si="8"/>
        <v>169613.10633550028</v>
      </c>
      <c r="K44" s="709">
        <v>167059.7673825002</v>
      </c>
      <c r="L44" s="708">
        <f t="shared" si="9"/>
        <v>1</v>
      </c>
      <c r="M44" s="708">
        <f t="shared" si="9"/>
        <v>1</v>
      </c>
      <c r="N44" s="345">
        <f t="shared" si="10"/>
        <v>167059.7673825002</v>
      </c>
      <c r="S44" s="294"/>
    </row>
    <row r="45" spans="1:19">
      <c r="A45" s="605">
        <f t="shared" si="1"/>
        <v>31</v>
      </c>
      <c r="B45" s="294">
        <v>35600</v>
      </c>
      <c r="C45" s="4" t="s">
        <v>1001</v>
      </c>
      <c r="D45" s="709">
        <v>339221.2913750005</v>
      </c>
      <c r="E45" s="551">
        <v>0</v>
      </c>
      <c r="F45" s="711">
        <f t="shared" si="2"/>
        <v>339221.2913750005</v>
      </c>
      <c r="G45" s="708">
        <f t="shared" si="7"/>
        <v>1</v>
      </c>
      <c r="H45" s="708">
        <f t="shared" si="7"/>
        <v>1</v>
      </c>
      <c r="I45" s="711">
        <f t="shared" si="8"/>
        <v>339221.2913750005</v>
      </c>
      <c r="K45" s="709">
        <v>322627.56812500034</v>
      </c>
      <c r="L45" s="708">
        <f t="shared" si="9"/>
        <v>1</v>
      </c>
      <c r="M45" s="708">
        <f t="shared" si="9"/>
        <v>1</v>
      </c>
      <c r="N45" s="711">
        <f t="shared" si="10"/>
        <v>322627.56812500034</v>
      </c>
      <c r="S45" s="294"/>
    </row>
    <row r="46" spans="1:19">
      <c r="A46" s="605">
        <f t="shared" si="1"/>
        <v>32</v>
      </c>
      <c r="B46" s="294"/>
      <c r="C46" s="4"/>
      <c r="D46" s="562"/>
      <c r="E46" s="338"/>
      <c r="F46" s="338"/>
      <c r="G46" s="266"/>
      <c r="H46" s="266"/>
      <c r="I46" s="338"/>
      <c r="K46" s="562"/>
      <c r="N46" s="338"/>
    </row>
    <row r="47" spans="1:19">
      <c r="A47" s="605">
        <f t="shared" si="1"/>
        <v>33</v>
      </c>
      <c r="B47" s="294"/>
      <c r="C47" s="4" t="s">
        <v>1304</v>
      </c>
      <c r="D47" s="707">
        <f>SUM(D29:D46)</f>
        <v>7380976.1600227524</v>
      </c>
      <c r="E47" s="707">
        <f>SUM(E29:E46)</f>
        <v>0</v>
      </c>
      <c r="F47" s="707">
        <f>SUM(F29:F46)</f>
        <v>7380976.1600227524</v>
      </c>
      <c r="G47" s="266"/>
      <c r="H47" s="266"/>
      <c r="I47" s="707">
        <f>SUM(I29:I46)</f>
        <v>7380976.1600227524</v>
      </c>
      <c r="K47" s="707">
        <f>SUM(K29:K46)</f>
        <v>7046197.2467433801</v>
      </c>
      <c r="N47" s="707">
        <f>SUM(N29:N46)</f>
        <v>7046197.2467433801</v>
      </c>
    </row>
    <row r="48" spans="1:19">
      <c r="A48" s="605">
        <f t="shared" si="1"/>
        <v>34</v>
      </c>
      <c r="B48" s="294"/>
      <c r="C48" s="4"/>
      <c r="D48" s="338"/>
      <c r="E48" s="338"/>
      <c r="F48" s="338"/>
      <c r="G48" s="266"/>
      <c r="H48" s="266"/>
      <c r="I48" s="338"/>
      <c r="K48" s="338"/>
      <c r="N48" s="338"/>
    </row>
    <row r="49" spans="1:19">
      <c r="A49" s="605">
        <f t="shared" si="1"/>
        <v>35</v>
      </c>
      <c r="B49" s="294"/>
      <c r="C49" s="16" t="s">
        <v>957</v>
      </c>
      <c r="D49" s="338"/>
      <c r="E49" s="338"/>
      <c r="F49" s="338"/>
      <c r="G49" s="266"/>
      <c r="H49" s="266"/>
      <c r="I49" s="338"/>
      <c r="K49" s="338"/>
      <c r="N49" s="338"/>
    </row>
    <row r="50" spans="1:19">
      <c r="A50" s="605">
        <f t="shared" si="1"/>
        <v>36</v>
      </c>
      <c r="B50" s="294">
        <v>36510</v>
      </c>
      <c r="C50" s="4" t="s">
        <v>283</v>
      </c>
      <c r="D50" s="720">
        <v>0</v>
      </c>
      <c r="E50" s="209">
        <v>0</v>
      </c>
      <c r="F50" s="707">
        <f t="shared" si="2"/>
        <v>0</v>
      </c>
      <c r="G50" s="708">
        <f t="shared" ref="G50:H58" si="11">$G$16</f>
        <v>1</v>
      </c>
      <c r="H50" s="708">
        <f t="shared" si="11"/>
        <v>1</v>
      </c>
      <c r="I50" s="707">
        <f t="shared" ref="I50:I58" si="12">F50*G50*H50</f>
        <v>0</v>
      </c>
      <c r="K50" s="720">
        <v>0</v>
      </c>
      <c r="L50" s="708">
        <f t="shared" ref="L50:M58" si="13">$G$16</f>
        <v>1</v>
      </c>
      <c r="M50" s="708">
        <f t="shared" si="13"/>
        <v>1</v>
      </c>
      <c r="N50" s="707">
        <f t="shared" ref="N50:N58" si="14">K50*L50*M50</f>
        <v>0</v>
      </c>
      <c r="S50" s="294"/>
    </row>
    <row r="51" spans="1:19">
      <c r="A51" s="605">
        <f t="shared" si="1"/>
        <v>37</v>
      </c>
      <c r="B51" s="294">
        <v>36520</v>
      </c>
      <c r="C51" s="4" t="s">
        <v>762</v>
      </c>
      <c r="D51" s="709">
        <v>591101.54850000015</v>
      </c>
      <c r="E51" s="338">
        <v>0</v>
      </c>
      <c r="F51" s="345">
        <f t="shared" si="2"/>
        <v>591101.54850000015</v>
      </c>
      <c r="G51" s="708">
        <f t="shared" si="11"/>
        <v>1</v>
      </c>
      <c r="H51" s="708">
        <f t="shared" si="11"/>
        <v>1</v>
      </c>
      <c r="I51" s="345">
        <f t="shared" si="12"/>
        <v>591101.54850000015</v>
      </c>
      <c r="K51" s="709">
        <v>587413.51750000019</v>
      </c>
      <c r="L51" s="708">
        <f t="shared" si="13"/>
        <v>1</v>
      </c>
      <c r="M51" s="708">
        <f t="shared" si="13"/>
        <v>1</v>
      </c>
      <c r="N51" s="345">
        <f t="shared" si="14"/>
        <v>587413.51750000019</v>
      </c>
      <c r="S51" s="294"/>
    </row>
    <row r="52" spans="1:19">
      <c r="A52" s="605">
        <f t="shared" si="1"/>
        <v>38</v>
      </c>
      <c r="B52" s="294">
        <v>36602</v>
      </c>
      <c r="C52" s="4" t="s">
        <v>825</v>
      </c>
      <c r="D52" s="709">
        <v>31369.273004666684</v>
      </c>
      <c r="E52" s="338">
        <v>0</v>
      </c>
      <c r="F52" s="345">
        <f t="shared" si="2"/>
        <v>31369.273004666684</v>
      </c>
      <c r="G52" s="708">
        <f t="shared" si="11"/>
        <v>1</v>
      </c>
      <c r="H52" s="708">
        <f t="shared" si="11"/>
        <v>1</v>
      </c>
      <c r="I52" s="345">
        <f t="shared" si="12"/>
        <v>31369.273004666684</v>
      </c>
      <c r="K52" s="709">
        <v>29121.515311666673</v>
      </c>
      <c r="L52" s="708">
        <f t="shared" si="13"/>
        <v>1</v>
      </c>
      <c r="M52" s="708">
        <f t="shared" si="13"/>
        <v>1</v>
      </c>
      <c r="N52" s="345">
        <f t="shared" si="14"/>
        <v>29121.515311666673</v>
      </c>
      <c r="S52" s="294"/>
    </row>
    <row r="53" spans="1:19">
      <c r="A53" s="605">
        <f t="shared" si="1"/>
        <v>39</v>
      </c>
      <c r="B53" s="294">
        <v>36603</v>
      </c>
      <c r="C53" s="4" t="s">
        <v>958</v>
      </c>
      <c r="D53" s="709">
        <v>62894.15</v>
      </c>
      <c r="E53" s="338">
        <v>0</v>
      </c>
      <c r="F53" s="345">
        <f t="shared" si="2"/>
        <v>62894.15</v>
      </c>
      <c r="G53" s="708">
        <f t="shared" si="11"/>
        <v>1</v>
      </c>
      <c r="H53" s="708">
        <f t="shared" si="11"/>
        <v>1</v>
      </c>
      <c r="I53" s="345">
        <f t="shared" si="12"/>
        <v>62894.15</v>
      </c>
      <c r="K53" s="709">
        <v>62894.150000000016</v>
      </c>
      <c r="L53" s="708">
        <f t="shared" si="13"/>
        <v>1</v>
      </c>
      <c r="M53" s="708">
        <f t="shared" si="13"/>
        <v>1</v>
      </c>
      <c r="N53" s="345">
        <f t="shared" si="14"/>
        <v>62894.150000000016</v>
      </c>
      <c r="S53" s="294"/>
    </row>
    <row r="54" spans="1:19">
      <c r="A54" s="605">
        <f t="shared" si="1"/>
        <v>40</v>
      </c>
      <c r="B54" s="294">
        <v>36700</v>
      </c>
      <c r="C54" s="4" t="s">
        <v>813</v>
      </c>
      <c r="D54" s="709">
        <v>33902.693740750015</v>
      </c>
      <c r="E54" s="338">
        <v>0</v>
      </c>
      <c r="F54" s="345">
        <f t="shared" si="2"/>
        <v>33902.693740750015</v>
      </c>
      <c r="G54" s="708">
        <f t="shared" si="11"/>
        <v>1</v>
      </c>
      <c r="H54" s="708">
        <f t="shared" si="11"/>
        <v>1</v>
      </c>
      <c r="I54" s="345">
        <f t="shared" si="12"/>
        <v>33902.693740750015</v>
      </c>
      <c r="K54" s="709">
        <v>33163.498386250001</v>
      </c>
      <c r="L54" s="708">
        <f t="shared" si="13"/>
        <v>1</v>
      </c>
      <c r="M54" s="708">
        <f t="shared" si="13"/>
        <v>1</v>
      </c>
      <c r="N54" s="345">
        <f t="shared" si="14"/>
        <v>33163.498386250001</v>
      </c>
      <c r="S54" s="294"/>
    </row>
    <row r="55" spans="1:19">
      <c r="A55" s="605">
        <f t="shared" si="1"/>
        <v>41</v>
      </c>
      <c r="B55" s="294">
        <v>36701</v>
      </c>
      <c r="C55" s="4" t="s">
        <v>15</v>
      </c>
      <c r="D55" s="709">
        <v>18236117.850218039</v>
      </c>
      <c r="E55" s="338">
        <v>0</v>
      </c>
      <c r="F55" s="345">
        <f t="shared" si="2"/>
        <v>18236117.850218039</v>
      </c>
      <c r="G55" s="708">
        <f t="shared" si="11"/>
        <v>1</v>
      </c>
      <c r="H55" s="708">
        <f t="shared" si="11"/>
        <v>1</v>
      </c>
      <c r="I55" s="345">
        <f t="shared" si="12"/>
        <v>18236117.850218039</v>
      </c>
      <c r="K55" s="709">
        <v>18044112.095870025</v>
      </c>
      <c r="L55" s="708">
        <f t="shared" si="13"/>
        <v>1</v>
      </c>
      <c r="M55" s="708">
        <f t="shared" si="13"/>
        <v>1</v>
      </c>
      <c r="N55" s="345">
        <f t="shared" si="14"/>
        <v>18044112.095870025</v>
      </c>
      <c r="S55" s="294"/>
    </row>
    <row r="56" spans="1:19">
      <c r="A56" s="605">
        <f t="shared" si="1"/>
        <v>42</v>
      </c>
      <c r="B56" s="294">
        <v>36703</v>
      </c>
      <c r="C56" s="98" t="s">
        <v>1494</v>
      </c>
      <c r="D56" s="709">
        <v>11179.769124999999</v>
      </c>
      <c r="E56" s="338">
        <v>0</v>
      </c>
      <c r="F56" s="345">
        <f t="shared" ref="F56" si="15">D56-E56</f>
        <v>11179.769124999999</v>
      </c>
      <c r="G56" s="708">
        <f t="shared" si="11"/>
        <v>1</v>
      </c>
      <c r="H56" s="708">
        <f t="shared" si="11"/>
        <v>1</v>
      </c>
      <c r="I56" s="345">
        <f t="shared" ref="I56" si="16">F56*G56*H56</f>
        <v>11179.769124999999</v>
      </c>
      <c r="K56" s="709">
        <v>11179.769124999995</v>
      </c>
      <c r="L56" s="708">
        <f t="shared" si="13"/>
        <v>1</v>
      </c>
      <c r="M56" s="708">
        <f t="shared" si="13"/>
        <v>1</v>
      </c>
      <c r="N56" s="345">
        <f t="shared" ref="N56" si="17">K56*L56*M56</f>
        <v>11179.769124999995</v>
      </c>
    </row>
    <row r="57" spans="1:19">
      <c r="A57" s="605">
        <f t="shared" si="1"/>
        <v>43</v>
      </c>
      <c r="B57" s="294">
        <v>36900</v>
      </c>
      <c r="C57" s="4" t="s">
        <v>959</v>
      </c>
      <c r="D57" s="709">
        <v>638455.19499175006</v>
      </c>
      <c r="E57" s="338">
        <v>0</v>
      </c>
      <c r="F57" s="345">
        <f t="shared" si="2"/>
        <v>638455.19499175006</v>
      </c>
      <c r="G57" s="708">
        <f t="shared" si="11"/>
        <v>1</v>
      </c>
      <c r="H57" s="708">
        <f t="shared" si="11"/>
        <v>1</v>
      </c>
      <c r="I57" s="345">
        <f t="shared" si="12"/>
        <v>638455.19499175006</v>
      </c>
      <c r="K57" s="709">
        <v>620558.88785125001</v>
      </c>
      <c r="L57" s="708">
        <f t="shared" si="13"/>
        <v>1</v>
      </c>
      <c r="M57" s="708">
        <f t="shared" si="13"/>
        <v>1</v>
      </c>
      <c r="N57" s="345">
        <f t="shared" si="14"/>
        <v>620558.88785125001</v>
      </c>
    </row>
    <row r="58" spans="1:19">
      <c r="A58" s="605">
        <f t="shared" si="1"/>
        <v>44</v>
      </c>
      <c r="B58" s="294">
        <v>36901</v>
      </c>
      <c r="C58" s="4" t="s">
        <v>959</v>
      </c>
      <c r="D58" s="709">
        <v>2044058.6252592499</v>
      </c>
      <c r="E58" s="551">
        <v>0</v>
      </c>
      <c r="F58" s="711">
        <f t="shared" si="2"/>
        <v>2044058.6252592499</v>
      </c>
      <c r="G58" s="708">
        <f t="shared" si="11"/>
        <v>1</v>
      </c>
      <c r="H58" s="708">
        <f t="shared" si="11"/>
        <v>1</v>
      </c>
      <c r="I58" s="711">
        <f t="shared" si="12"/>
        <v>2044058.6252592499</v>
      </c>
      <c r="K58" s="709">
        <v>2023746.6066137499</v>
      </c>
      <c r="L58" s="708">
        <f t="shared" si="13"/>
        <v>1</v>
      </c>
      <c r="M58" s="708">
        <f t="shared" si="13"/>
        <v>1</v>
      </c>
      <c r="N58" s="711">
        <f t="shared" si="14"/>
        <v>2023746.6066137499</v>
      </c>
    </row>
    <row r="59" spans="1:19">
      <c r="A59" s="605">
        <f t="shared" si="1"/>
        <v>45</v>
      </c>
      <c r="B59" s="294"/>
      <c r="C59" s="4"/>
      <c r="D59" s="562"/>
      <c r="E59" s="338"/>
      <c r="F59" s="338"/>
      <c r="G59" s="266"/>
      <c r="H59" s="266"/>
      <c r="I59" s="338"/>
      <c r="K59" s="562"/>
      <c r="N59" s="338"/>
    </row>
    <row r="60" spans="1:19">
      <c r="A60" s="605">
        <f t="shared" si="1"/>
        <v>46</v>
      </c>
      <c r="B60" s="382"/>
      <c r="C60" s="4" t="s">
        <v>1303</v>
      </c>
      <c r="D60" s="707">
        <f>SUM(D50:D59)</f>
        <v>21649079.104839455</v>
      </c>
      <c r="E60" s="707">
        <f>SUM(E50:E59)</f>
        <v>0</v>
      </c>
      <c r="F60" s="707">
        <f>SUM(F50:F59)</f>
        <v>21649079.104839455</v>
      </c>
      <c r="G60" s="266"/>
      <c r="H60" s="266"/>
      <c r="I60" s="707">
        <f>SUM(I50:I59)</f>
        <v>21649079.104839455</v>
      </c>
      <c r="K60" s="707">
        <f>SUM(K50:K59)</f>
        <v>21412190.040657941</v>
      </c>
      <c r="N60" s="707">
        <f>SUM(N50:N59)</f>
        <v>21412190.040657941</v>
      </c>
    </row>
    <row r="61" spans="1:19">
      <c r="A61" s="605">
        <f t="shared" si="1"/>
        <v>47</v>
      </c>
      <c r="B61" s="382"/>
      <c r="C61" s="1"/>
      <c r="D61" s="338"/>
      <c r="E61" s="338"/>
      <c r="F61" s="338"/>
      <c r="G61" s="266"/>
      <c r="H61" s="266"/>
      <c r="I61" s="338"/>
      <c r="K61" s="338"/>
      <c r="N61" s="338"/>
    </row>
    <row r="62" spans="1:19">
      <c r="A62" s="605">
        <f t="shared" si="1"/>
        <v>48</v>
      </c>
      <c r="B62" s="382"/>
      <c r="C62" s="16" t="s">
        <v>290</v>
      </c>
      <c r="D62" s="338"/>
      <c r="E62" s="338"/>
      <c r="F62" s="338"/>
      <c r="G62" s="266"/>
      <c r="H62" s="266"/>
      <c r="I62" s="338"/>
      <c r="K62" s="338"/>
      <c r="N62" s="338"/>
    </row>
    <row r="63" spans="1:19">
      <c r="A63" s="605">
        <f t="shared" si="1"/>
        <v>49</v>
      </c>
      <c r="B63" s="294">
        <v>37400</v>
      </c>
      <c r="C63" s="4" t="s">
        <v>1105</v>
      </c>
      <c r="D63" s="720">
        <v>0</v>
      </c>
      <c r="E63" s="209">
        <v>0</v>
      </c>
      <c r="F63" s="707">
        <f t="shared" si="2"/>
        <v>0</v>
      </c>
      <c r="G63" s="708">
        <f t="shared" ref="G63:H84" si="18">$G$16</f>
        <v>1</v>
      </c>
      <c r="H63" s="708">
        <f t="shared" si="18"/>
        <v>1</v>
      </c>
      <c r="I63" s="707">
        <f t="shared" ref="I63:I84" si="19">F63*G63*H63</f>
        <v>0</v>
      </c>
      <c r="K63" s="720">
        <v>0</v>
      </c>
      <c r="L63" s="708">
        <f t="shared" ref="L63:M84" si="20">$G$16</f>
        <v>1</v>
      </c>
      <c r="M63" s="708">
        <f t="shared" si="20"/>
        <v>1</v>
      </c>
      <c r="N63" s="707">
        <f t="shared" ref="N63:N84" si="21">K63*L63*M63</f>
        <v>0</v>
      </c>
    </row>
    <row r="64" spans="1:19">
      <c r="A64" s="605">
        <f t="shared" si="1"/>
        <v>50</v>
      </c>
      <c r="B64" s="294">
        <v>37401</v>
      </c>
      <c r="C64" s="4" t="s">
        <v>283</v>
      </c>
      <c r="D64" s="709">
        <v>0</v>
      </c>
      <c r="E64" s="338">
        <v>0</v>
      </c>
      <c r="F64" s="345">
        <f t="shared" si="2"/>
        <v>0</v>
      </c>
      <c r="G64" s="708">
        <f t="shared" si="18"/>
        <v>1</v>
      </c>
      <c r="H64" s="708">
        <f t="shared" si="18"/>
        <v>1</v>
      </c>
      <c r="I64" s="345">
        <f t="shared" si="19"/>
        <v>0</v>
      </c>
      <c r="K64" s="709">
        <v>0</v>
      </c>
      <c r="L64" s="708">
        <f t="shared" si="20"/>
        <v>1</v>
      </c>
      <c r="M64" s="708">
        <f t="shared" si="20"/>
        <v>1</v>
      </c>
      <c r="N64" s="345">
        <f t="shared" si="21"/>
        <v>0</v>
      </c>
    </row>
    <row r="65" spans="1:19">
      <c r="A65" s="605">
        <f t="shared" si="1"/>
        <v>51</v>
      </c>
      <c r="B65" s="294">
        <v>37402</v>
      </c>
      <c r="C65" s="4" t="s">
        <v>963</v>
      </c>
      <c r="D65" s="709">
        <v>671392.11669724877</v>
      </c>
      <c r="E65" s="338">
        <v>0</v>
      </c>
      <c r="F65" s="345">
        <f t="shared" si="2"/>
        <v>671392.11669724877</v>
      </c>
      <c r="G65" s="708">
        <f t="shared" si="18"/>
        <v>1</v>
      </c>
      <c r="H65" s="708">
        <f t="shared" si="18"/>
        <v>1</v>
      </c>
      <c r="I65" s="345">
        <f t="shared" si="19"/>
        <v>671392.11669724877</v>
      </c>
      <c r="K65" s="709">
        <v>644160.25478374911</v>
      </c>
      <c r="L65" s="708">
        <f t="shared" si="20"/>
        <v>1</v>
      </c>
      <c r="M65" s="708">
        <f t="shared" si="20"/>
        <v>1</v>
      </c>
      <c r="N65" s="345">
        <f t="shared" si="21"/>
        <v>644160.25478374911</v>
      </c>
    </row>
    <row r="66" spans="1:19">
      <c r="A66" s="605">
        <f t="shared" si="1"/>
        <v>52</v>
      </c>
      <c r="B66" s="294">
        <v>37403</v>
      </c>
      <c r="C66" s="4" t="s">
        <v>960</v>
      </c>
      <c r="D66" s="709">
        <v>0</v>
      </c>
      <c r="E66" s="338">
        <v>0</v>
      </c>
      <c r="F66" s="345">
        <f t="shared" si="2"/>
        <v>0</v>
      </c>
      <c r="G66" s="708">
        <f t="shared" si="18"/>
        <v>1</v>
      </c>
      <c r="H66" s="708">
        <f t="shared" si="18"/>
        <v>1</v>
      </c>
      <c r="I66" s="345">
        <f t="shared" si="19"/>
        <v>0</v>
      </c>
      <c r="K66" s="709">
        <v>0</v>
      </c>
      <c r="L66" s="708">
        <f t="shared" si="20"/>
        <v>1</v>
      </c>
      <c r="M66" s="708">
        <f t="shared" si="20"/>
        <v>1</v>
      </c>
      <c r="N66" s="345">
        <f t="shared" si="21"/>
        <v>0</v>
      </c>
    </row>
    <row r="67" spans="1:19">
      <c r="A67" s="605">
        <f t="shared" si="1"/>
        <v>53</v>
      </c>
      <c r="B67" s="294">
        <v>37500</v>
      </c>
      <c r="C67" s="4" t="s">
        <v>825</v>
      </c>
      <c r="D67" s="709">
        <v>138795.19200799998</v>
      </c>
      <c r="E67" s="338">
        <v>0</v>
      </c>
      <c r="F67" s="345">
        <f t="shared" si="2"/>
        <v>138795.19200799998</v>
      </c>
      <c r="G67" s="708">
        <f t="shared" si="18"/>
        <v>1</v>
      </c>
      <c r="H67" s="708">
        <f t="shared" si="18"/>
        <v>1</v>
      </c>
      <c r="I67" s="345">
        <f t="shared" si="19"/>
        <v>138795.19200799998</v>
      </c>
      <c r="K67" s="709">
        <v>136374.78571999999</v>
      </c>
      <c r="L67" s="708">
        <f t="shared" si="20"/>
        <v>1</v>
      </c>
      <c r="M67" s="708">
        <f t="shared" si="20"/>
        <v>1</v>
      </c>
      <c r="N67" s="345">
        <f t="shared" si="21"/>
        <v>136374.78571999999</v>
      </c>
    </row>
    <row r="68" spans="1:19">
      <c r="A68" s="605">
        <f t="shared" si="1"/>
        <v>54</v>
      </c>
      <c r="B68" s="294">
        <v>37501</v>
      </c>
      <c r="C68" s="4" t="s">
        <v>961</v>
      </c>
      <c r="D68" s="709">
        <v>82489.136875999931</v>
      </c>
      <c r="E68" s="338">
        <v>0</v>
      </c>
      <c r="F68" s="345">
        <f t="shared" si="2"/>
        <v>82489.136875999931</v>
      </c>
      <c r="G68" s="708">
        <f t="shared" si="18"/>
        <v>1</v>
      </c>
      <c r="H68" s="708">
        <f t="shared" si="18"/>
        <v>1</v>
      </c>
      <c r="I68" s="345">
        <f t="shared" si="19"/>
        <v>82489.136875999931</v>
      </c>
      <c r="K68" s="709">
        <v>81770.446339999951</v>
      </c>
      <c r="L68" s="708">
        <f t="shared" si="20"/>
        <v>1</v>
      </c>
      <c r="M68" s="708">
        <f t="shared" si="20"/>
        <v>1</v>
      </c>
      <c r="N68" s="345">
        <f t="shared" si="21"/>
        <v>81770.446339999951</v>
      </c>
    </row>
    <row r="69" spans="1:19">
      <c r="A69" s="605">
        <f t="shared" si="1"/>
        <v>55</v>
      </c>
      <c r="B69" s="294">
        <v>37502</v>
      </c>
      <c r="C69" s="4" t="s">
        <v>963</v>
      </c>
      <c r="D69" s="709">
        <v>41044.037588000057</v>
      </c>
      <c r="E69" s="338">
        <v>0</v>
      </c>
      <c r="F69" s="345">
        <f t="shared" si="2"/>
        <v>41044.037588000057</v>
      </c>
      <c r="G69" s="708">
        <f t="shared" si="18"/>
        <v>1</v>
      </c>
      <c r="H69" s="708">
        <f t="shared" si="18"/>
        <v>1</v>
      </c>
      <c r="I69" s="345">
        <f t="shared" si="19"/>
        <v>41044.037588000057</v>
      </c>
      <c r="K69" s="709">
        <v>40710.935420000038</v>
      </c>
      <c r="L69" s="708">
        <f t="shared" si="20"/>
        <v>1</v>
      </c>
      <c r="M69" s="708">
        <f t="shared" si="20"/>
        <v>1</v>
      </c>
      <c r="N69" s="345">
        <f t="shared" si="21"/>
        <v>40710.935420000038</v>
      </c>
    </row>
    <row r="70" spans="1:19">
      <c r="A70" s="605">
        <f t="shared" si="1"/>
        <v>56</v>
      </c>
      <c r="B70" s="294">
        <v>37503</v>
      </c>
      <c r="C70" s="4" t="s">
        <v>962</v>
      </c>
      <c r="D70" s="709">
        <v>2233.1780159999953</v>
      </c>
      <c r="E70" s="338">
        <v>0</v>
      </c>
      <c r="F70" s="345">
        <f t="shared" si="2"/>
        <v>2233.1780159999953</v>
      </c>
      <c r="G70" s="708">
        <f t="shared" si="18"/>
        <v>1</v>
      </c>
      <c r="H70" s="708">
        <f t="shared" si="18"/>
        <v>1</v>
      </c>
      <c r="I70" s="345">
        <f t="shared" si="19"/>
        <v>2233.1780159999953</v>
      </c>
      <c r="K70" s="709">
        <v>2204.3414399999965</v>
      </c>
      <c r="L70" s="708">
        <f t="shared" si="20"/>
        <v>1</v>
      </c>
      <c r="M70" s="708">
        <f t="shared" si="20"/>
        <v>1</v>
      </c>
      <c r="N70" s="345">
        <f t="shared" si="21"/>
        <v>2204.3414399999965</v>
      </c>
    </row>
    <row r="71" spans="1:19">
      <c r="A71" s="605">
        <f t="shared" si="1"/>
        <v>57</v>
      </c>
      <c r="B71" s="294">
        <v>37600</v>
      </c>
      <c r="C71" s="4" t="s">
        <v>813</v>
      </c>
      <c r="D71" s="709">
        <v>1871980.3256020006</v>
      </c>
      <c r="E71" s="338">
        <v>0</v>
      </c>
      <c r="F71" s="345">
        <f t="shared" si="2"/>
        <v>1871980.3256020006</v>
      </c>
      <c r="G71" s="708">
        <f t="shared" si="18"/>
        <v>1</v>
      </c>
      <c r="H71" s="708">
        <f t="shared" si="18"/>
        <v>1</v>
      </c>
      <c r="I71" s="345">
        <f t="shared" si="19"/>
        <v>1871980.3256020006</v>
      </c>
      <c r="K71" s="709">
        <v>1792334.3354300002</v>
      </c>
      <c r="L71" s="708">
        <f t="shared" si="20"/>
        <v>1</v>
      </c>
      <c r="M71" s="708">
        <f t="shared" si="20"/>
        <v>1</v>
      </c>
      <c r="N71" s="345">
        <f t="shared" si="21"/>
        <v>1792334.3354300002</v>
      </c>
    </row>
    <row r="72" spans="1:19">
      <c r="A72" s="605">
        <f t="shared" si="1"/>
        <v>58</v>
      </c>
      <c r="B72" s="294">
        <v>37601</v>
      </c>
      <c r="C72" s="4" t="s">
        <v>15</v>
      </c>
      <c r="D72" s="709">
        <v>32468120.211398236</v>
      </c>
      <c r="E72" s="338">
        <v>0</v>
      </c>
      <c r="F72" s="345">
        <f t="shared" si="2"/>
        <v>32468120.211398236</v>
      </c>
      <c r="G72" s="708">
        <f t="shared" si="18"/>
        <v>1</v>
      </c>
      <c r="H72" s="708">
        <f t="shared" si="18"/>
        <v>1</v>
      </c>
      <c r="I72" s="345">
        <f t="shared" si="19"/>
        <v>32468120.211398236</v>
      </c>
      <c r="K72" s="709">
        <v>30950942.27280936</v>
      </c>
      <c r="L72" s="708">
        <f t="shared" si="20"/>
        <v>1</v>
      </c>
      <c r="M72" s="708">
        <f t="shared" si="20"/>
        <v>1</v>
      </c>
      <c r="N72" s="345">
        <f t="shared" si="21"/>
        <v>30950942.27280936</v>
      </c>
    </row>
    <row r="73" spans="1:19">
      <c r="A73" s="605">
        <f t="shared" si="1"/>
        <v>59</v>
      </c>
      <c r="B73" s="294">
        <v>37602</v>
      </c>
      <c r="C73" s="4" t="s">
        <v>814</v>
      </c>
      <c r="D73" s="709">
        <v>29741302.785677046</v>
      </c>
      <c r="E73" s="338">
        <v>0</v>
      </c>
      <c r="F73" s="345">
        <f t="shared" si="2"/>
        <v>29741302.785677046</v>
      </c>
      <c r="G73" s="708">
        <f t="shared" si="18"/>
        <v>1</v>
      </c>
      <c r="H73" s="708">
        <f t="shared" si="18"/>
        <v>1</v>
      </c>
      <c r="I73" s="345">
        <f t="shared" si="19"/>
        <v>29741302.785677046</v>
      </c>
      <c r="K73" s="709">
        <v>28052270.449120466</v>
      </c>
      <c r="L73" s="708">
        <f t="shared" si="20"/>
        <v>1</v>
      </c>
      <c r="M73" s="708">
        <f t="shared" si="20"/>
        <v>1</v>
      </c>
      <c r="N73" s="345">
        <f t="shared" si="21"/>
        <v>28052270.449120466</v>
      </c>
    </row>
    <row r="74" spans="1:19">
      <c r="A74" s="605">
        <f t="shared" si="1"/>
        <v>60</v>
      </c>
      <c r="B74" s="294">
        <v>37603</v>
      </c>
      <c r="C74" s="98" t="s">
        <v>1494</v>
      </c>
      <c r="D74" s="709">
        <v>1903474.6067534592</v>
      </c>
      <c r="E74" s="338">
        <v>0</v>
      </c>
      <c r="F74" s="345">
        <f t="shared" ref="F74:F75" si="22">D74-E74</f>
        <v>1903474.6067534592</v>
      </c>
      <c r="G74" s="708">
        <f t="shared" si="18"/>
        <v>1</v>
      </c>
      <c r="H74" s="708">
        <f t="shared" si="18"/>
        <v>1</v>
      </c>
      <c r="I74" s="345">
        <f t="shared" ref="I74:I75" si="23">F74*G74*H74</f>
        <v>1903474.6067534592</v>
      </c>
      <c r="K74" s="709">
        <v>1851161.5227551018</v>
      </c>
      <c r="L74" s="708">
        <f t="shared" si="20"/>
        <v>1</v>
      </c>
      <c r="M74" s="708">
        <f t="shared" si="20"/>
        <v>1</v>
      </c>
      <c r="N74" s="345">
        <f t="shared" ref="N74:N75" si="24">K74*L74*M74</f>
        <v>1851161.5227551018</v>
      </c>
    </row>
    <row r="75" spans="1:19">
      <c r="A75" s="605">
        <f t="shared" si="1"/>
        <v>61</v>
      </c>
      <c r="B75" s="294">
        <v>37604</v>
      </c>
      <c r="C75" s="98" t="s">
        <v>1495</v>
      </c>
      <c r="D75" s="709">
        <v>5784829.7108749896</v>
      </c>
      <c r="E75" s="338">
        <v>0</v>
      </c>
      <c r="F75" s="345">
        <f t="shared" si="22"/>
        <v>5784829.7108749896</v>
      </c>
      <c r="G75" s="708">
        <f t="shared" si="18"/>
        <v>1</v>
      </c>
      <c r="H75" s="708">
        <f t="shared" si="18"/>
        <v>1</v>
      </c>
      <c r="I75" s="345">
        <f t="shared" si="23"/>
        <v>5784829.7108749896</v>
      </c>
      <c r="K75" s="709">
        <v>5615082.7306249924</v>
      </c>
      <c r="L75" s="708">
        <f t="shared" si="20"/>
        <v>1</v>
      </c>
      <c r="M75" s="708">
        <f t="shared" si="20"/>
        <v>1</v>
      </c>
      <c r="N75" s="345">
        <f t="shared" si="24"/>
        <v>5615082.7306249924</v>
      </c>
    </row>
    <row r="76" spans="1:19">
      <c r="A76" s="605">
        <f t="shared" si="1"/>
        <v>62</v>
      </c>
      <c r="B76" s="294">
        <v>37800</v>
      </c>
      <c r="C76" s="4" t="s">
        <v>221</v>
      </c>
      <c r="D76" s="709">
        <v>5449131.9869968779</v>
      </c>
      <c r="E76" s="338">
        <v>0</v>
      </c>
      <c r="F76" s="345">
        <f t="shared" si="2"/>
        <v>5449131.9869968779</v>
      </c>
      <c r="G76" s="708">
        <f t="shared" si="18"/>
        <v>1</v>
      </c>
      <c r="H76" s="708">
        <f t="shared" si="18"/>
        <v>1</v>
      </c>
      <c r="I76" s="345">
        <f t="shared" si="19"/>
        <v>5449131.9869968779</v>
      </c>
      <c r="K76" s="709">
        <v>5288176.6757347668</v>
      </c>
      <c r="L76" s="708">
        <f t="shared" si="20"/>
        <v>1</v>
      </c>
      <c r="M76" s="708">
        <f t="shared" si="20"/>
        <v>1</v>
      </c>
      <c r="N76" s="345">
        <f t="shared" si="21"/>
        <v>5288176.6757347668</v>
      </c>
    </row>
    <row r="77" spans="1:19">
      <c r="A77" s="605">
        <f t="shared" si="1"/>
        <v>63</v>
      </c>
      <c r="B77" s="294">
        <v>37900</v>
      </c>
      <c r="C77" s="4" t="s">
        <v>1148</v>
      </c>
      <c r="D77" s="709">
        <v>1571995.0767488321</v>
      </c>
      <c r="E77" s="338">
        <v>0</v>
      </c>
      <c r="F77" s="345">
        <f t="shared" si="2"/>
        <v>1571995.0767488321</v>
      </c>
      <c r="G77" s="708">
        <f t="shared" si="18"/>
        <v>1</v>
      </c>
      <c r="H77" s="708">
        <f t="shared" si="18"/>
        <v>1</v>
      </c>
      <c r="I77" s="345">
        <f t="shared" si="19"/>
        <v>1571995.0767488321</v>
      </c>
      <c r="K77" s="709">
        <v>1456650.9353581395</v>
      </c>
      <c r="L77" s="708">
        <f t="shared" si="20"/>
        <v>1</v>
      </c>
      <c r="M77" s="708">
        <f t="shared" si="20"/>
        <v>1</v>
      </c>
      <c r="N77" s="345">
        <f t="shared" si="21"/>
        <v>1456650.9353581395</v>
      </c>
      <c r="S77" s="294"/>
    </row>
    <row r="78" spans="1:19">
      <c r="A78" s="605">
        <f t="shared" si="1"/>
        <v>64</v>
      </c>
      <c r="B78" s="294">
        <v>37905</v>
      </c>
      <c r="C78" s="4" t="s">
        <v>698</v>
      </c>
      <c r="D78" s="709">
        <v>1087001.6199662487</v>
      </c>
      <c r="E78" s="338">
        <v>0</v>
      </c>
      <c r="F78" s="345">
        <f t="shared" si="2"/>
        <v>1087001.6199662487</v>
      </c>
      <c r="G78" s="708">
        <f t="shared" si="18"/>
        <v>1</v>
      </c>
      <c r="H78" s="708">
        <f t="shared" si="18"/>
        <v>1</v>
      </c>
      <c r="I78" s="345">
        <f t="shared" si="19"/>
        <v>1087001.6199662487</v>
      </c>
      <c r="K78" s="709">
        <v>1068358.1371187491</v>
      </c>
      <c r="L78" s="708">
        <f t="shared" si="20"/>
        <v>1</v>
      </c>
      <c r="M78" s="708">
        <f t="shared" si="20"/>
        <v>1</v>
      </c>
      <c r="N78" s="345">
        <f t="shared" si="21"/>
        <v>1068358.1371187491</v>
      </c>
      <c r="S78" s="294"/>
    </row>
    <row r="79" spans="1:19">
      <c r="A79" s="605">
        <f t="shared" si="1"/>
        <v>65</v>
      </c>
      <c r="B79" s="294">
        <v>38000</v>
      </c>
      <c r="C79" s="4" t="s">
        <v>1013</v>
      </c>
      <c r="D79" s="709">
        <v>39616201.847887792</v>
      </c>
      <c r="E79" s="338">
        <v>0</v>
      </c>
      <c r="F79" s="345">
        <f t="shared" ref="F79:F113" si="25">D79-E79</f>
        <v>39616201.847887792</v>
      </c>
      <c r="G79" s="708">
        <f t="shared" si="18"/>
        <v>1</v>
      </c>
      <c r="H79" s="708">
        <f t="shared" si="18"/>
        <v>1</v>
      </c>
      <c r="I79" s="345">
        <f t="shared" si="19"/>
        <v>39616201.847887792</v>
      </c>
      <c r="K79" s="709">
        <v>38828840.863869593</v>
      </c>
      <c r="L79" s="708">
        <f t="shared" si="20"/>
        <v>1</v>
      </c>
      <c r="M79" s="708">
        <f t="shared" si="20"/>
        <v>1</v>
      </c>
      <c r="N79" s="345">
        <f t="shared" si="21"/>
        <v>38828840.863869593</v>
      </c>
      <c r="S79" s="294"/>
    </row>
    <row r="80" spans="1:19">
      <c r="A80" s="605">
        <f t="shared" si="1"/>
        <v>66</v>
      </c>
      <c r="B80" s="294">
        <v>38100</v>
      </c>
      <c r="C80" s="4" t="s">
        <v>815</v>
      </c>
      <c r="D80" s="709">
        <v>24596262.17057592</v>
      </c>
      <c r="E80" s="338">
        <v>0</v>
      </c>
      <c r="F80" s="345">
        <f t="shared" si="25"/>
        <v>24596262.17057592</v>
      </c>
      <c r="G80" s="708">
        <f t="shared" si="18"/>
        <v>1</v>
      </c>
      <c r="H80" s="708">
        <f t="shared" si="18"/>
        <v>1</v>
      </c>
      <c r="I80" s="345">
        <f t="shared" si="19"/>
        <v>24596262.17057592</v>
      </c>
      <c r="K80" s="709">
        <v>23998005.816628303</v>
      </c>
      <c r="L80" s="708">
        <f t="shared" si="20"/>
        <v>1</v>
      </c>
      <c r="M80" s="708">
        <f t="shared" si="20"/>
        <v>1</v>
      </c>
      <c r="N80" s="345">
        <f t="shared" si="21"/>
        <v>23998005.816628303</v>
      </c>
      <c r="S80" s="294"/>
    </row>
    <row r="81" spans="1:19">
      <c r="A81" s="605">
        <f t="shared" si="1"/>
        <v>67</v>
      </c>
      <c r="B81" s="294">
        <v>38200</v>
      </c>
      <c r="C81" s="4" t="s">
        <v>420</v>
      </c>
      <c r="D81" s="709">
        <v>23561146.217364267</v>
      </c>
      <c r="E81" s="338">
        <v>0</v>
      </c>
      <c r="F81" s="345">
        <f t="shared" si="25"/>
        <v>23561146.217364267</v>
      </c>
      <c r="G81" s="708">
        <f t="shared" si="18"/>
        <v>1</v>
      </c>
      <c r="H81" s="708">
        <f t="shared" si="18"/>
        <v>1</v>
      </c>
      <c r="I81" s="345">
        <f t="shared" si="19"/>
        <v>23561146.217364267</v>
      </c>
      <c r="K81" s="709">
        <v>22719273.667824067</v>
      </c>
      <c r="L81" s="708">
        <f t="shared" si="20"/>
        <v>1</v>
      </c>
      <c r="M81" s="708">
        <f t="shared" si="20"/>
        <v>1</v>
      </c>
      <c r="N81" s="345">
        <f t="shared" si="21"/>
        <v>22719273.667824067</v>
      </c>
      <c r="S81" s="294"/>
    </row>
    <row r="82" spans="1:19">
      <c r="A82" s="605">
        <f t="shared" si="1"/>
        <v>68</v>
      </c>
      <c r="B82" s="294">
        <v>38300</v>
      </c>
      <c r="C82" s="4" t="s">
        <v>1014</v>
      </c>
      <c r="D82" s="709">
        <v>531749.3126750004</v>
      </c>
      <c r="E82" s="338">
        <v>0</v>
      </c>
      <c r="F82" s="345">
        <f t="shared" si="25"/>
        <v>531749.3126750004</v>
      </c>
      <c r="G82" s="708">
        <f t="shared" si="18"/>
        <v>1</v>
      </c>
      <c r="H82" s="708">
        <f t="shared" si="18"/>
        <v>1</v>
      </c>
      <c r="I82" s="345">
        <f t="shared" si="19"/>
        <v>531749.3126750004</v>
      </c>
      <c r="K82" s="709">
        <v>469349.7176250004</v>
      </c>
      <c r="L82" s="708">
        <f t="shared" si="20"/>
        <v>1</v>
      </c>
      <c r="M82" s="708">
        <f t="shared" si="20"/>
        <v>1</v>
      </c>
      <c r="N82" s="345">
        <f t="shared" si="21"/>
        <v>469349.7176250004</v>
      </c>
      <c r="S82" s="294"/>
    </row>
    <row r="83" spans="1:19">
      <c r="A83" s="605">
        <f t="shared" si="1"/>
        <v>69</v>
      </c>
      <c r="B83" s="294">
        <v>38400</v>
      </c>
      <c r="C83" s="4" t="s">
        <v>421</v>
      </c>
      <c r="D83" s="709">
        <v>136224.76789599998</v>
      </c>
      <c r="E83" s="338">
        <v>0</v>
      </c>
      <c r="F83" s="345">
        <f t="shared" si="25"/>
        <v>136224.76789599998</v>
      </c>
      <c r="G83" s="708">
        <f t="shared" si="18"/>
        <v>1</v>
      </c>
      <c r="H83" s="708">
        <f t="shared" si="18"/>
        <v>1</v>
      </c>
      <c r="I83" s="345">
        <f t="shared" si="19"/>
        <v>136224.76789599998</v>
      </c>
      <c r="K83" s="709">
        <v>130024.02563999996</v>
      </c>
      <c r="L83" s="708">
        <f t="shared" si="20"/>
        <v>1</v>
      </c>
      <c r="M83" s="708">
        <f t="shared" si="20"/>
        <v>1</v>
      </c>
      <c r="N83" s="345">
        <f t="shared" si="21"/>
        <v>130024.02563999996</v>
      </c>
      <c r="S83" s="294"/>
    </row>
    <row r="84" spans="1:19">
      <c r="A84" s="605">
        <f t="shared" ref="A84:A147" si="26">A83+1</f>
        <v>70</v>
      </c>
      <c r="B84" s="294">
        <v>38500</v>
      </c>
      <c r="C84" s="4" t="s">
        <v>422</v>
      </c>
      <c r="D84" s="709">
        <v>3139314.6840700028</v>
      </c>
      <c r="E84" s="338">
        <v>0</v>
      </c>
      <c r="F84" s="345">
        <f t="shared" si="25"/>
        <v>3139314.6840700028</v>
      </c>
      <c r="G84" s="708">
        <f t="shared" si="18"/>
        <v>1</v>
      </c>
      <c r="H84" s="708">
        <f t="shared" si="18"/>
        <v>1</v>
      </c>
      <c r="I84" s="345">
        <f t="shared" si="19"/>
        <v>3139314.6840700028</v>
      </c>
      <c r="K84" s="709">
        <v>3090644.720050002</v>
      </c>
      <c r="L84" s="708">
        <f t="shared" si="20"/>
        <v>1</v>
      </c>
      <c r="M84" s="708">
        <f t="shared" si="20"/>
        <v>1</v>
      </c>
      <c r="N84" s="345">
        <f t="shared" si="21"/>
        <v>3090644.720050002</v>
      </c>
      <c r="S84" s="294"/>
    </row>
    <row r="85" spans="1:19">
      <c r="A85" s="605">
        <f t="shared" si="26"/>
        <v>71</v>
      </c>
      <c r="B85" s="294"/>
      <c r="C85" s="4"/>
      <c r="D85" s="562"/>
      <c r="E85" s="562"/>
      <c r="F85" s="562"/>
      <c r="G85" s="266"/>
      <c r="H85" s="266"/>
      <c r="I85" s="562"/>
      <c r="K85" s="562"/>
      <c r="N85" s="562"/>
    </row>
    <row r="86" spans="1:19">
      <c r="A86" s="605">
        <f t="shared" si="26"/>
        <v>72</v>
      </c>
      <c r="B86" s="294"/>
      <c r="C86" s="4" t="s">
        <v>1302</v>
      </c>
      <c r="D86" s="707">
        <f>SUM(D63:D85)</f>
        <v>172394688.98567194</v>
      </c>
      <c r="E86" s="707">
        <f>SUM(E63:E85)</f>
        <v>0</v>
      </c>
      <c r="F86" s="707">
        <f>SUM(F63:F85)</f>
        <v>172394688.98567194</v>
      </c>
      <c r="G86" s="266"/>
      <c r="H86" s="266"/>
      <c r="I86" s="707">
        <f>SUM(I63:I85)</f>
        <v>172394688.98567194</v>
      </c>
      <c r="K86" s="707">
        <f>SUM(K63:K85)</f>
        <v>166216336.63429227</v>
      </c>
      <c r="N86" s="707">
        <f>SUM(N63:N85)</f>
        <v>166216336.63429227</v>
      </c>
    </row>
    <row r="87" spans="1:19">
      <c r="A87" s="605">
        <f t="shared" si="26"/>
        <v>73</v>
      </c>
      <c r="B87" s="294"/>
      <c r="C87" s="4"/>
      <c r="D87" s="338"/>
      <c r="E87" s="338"/>
      <c r="F87" s="338"/>
      <c r="G87" s="266"/>
      <c r="H87" s="266"/>
      <c r="I87" s="338"/>
      <c r="K87" s="338"/>
      <c r="N87" s="338"/>
    </row>
    <row r="88" spans="1:19">
      <c r="A88" s="605">
        <f t="shared" si="26"/>
        <v>74</v>
      </c>
      <c r="B88" s="382"/>
      <c r="C88" s="16" t="s">
        <v>292</v>
      </c>
      <c r="D88" s="338"/>
      <c r="E88" s="338"/>
      <c r="F88" s="338"/>
      <c r="G88" s="266"/>
      <c r="H88" s="266"/>
      <c r="I88" s="338"/>
      <c r="K88" s="338"/>
      <c r="N88" s="338"/>
    </row>
    <row r="89" spans="1:19">
      <c r="A89" s="605">
        <f t="shared" si="26"/>
        <v>75</v>
      </c>
      <c r="B89" s="294">
        <v>38900</v>
      </c>
      <c r="C89" s="4" t="s">
        <v>1431</v>
      </c>
      <c r="D89" s="720">
        <v>0</v>
      </c>
      <c r="E89" s="209">
        <v>0</v>
      </c>
      <c r="F89" s="707">
        <f t="shared" si="25"/>
        <v>0</v>
      </c>
      <c r="G89" s="708">
        <f t="shared" ref="G89:H107" si="27">$G$16</f>
        <v>1</v>
      </c>
      <c r="H89" s="708">
        <f t="shared" si="27"/>
        <v>1</v>
      </c>
      <c r="I89" s="707">
        <f t="shared" ref="I89:I113" si="28">F89*G89*H89</f>
        <v>0</v>
      </c>
      <c r="K89" s="720">
        <v>0</v>
      </c>
      <c r="L89" s="708">
        <f t="shared" ref="L89:M107" si="29">$G$16</f>
        <v>1</v>
      </c>
      <c r="M89" s="708">
        <f t="shared" si="29"/>
        <v>1</v>
      </c>
      <c r="N89" s="707">
        <f t="shared" ref="N89:N113" si="30">K89*L89*M89</f>
        <v>0</v>
      </c>
      <c r="S89" s="294"/>
    </row>
    <row r="90" spans="1:19">
      <c r="A90" s="605">
        <f t="shared" si="26"/>
        <v>76</v>
      </c>
      <c r="B90" s="294">
        <v>39000</v>
      </c>
      <c r="C90" s="4" t="s">
        <v>1432</v>
      </c>
      <c r="D90" s="709">
        <v>2081660.4897695004</v>
      </c>
      <c r="E90" s="338">
        <v>0</v>
      </c>
      <c r="F90" s="345">
        <f t="shared" si="25"/>
        <v>2081660.4897695004</v>
      </c>
      <c r="G90" s="708">
        <f t="shared" si="27"/>
        <v>1</v>
      </c>
      <c r="H90" s="708">
        <f t="shared" si="27"/>
        <v>1</v>
      </c>
      <c r="I90" s="345">
        <f t="shared" si="28"/>
        <v>2081660.4897695004</v>
      </c>
      <c r="K90" s="709">
        <v>1968462.7935251929</v>
      </c>
      <c r="L90" s="708">
        <f t="shared" si="29"/>
        <v>1</v>
      </c>
      <c r="M90" s="708">
        <f t="shared" si="29"/>
        <v>1</v>
      </c>
      <c r="N90" s="345">
        <f t="shared" si="30"/>
        <v>1968462.7935251929</v>
      </c>
      <c r="S90" s="294"/>
    </row>
    <row r="91" spans="1:19">
      <c r="A91" s="605">
        <f t="shared" si="26"/>
        <v>77</v>
      </c>
      <c r="B91" s="294">
        <v>39002</v>
      </c>
      <c r="C91" s="4" t="s">
        <v>1433</v>
      </c>
      <c r="D91" s="709">
        <v>120919.89899624998</v>
      </c>
      <c r="E91" s="338">
        <v>0</v>
      </c>
      <c r="F91" s="345">
        <f t="shared" si="25"/>
        <v>120919.89899624998</v>
      </c>
      <c r="G91" s="708">
        <f t="shared" si="27"/>
        <v>1</v>
      </c>
      <c r="H91" s="708">
        <f t="shared" si="27"/>
        <v>1</v>
      </c>
      <c r="I91" s="345">
        <f t="shared" si="28"/>
        <v>120919.89899624998</v>
      </c>
      <c r="K91" s="709">
        <v>118816.55356874998</v>
      </c>
      <c r="L91" s="708">
        <f t="shared" si="29"/>
        <v>1</v>
      </c>
      <c r="M91" s="708">
        <f t="shared" si="29"/>
        <v>1</v>
      </c>
      <c r="N91" s="345">
        <f t="shared" si="30"/>
        <v>118816.55356874998</v>
      </c>
      <c r="S91" s="294"/>
    </row>
    <row r="92" spans="1:19">
      <c r="A92" s="605">
        <f t="shared" si="26"/>
        <v>78</v>
      </c>
      <c r="B92" s="294">
        <v>39003</v>
      </c>
      <c r="C92" s="4" t="s">
        <v>1434</v>
      </c>
      <c r="D92" s="709">
        <v>345726.56786000059</v>
      </c>
      <c r="E92" s="338">
        <v>0</v>
      </c>
      <c r="F92" s="345">
        <f t="shared" si="25"/>
        <v>345726.56786000059</v>
      </c>
      <c r="G92" s="708">
        <f t="shared" si="27"/>
        <v>1</v>
      </c>
      <c r="H92" s="708">
        <f t="shared" si="27"/>
        <v>1</v>
      </c>
      <c r="I92" s="345">
        <f t="shared" si="28"/>
        <v>345726.56786000059</v>
      </c>
      <c r="K92" s="709">
        <v>335075.45990000042</v>
      </c>
      <c r="L92" s="708">
        <f t="shared" si="29"/>
        <v>1</v>
      </c>
      <c r="M92" s="708">
        <f t="shared" si="29"/>
        <v>1</v>
      </c>
      <c r="N92" s="345">
        <f t="shared" si="30"/>
        <v>335075.45990000042</v>
      </c>
      <c r="S92" s="294"/>
    </row>
    <row r="93" spans="1:19">
      <c r="A93" s="605">
        <f t="shared" si="26"/>
        <v>79</v>
      </c>
      <c r="B93" s="294">
        <v>39004</v>
      </c>
      <c r="C93" s="4" t="s">
        <v>1435</v>
      </c>
      <c r="D93" s="709">
        <v>9192.1129464999849</v>
      </c>
      <c r="E93" s="338">
        <v>0</v>
      </c>
      <c r="F93" s="345">
        <f t="shared" si="25"/>
        <v>9192.1129464999849</v>
      </c>
      <c r="G93" s="708">
        <f t="shared" si="27"/>
        <v>1</v>
      </c>
      <c r="H93" s="708">
        <f t="shared" si="27"/>
        <v>1</v>
      </c>
      <c r="I93" s="345">
        <f t="shared" si="28"/>
        <v>9192.1129464999849</v>
      </c>
      <c r="K93" s="709">
        <v>8915.5292474999897</v>
      </c>
      <c r="L93" s="708">
        <f t="shared" si="29"/>
        <v>1</v>
      </c>
      <c r="M93" s="708">
        <f t="shared" si="29"/>
        <v>1</v>
      </c>
      <c r="N93" s="345">
        <f t="shared" si="30"/>
        <v>8915.5292474999897</v>
      </c>
      <c r="S93" s="294"/>
    </row>
    <row r="94" spans="1:19">
      <c r="A94" s="605">
        <f t="shared" si="26"/>
        <v>80</v>
      </c>
      <c r="B94" s="294">
        <v>39009</v>
      </c>
      <c r="C94" s="4" t="s">
        <v>1436</v>
      </c>
      <c r="D94" s="709">
        <v>1267195.19</v>
      </c>
      <c r="E94" s="338">
        <v>0</v>
      </c>
      <c r="F94" s="345">
        <f t="shared" si="25"/>
        <v>1267195.19</v>
      </c>
      <c r="G94" s="708">
        <f t="shared" si="27"/>
        <v>1</v>
      </c>
      <c r="H94" s="708">
        <f t="shared" si="27"/>
        <v>1</v>
      </c>
      <c r="I94" s="345">
        <f t="shared" si="28"/>
        <v>1267195.19</v>
      </c>
      <c r="K94" s="709">
        <v>1267195.1899999997</v>
      </c>
      <c r="L94" s="708">
        <f t="shared" si="29"/>
        <v>1</v>
      </c>
      <c r="M94" s="708">
        <f t="shared" si="29"/>
        <v>1</v>
      </c>
      <c r="N94" s="345">
        <f t="shared" si="30"/>
        <v>1267195.1899999997</v>
      </c>
      <c r="S94" s="294"/>
    </row>
    <row r="95" spans="1:19">
      <c r="A95" s="605">
        <f t="shared" si="26"/>
        <v>81</v>
      </c>
      <c r="B95" s="294">
        <v>39100</v>
      </c>
      <c r="C95" s="4" t="s">
        <v>1437</v>
      </c>
      <c r="D95" s="709">
        <v>1519129.2392499982</v>
      </c>
      <c r="E95" s="338">
        <v>0</v>
      </c>
      <c r="F95" s="345">
        <f t="shared" si="25"/>
        <v>1519129.2392499982</v>
      </c>
      <c r="G95" s="708">
        <f t="shared" si="27"/>
        <v>1</v>
      </c>
      <c r="H95" s="708">
        <f t="shared" si="27"/>
        <v>1</v>
      </c>
      <c r="I95" s="345">
        <f t="shared" si="28"/>
        <v>1519129.2392499982</v>
      </c>
      <c r="K95" s="709">
        <v>1473705.7737499985</v>
      </c>
      <c r="L95" s="708">
        <f t="shared" si="29"/>
        <v>1</v>
      </c>
      <c r="M95" s="708">
        <f t="shared" si="29"/>
        <v>1</v>
      </c>
      <c r="N95" s="345">
        <f t="shared" si="30"/>
        <v>1473705.7737499985</v>
      </c>
      <c r="S95" s="294"/>
    </row>
    <row r="96" spans="1:19">
      <c r="A96" s="605">
        <f t="shared" si="26"/>
        <v>82</v>
      </c>
      <c r="B96" s="294">
        <v>39103</v>
      </c>
      <c r="C96" s="4" t="s">
        <v>750</v>
      </c>
      <c r="D96" s="709">
        <v>0</v>
      </c>
      <c r="E96" s="338">
        <v>0</v>
      </c>
      <c r="F96" s="345">
        <f t="shared" si="25"/>
        <v>0</v>
      </c>
      <c r="G96" s="708">
        <f t="shared" si="27"/>
        <v>1</v>
      </c>
      <c r="H96" s="708">
        <f t="shared" si="27"/>
        <v>1</v>
      </c>
      <c r="I96" s="345">
        <f t="shared" ref="I96:I100" si="31">F96*G96*H96</f>
        <v>0</v>
      </c>
      <c r="K96" s="709">
        <v>0</v>
      </c>
      <c r="L96" s="708">
        <f t="shared" si="29"/>
        <v>1</v>
      </c>
      <c r="M96" s="708">
        <f t="shared" si="29"/>
        <v>1</v>
      </c>
      <c r="N96" s="345">
        <f t="shared" ref="N96:N102" si="32">K96*L96*M96</f>
        <v>0</v>
      </c>
      <c r="S96" s="294"/>
    </row>
    <row r="97" spans="1:19">
      <c r="A97" s="605">
        <f t="shared" si="26"/>
        <v>83</v>
      </c>
      <c r="B97" s="294">
        <v>39200</v>
      </c>
      <c r="C97" s="4" t="s">
        <v>1438</v>
      </c>
      <c r="D97" s="709">
        <v>79838.629932499913</v>
      </c>
      <c r="E97" s="338">
        <v>0</v>
      </c>
      <c r="F97" s="345">
        <f t="shared" si="25"/>
        <v>79838.629932499913</v>
      </c>
      <c r="G97" s="708">
        <f t="shared" si="27"/>
        <v>1</v>
      </c>
      <c r="H97" s="708">
        <f t="shared" si="27"/>
        <v>1</v>
      </c>
      <c r="I97" s="345">
        <f t="shared" si="31"/>
        <v>79838.629932499913</v>
      </c>
      <c r="K97" s="709">
        <v>75816.964237499953</v>
      </c>
      <c r="L97" s="708">
        <f t="shared" si="29"/>
        <v>1</v>
      </c>
      <c r="M97" s="708">
        <f t="shared" si="29"/>
        <v>1</v>
      </c>
      <c r="N97" s="345">
        <f t="shared" si="32"/>
        <v>75816.964237499953</v>
      </c>
      <c r="S97" s="294"/>
    </row>
    <row r="98" spans="1:19">
      <c r="A98" s="605">
        <f t="shared" si="26"/>
        <v>84</v>
      </c>
      <c r="B98" s="294">
        <v>39202</v>
      </c>
      <c r="C98" s="4" t="s">
        <v>1439</v>
      </c>
      <c r="D98" s="709">
        <v>9472.1147649999984</v>
      </c>
      <c r="E98" s="338">
        <v>0</v>
      </c>
      <c r="F98" s="345">
        <f t="shared" si="25"/>
        <v>9472.1147649999984</v>
      </c>
      <c r="G98" s="708">
        <f t="shared" si="27"/>
        <v>1</v>
      </c>
      <c r="H98" s="708">
        <f t="shared" si="27"/>
        <v>1</v>
      </c>
      <c r="I98" s="345">
        <f t="shared" si="31"/>
        <v>9472.1147649999984</v>
      </c>
      <c r="K98" s="709">
        <v>8658.0219749999997</v>
      </c>
      <c r="L98" s="708">
        <f t="shared" si="29"/>
        <v>1</v>
      </c>
      <c r="M98" s="708">
        <f t="shared" si="29"/>
        <v>1</v>
      </c>
      <c r="N98" s="345">
        <f t="shared" si="32"/>
        <v>8658.0219749999997</v>
      </c>
      <c r="S98" s="294"/>
    </row>
    <row r="99" spans="1:19">
      <c r="A99" s="605">
        <f t="shared" si="26"/>
        <v>85</v>
      </c>
      <c r="B99" s="294">
        <v>39400</v>
      </c>
      <c r="C99" s="4" t="s">
        <v>1440</v>
      </c>
      <c r="D99" s="709">
        <v>3545207.3083107644</v>
      </c>
      <c r="E99" s="338">
        <v>0</v>
      </c>
      <c r="F99" s="345">
        <f t="shared" si="25"/>
        <v>3545207.3083107644</v>
      </c>
      <c r="G99" s="708">
        <f t="shared" si="27"/>
        <v>1</v>
      </c>
      <c r="H99" s="708">
        <f t="shared" si="27"/>
        <v>1</v>
      </c>
      <c r="I99" s="345">
        <f t="shared" si="31"/>
        <v>3545207.3083107644</v>
      </c>
      <c r="K99" s="709">
        <v>3345740.1291991076</v>
      </c>
      <c r="L99" s="708">
        <f t="shared" si="29"/>
        <v>1</v>
      </c>
      <c r="M99" s="708">
        <f t="shared" si="29"/>
        <v>1</v>
      </c>
      <c r="N99" s="345">
        <f t="shared" si="32"/>
        <v>3345740.1291991076</v>
      </c>
      <c r="S99" s="294"/>
    </row>
    <row r="100" spans="1:19">
      <c r="A100" s="605">
        <f t="shared" si="26"/>
        <v>86</v>
      </c>
      <c r="B100" s="294">
        <v>39603</v>
      </c>
      <c r="C100" s="4" t="s">
        <v>1441</v>
      </c>
      <c r="D100" s="709">
        <v>0</v>
      </c>
      <c r="E100" s="338">
        <v>0</v>
      </c>
      <c r="F100" s="345">
        <f t="shared" si="25"/>
        <v>0</v>
      </c>
      <c r="G100" s="708">
        <f t="shared" si="27"/>
        <v>1</v>
      </c>
      <c r="H100" s="708">
        <f t="shared" si="27"/>
        <v>1</v>
      </c>
      <c r="I100" s="345">
        <f t="shared" si="31"/>
        <v>0</v>
      </c>
      <c r="K100" s="709">
        <v>0</v>
      </c>
      <c r="L100" s="708">
        <f t="shared" si="29"/>
        <v>1</v>
      </c>
      <c r="M100" s="708">
        <f t="shared" si="29"/>
        <v>1</v>
      </c>
      <c r="N100" s="345">
        <f t="shared" si="32"/>
        <v>0</v>
      </c>
      <c r="S100" s="294"/>
    </row>
    <row r="101" spans="1:19">
      <c r="A101" s="605">
        <f t="shared" si="26"/>
        <v>87</v>
      </c>
      <c r="B101" s="294">
        <v>39604</v>
      </c>
      <c r="C101" s="4" t="s">
        <v>1442</v>
      </c>
      <c r="D101" s="709">
        <v>0</v>
      </c>
      <c r="E101" s="338">
        <v>0</v>
      </c>
      <c r="F101" s="345">
        <f t="shared" si="25"/>
        <v>0</v>
      </c>
      <c r="G101" s="708">
        <f t="shared" si="27"/>
        <v>1</v>
      </c>
      <c r="H101" s="708">
        <f t="shared" si="27"/>
        <v>1</v>
      </c>
      <c r="I101" s="345">
        <f t="shared" si="28"/>
        <v>0</v>
      </c>
      <c r="K101" s="709">
        <v>0</v>
      </c>
      <c r="L101" s="708">
        <f t="shared" si="29"/>
        <v>1</v>
      </c>
      <c r="M101" s="708">
        <f t="shared" si="29"/>
        <v>1</v>
      </c>
      <c r="N101" s="345">
        <f t="shared" si="32"/>
        <v>0</v>
      </c>
      <c r="S101" s="294"/>
    </row>
    <row r="102" spans="1:19">
      <c r="A102" s="605">
        <f t="shared" si="26"/>
        <v>88</v>
      </c>
      <c r="B102" s="294">
        <v>39605</v>
      </c>
      <c r="C102" s="4" t="s">
        <v>1443</v>
      </c>
      <c r="D102" s="709">
        <v>0</v>
      </c>
      <c r="E102" s="338">
        <v>0</v>
      </c>
      <c r="F102" s="345">
        <f t="shared" si="25"/>
        <v>0</v>
      </c>
      <c r="G102" s="708">
        <f t="shared" si="27"/>
        <v>1</v>
      </c>
      <c r="H102" s="708">
        <f t="shared" si="27"/>
        <v>1</v>
      </c>
      <c r="I102" s="345">
        <f t="shared" si="28"/>
        <v>0</v>
      </c>
      <c r="K102" s="709">
        <v>0</v>
      </c>
      <c r="L102" s="708">
        <f t="shared" si="29"/>
        <v>1</v>
      </c>
      <c r="M102" s="708">
        <f t="shared" si="29"/>
        <v>1</v>
      </c>
      <c r="N102" s="345">
        <f t="shared" si="32"/>
        <v>0</v>
      </c>
      <c r="S102" s="294"/>
    </row>
    <row r="103" spans="1:19">
      <c r="A103" s="605">
        <f t="shared" si="26"/>
        <v>89</v>
      </c>
      <c r="B103" s="294">
        <v>39700</v>
      </c>
      <c r="C103" s="4" t="s">
        <v>1444</v>
      </c>
      <c r="D103" s="709">
        <v>381124.8991997501</v>
      </c>
      <c r="E103" s="338">
        <v>0</v>
      </c>
      <c r="F103" s="345">
        <f t="shared" si="25"/>
        <v>381124.8991997501</v>
      </c>
      <c r="G103" s="708">
        <f t="shared" si="27"/>
        <v>1</v>
      </c>
      <c r="H103" s="708">
        <f t="shared" si="27"/>
        <v>1</v>
      </c>
      <c r="I103" s="345">
        <f t="shared" si="28"/>
        <v>381124.8991997501</v>
      </c>
      <c r="K103" s="709">
        <v>366653.0765712501</v>
      </c>
      <c r="L103" s="708">
        <f t="shared" si="29"/>
        <v>1</v>
      </c>
      <c r="M103" s="708">
        <f t="shared" si="29"/>
        <v>1</v>
      </c>
      <c r="N103" s="345">
        <f t="shared" si="30"/>
        <v>366653.0765712501</v>
      </c>
      <c r="S103" s="294"/>
    </row>
    <row r="104" spans="1:19">
      <c r="A104" s="605">
        <f t="shared" si="26"/>
        <v>90</v>
      </c>
      <c r="B104" s="382">
        <v>39701</v>
      </c>
      <c r="C104" s="4" t="s">
        <v>1405</v>
      </c>
      <c r="D104" s="709">
        <v>0</v>
      </c>
      <c r="E104" s="338">
        <v>0</v>
      </c>
      <c r="F104" s="345">
        <f t="shared" si="25"/>
        <v>0</v>
      </c>
      <c r="G104" s="708">
        <f t="shared" si="27"/>
        <v>1</v>
      </c>
      <c r="H104" s="708">
        <f t="shared" si="27"/>
        <v>1</v>
      </c>
      <c r="I104" s="345">
        <f t="shared" si="28"/>
        <v>0</v>
      </c>
      <c r="K104" s="709">
        <v>0</v>
      </c>
      <c r="L104" s="708">
        <f t="shared" si="29"/>
        <v>1</v>
      </c>
      <c r="M104" s="708">
        <f t="shared" si="29"/>
        <v>1</v>
      </c>
      <c r="N104" s="345">
        <f t="shared" si="30"/>
        <v>0</v>
      </c>
      <c r="S104" s="294"/>
    </row>
    <row r="105" spans="1:19">
      <c r="A105" s="605">
        <f t="shared" si="26"/>
        <v>91</v>
      </c>
      <c r="B105" s="382">
        <v>39702</v>
      </c>
      <c r="C105" s="1" t="s">
        <v>1405</v>
      </c>
      <c r="D105" s="709">
        <v>0</v>
      </c>
      <c r="E105" s="338">
        <v>0</v>
      </c>
      <c r="F105" s="345">
        <f t="shared" si="25"/>
        <v>0</v>
      </c>
      <c r="G105" s="708">
        <f t="shared" si="27"/>
        <v>1</v>
      </c>
      <c r="H105" s="708">
        <f t="shared" si="27"/>
        <v>1</v>
      </c>
      <c r="I105" s="345">
        <f t="shared" si="28"/>
        <v>0</v>
      </c>
      <c r="K105" s="709">
        <v>0</v>
      </c>
      <c r="L105" s="708">
        <f t="shared" si="29"/>
        <v>1</v>
      </c>
      <c r="M105" s="708">
        <f t="shared" si="29"/>
        <v>1</v>
      </c>
      <c r="N105" s="345">
        <f t="shared" si="30"/>
        <v>0</v>
      </c>
      <c r="S105" s="294"/>
    </row>
    <row r="106" spans="1:19">
      <c r="A106" s="605">
        <f t="shared" si="26"/>
        <v>92</v>
      </c>
      <c r="B106" s="382">
        <v>39705</v>
      </c>
      <c r="C106" s="4" t="s">
        <v>1445</v>
      </c>
      <c r="D106" s="709">
        <v>0</v>
      </c>
      <c r="E106" s="338">
        <v>0</v>
      </c>
      <c r="F106" s="345">
        <f t="shared" si="25"/>
        <v>0</v>
      </c>
      <c r="G106" s="708">
        <f t="shared" si="27"/>
        <v>1</v>
      </c>
      <c r="H106" s="708">
        <f t="shared" si="27"/>
        <v>1</v>
      </c>
      <c r="I106" s="345">
        <f t="shared" si="28"/>
        <v>0</v>
      </c>
      <c r="K106" s="709">
        <v>0</v>
      </c>
      <c r="L106" s="708">
        <f t="shared" si="29"/>
        <v>1</v>
      </c>
      <c r="M106" s="708">
        <f t="shared" si="29"/>
        <v>1</v>
      </c>
      <c r="N106" s="345">
        <f t="shared" si="30"/>
        <v>0</v>
      </c>
      <c r="S106" s="294"/>
    </row>
    <row r="107" spans="1:19">
      <c r="A107" s="605">
        <f t="shared" si="26"/>
        <v>93</v>
      </c>
      <c r="B107" s="382">
        <v>39800</v>
      </c>
      <c r="C107" s="4" t="s">
        <v>1446</v>
      </c>
      <c r="D107" s="709">
        <v>1648359.3640143406</v>
      </c>
      <c r="E107" s="338">
        <v>0</v>
      </c>
      <c r="F107" s="345">
        <f t="shared" si="25"/>
        <v>1648359.3640143406</v>
      </c>
      <c r="G107" s="708">
        <f t="shared" si="27"/>
        <v>1</v>
      </c>
      <c r="H107" s="708">
        <f t="shared" si="27"/>
        <v>1</v>
      </c>
      <c r="I107" s="345">
        <f t="shared" si="28"/>
        <v>1648359.3640143406</v>
      </c>
      <c r="K107" s="709">
        <v>1548947.6940368994</v>
      </c>
      <c r="L107" s="708">
        <f t="shared" si="29"/>
        <v>1</v>
      </c>
      <c r="M107" s="708">
        <f t="shared" si="29"/>
        <v>1</v>
      </c>
      <c r="N107" s="345">
        <f t="shared" si="30"/>
        <v>1548947.6940368994</v>
      </c>
      <c r="S107" s="294"/>
    </row>
    <row r="108" spans="1:19">
      <c r="A108" s="605">
        <f t="shared" si="26"/>
        <v>94</v>
      </c>
      <c r="B108" s="382">
        <v>39901</v>
      </c>
      <c r="C108" s="4" t="s">
        <v>1406</v>
      </c>
      <c r="D108" s="709">
        <v>21595.121464083328</v>
      </c>
      <c r="E108" s="338">
        <v>0</v>
      </c>
      <c r="F108" s="345">
        <f t="shared" si="25"/>
        <v>21595.121464083328</v>
      </c>
      <c r="G108" s="708">
        <f t="shared" ref="G108:H114" si="33">$G$16</f>
        <v>1</v>
      </c>
      <c r="H108" s="708">
        <f t="shared" si="33"/>
        <v>1</v>
      </c>
      <c r="I108" s="345">
        <f t="shared" si="28"/>
        <v>21595.121464083328</v>
      </c>
      <c r="K108" s="709">
        <v>21595.121464083324</v>
      </c>
      <c r="L108" s="708">
        <f t="shared" ref="L108:M114" si="34">$G$16</f>
        <v>1</v>
      </c>
      <c r="M108" s="708">
        <f t="shared" si="34"/>
        <v>1</v>
      </c>
      <c r="N108" s="345">
        <f t="shared" si="30"/>
        <v>21595.121464083324</v>
      </c>
      <c r="S108" s="294"/>
    </row>
    <row r="109" spans="1:19">
      <c r="A109" s="605">
        <f t="shared" si="26"/>
        <v>95</v>
      </c>
      <c r="B109" s="382">
        <v>39902</v>
      </c>
      <c r="C109" s="4" t="s">
        <v>1407</v>
      </c>
      <c r="D109" s="709">
        <v>0</v>
      </c>
      <c r="E109" s="338">
        <v>0</v>
      </c>
      <c r="F109" s="345">
        <f t="shared" si="25"/>
        <v>0</v>
      </c>
      <c r="G109" s="708">
        <f t="shared" si="33"/>
        <v>1</v>
      </c>
      <c r="H109" s="708">
        <f t="shared" si="33"/>
        <v>1</v>
      </c>
      <c r="I109" s="345">
        <f t="shared" si="28"/>
        <v>0</v>
      </c>
      <c r="K109" s="709">
        <v>0</v>
      </c>
      <c r="L109" s="708">
        <f t="shared" si="34"/>
        <v>1</v>
      </c>
      <c r="M109" s="708">
        <f t="shared" si="34"/>
        <v>1</v>
      </c>
      <c r="N109" s="345">
        <f t="shared" si="30"/>
        <v>0</v>
      </c>
      <c r="S109" s="294"/>
    </row>
    <row r="110" spans="1:19">
      <c r="A110" s="605">
        <f t="shared" si="26"/>
        <v>96</v>
      </c>
      <c r="B110" s="382">
        <v>39903</v>
      </c>
      <c r="C110" s="4" t="s">
        <v>1447</v>
      </c>
      <c r="D110" s="709">
        <v>0</v>
      </c>
      <c r="E110" s="338">
        <v>0</v>
      </c>
      <c r="F110" s="345">
        <f t="shared" si="25"/>
        <v>0</v>
      </c>
      <c r="G110" s="708">
        <f t="shared" si="33"/>
        <v>1</v>
      </c>
      <c r="H110" s="708">
        <f t="shared" si="33"/>
        <v>1</v>
      </c>
      <c r="I110" s="345">
        <f t="shared" si="28"/>
        <v>0</v>
      </c>
      <c r="K110" s="709">
        <v>0</v>
      </c>
      <c r="L110" s="708">
        <f t="shared" si="34"/>
        <v>1</v>
      </c>
      <c r="M110" s="708">
        <f t="shared" si="34"/>
        <v>1</v>
      </c>
      <c r="N110" s="345">
        <f t="shared" si="30"/>
        <v>0</v>
      </c>
      <c r="S110" s="294"/>
    </row>
    <row r="111" spans="1:19">
      <c r="A111" s="605">
        <f t="shared" si="26"/>
        <v>97</v>
      </c>
      <c r="B111" s="382">
        <v>39906</v>
      </c>
      <c r="C111" s="4" t="s">
        <v>1448</v>
      </c>
      <c r="D111" s="709">
        <v>530853.89041666675</v>
      </c>
      <c r="E111" s="338">
        <v>0</v>
      </c>
      <c r="F111" s="345">
        <f t="shared" si="25"/>
        <v>530853.89041666675</v>
      </c>
      <c r="G111" s="708">
        <f t="shared" si="33"/>
        <v>1</v>
      </c>
      <c r="H111" s="708">
        <f t="shared" si="33"/>
        <v>1</v>
      </c>
      <c r="I111" s="345">
        <f t="shared" si="28"/>
        <v>530853.89041666675</v>
      </c>
      <c r="K111" s="709">
        <v>530003.47110576939</v>
      </c>
      <c r="L111" s="708">
        <f t="shared" si="34"/>
        <v>1</v>
      </c>
      <c r="M111" s="708">
        <f t="shared" si="34"/>
        <v>1</v>
      </c>
      <c r="N111" s="345">
        <f t="shared" si="30"/>
        <v>530003.47110576939</v>
      </c>
      <c r="S111" s="294"/>
    </row>
    <row r="112" spans="1:19" ht="15" customHeight="1">
      <c r="A112" s="605">
        <f t="shared" si="26"/>
        <v>98</v>
      </c>
      <c r="B112" s="382">
        <v>39907</v>
      </c>
      <c r="C112" s="4" t="s">
        <v>1449</v>
      </c>
      <c r="D112" s="709">
        <v>0</v>
      </c>
      <c r="E112" s="338">
        <v>0</v>
      </c>
      <c r="F112" s="345">
        <f t="shared" si="25"/>
        <v>0</v>
      </c>
      <c r="G112" s="708">
        <f t="shared" si="33"/>
        <v>1</v>
      </c>
      <c r="H112" s="708">
        <f t="shared" si="33"/>
        <v>1</v>
      </c>
      <c r="I112" s="345">
        <f t="shared" si="28"/>
        <v>0</v>
      </c>
      <c r="K112" s="709">
        <v>0</v>
      </c>
      <c r="L112" s="708">
        <f t="shared" si="34"/>
        <v>1</v>
      </c>
      <c r="M112" s="708">
        <f t="shared" si="34"/>
        <v>1</v>
      </c>
      <c r="N112" s="345">
        <f t="shared" si="30"/>
        <v>0</v>
      </c>
      <c r="S112" s="294"/>
    </row>
    <row r="113" spans="1:19">
      <c r="A113" s="605">
        <f t="shared" si="26"/>
        <v>99</v>
      </c>
      <c r="B113" s="382">
        <v>39908</v>
      </c>
      <c r="C113" s="4" t="s">
        <v>1450</v>
      </c>
      <c r="D113" s="709">
        <v>0</v>
      </c>
      <c r="E113" s="338">
        <v>0</v>
      </c>
      <c r="F113" s="345">
        <f t="shared" si="25"/>
        <v>0</v>
      </c>
      <c r="G113" s="708">
        <f t="shared" si="33"/>
        <v>1</v>
      </c>
      <c r="H113" s="708">
        <f t="shared" si="33"/>
        <v>1</v>
      </c>
      <c r="I113" s="345">
        <f t="shared" si="28"/>
        <v>0</v>
      </c>
      <c r="K113" s="709">
        <v>0</v>
      </c>
      <c r="L113" s="708">
        <f t="shared" si="34"/>
        <v>1</v>
      </c>
      <c r="M113" s="708">
        <f t="shared" si="34"/>
        <v>1</v>
      </c>
      <c r="N113" s="345">
        <f t="shared" si="30"/>
        <v>0</v>
      </c>
      <c r="S113" s="294"/>
    </row>
    <row r="114" spans="1:19" ht="15" customHeight="1">
      <c r="A114" s="605">
        <f t="shared" si="26"/>
        <v>100</v>
      </c>
      <c r="B114" s="382" t="s">
        <v>1473</v>
      </c>
      <c r="C114" s="4" t="s">
        <v>1101</v>
      </c>
      <c r="D114" s="709">
        <v>-1655580.6699999992</v>
      </c>
      <c r="E114" s="338">
        <v>0</v>
      </c>
      <c r="F114" s="345">
        <f>D114-E114</f>
        <v>-1655580.6699999992</v>
      </c>
      <c r="G114" s="708">
        <f t="shared" si="33"/>
        <v>1</v>
      </c>
      <c r="H114" s="708">
        <f t="shared" si="33"/>
        <v>1</v>
      </c>
      <c r="I114" s="345">
        <f>F114*G114*H114</f>
        <v>-1655580.6699999992</v>
      </c>
      <c r="K114" s="709">
        <v>-1655580.6699999992</v>
      </c>
      <c r="L114" s="708">
        <f t="shared" si="34"/>
        <v>1</v>
      </c>
      <c r="M114" s="708">
        <f t="shared" si="34"/>
        <v>1</v>
      </c>
      <c r="N114" s="345">
        <f>K114*L114*M114</f>
        <v>-1655580.6699999992</v>
      </c>
    </row>
    <row r="115" spans="1:19" ht="15" customHeight="1">
      <c r="A115" s="605">
        <f t="shared" si="26"/>
        <v>101</v>
      </c>
      <c r="B115" s="382"/>
      <c r="C115" s="4"/>
      <c r="D115" s="562"/>
      <c r="E115" s="562"/>
      <c r="F115" s="562"/>
      <c r="I115" s="562"/>
      <c r="K115" s="562"/>
      <c r="N115" s="562"/>
    </row>
    <row r="116" spans="1:19">
      <c r="A116" s="605">
        <f t="shared" si="26"/>
        <v>102</v>
      </c>
      <c r="B116" s="382"/>
      <c r="C116" s="4" t="s">
        <v>1301</v>
      </c>
      <c r="D116" s="707">
        <f>SUM(D89:D115)</f>
        <v>9904694.1569253542</v>
      </c>
      <c r="E116" s="707">
        <f>SUM(E89:E115)</f>
        <v>0</v>
      </c>
      <c r="F116" s="707">
        <f>SUM(F89:F115)</f>
        <v>9904694.1569253542</v>
      </c>
      <c r="I116" s="707">
        <f>SUM(I89:I115)</f>
        <v>9904694.1569253542</v>
      </c>
      <c r="K116" s="707">
        <f>SUM(K89:K115)</f>
        <v>9414005.1085810512</v>
      </c>
      <c r="N116" s="707">
        <f>SUM(N89:N115)</f>
        <v>9414005.1085810512</v>
      </c>
    </row>
    <row r="117" spans="1:19">
      <c r="A117" s="605">
        <f t="shared" si="26"/>
        <v>103</v>
      </c>
      <c r="B117" s="382"/>
      <c r="C117" s="4"/>
      <c r="D117" s="338"/>
      <c r="E117" s="338"/>
      <c r="F117" s="338"/>
      <c r="I117" s="338"/>
      <c r="K117" s="338"/>
      <c r="N117" s="338"/>
    </row>
    <row r="118" spans="1:19">
      <c r="A118" s="605">
        <f t="shared" si="26"/>
        <v>104</v>
      </c>
      <c r="B118" s="228"/>
      <c r="C118" s="98" t="s">
        <v>1251</v>
      </c>
      <c r="D118" s="707">
        <f>D116+D86+D60+D47+D26+D19</f>
        <v>211457620.81745949</v>
      </c>
      <c r="E118" s="707">
        <f>E116+E86+E60+E47+E26+E19</f>
        <v>0</v>
      </c>
      <c r="F118" s="707">
        <f>F116+F86+F60+F47+F26+F19</f>
        <v>211457620.81745949</v>
      </c>
      <c r="I118" s="707">
        <f>I116+I86+I60+I47+I26+I19</f>
        <v>211457620.81745949</v>
      </c>
      <c r="K118" s="707">
        <f>K116+K86+K60+K47+K26+K19</f>
        <v>204216911.44027463</v>
      </c>
      <c r="N118" s="707">
        <f>N116+N86+N60+N47+N26+N19</f>
        <v>204216911.44027463</v>
      </c>
      <c r="R118" s="329"/>
      <c r="S118" s="329"/>
    </row>
    <row r="119" spans="1:19">
      <c r="A119" s="605">
        <f t="shared" si="26"/>
        <v>105</v>
      </c>
      <c r="B119" s="228"/>
      <c r="C119" s="4"/>
      <c r="D119" s="338"/>
    </row>
    <row r="120" spans="1:19">
      <c r="A120" s="605">
        <f t="shared" si="26"/>
        <v>106</v>
      </c>
      <c r="B120" s="228"/>
      <c r="C120" s="1"/>
      <c r="D120" s="338"/>
    </row>
    <row r="121" spans="1:19">
      <c r="A121" s="605">
        <f t="shared" si="26"/>
        <v>107</v>
      </c>
      <c r="B121" s="545"/>
      <c r="D121" s="338"/>
      <c r="G121"/>
      <c r="H121"/>
    </row>
    <row r="122" spans="1:19" ht="15.75">
      <c r="A122" s="605">
        <f t="shared" si="26"/>
        <v>108</v>
      </c>
      <c r="B122" s="550" t="s">
        <v>6</v>
      </c>
      <c r="D122" s="338"/>
      <c r="G122"/>
      <c r="H122"/>
    </row>
    <row r="123" spans="1:19">
      <c r="A123" s="605">
        <f t="shared" si="26"/>
        <v>109</v>
      </c>
      <c r="B123" s="545"/>
      <c r="D123" s="338"/>
      <c r="G123"/>
      <c r="H123"/>
    </row>
    <row r="124" spans="1:19">
      <c r="A124" s="605">
        <f t="shared" si="26"/>
        <v>110</v>
      </c>
      <c r="B124" s="228"/>
      <c r="C124" s="16" t="s">
        <v>288</v>
      </c>
      <c r="D124" s="338"/>
    </row>
    <row r="125" spans="1:19">
      <c r="A125" s="605">
        <f t="shared" si="26"/>
        <v>111</v>
      </c>
      <c r="B125" s="294">
        <v>30100</v>
      </c>
      <c r="C125" s="4" t="s">
        <v>282</v>
      </c>
      <c r="D125" s="720">
        <v>0</v>
      </c>
      <c r="E125" s="203">
        <v>0</v>
      </c>
      <c r="F125" s="707">
        <f>D125+E125</f>
        <v>0</v>
      </c>
      <c r="G125" s="708">
        <f>$G$16</f>
        <v>1</v>
      </c>
      <c r="H125" s="684">
        <f>Allocation!$D$17</f>
        <v>0.48899999999999999</v>
      </c>
      <c r="I125" s="707">
        <f>F125*G125*H125</f>
        <v>0</v>
      </c>
      <c r="K125" s="720">
        <v>0</v>
      </c>
      <c r="L125" s="708">
        <f t="shared" ref="L125:M126" si="35">G125</f>
        <v>1</v>
      </c>
      <c r="M125" s="360">
        <f t="shared" si="35"/>
        <v>0.48899999999999999</v>
      </c>
      <c r="N125" s="707">
        <f>K125*L125*M125</f>
        <v>0</v>
      </c>
    </row>
    <row r="126" spans="1:19">
      <c r="A126" s="605">
        <f t="shared" si="26"/>
        <v>112</v>
      </c>
      <c r="B126" s="294">
        <v>30300</v>
      </c>
      <c r="C126" s="4" t="s">
        <v>515</v>
      </c>
      <c r="D126" s="709">
        <v>0</v>
      </c>
      <c r="E126" s="549">
        <v>0</v>
      </c>
      <c r="F126" s="711">
        <f>D126+E126</f>
        <v>0</v>
      </c>
      <c r="G126" s="708">
        <f>$G$16</f>
        <v>1</v>
      </c>
      <c r="H126" s="360">
        <f>$H$125</f>
        <v>0.48899999999999999</v>
      </c>
      <c r="I126" s="711">
        <f>F126*G126*H126</f>
        <v>0</v>
      </c>
      <c r="K126" s="709">
        <v>0</v>
      </c>
      <c r="L126" s="708">
        <f t="shared" si="35"/>
        <v>1</v>
      </c>
      <c r="M126" s="360">
        <f t="shared" si="35"/>
        <v>0.48899999999999999</v>
      </c>
      <c r="N126" s="711">
        <f>K126*L126*M126</f>
        <v>0</v>
      </c>
    </row>
    <row r="127" spans="1:19">
      <c r="A127" s="605">
        <f t="shared" si="26"/>
        <v>113</v>
      </c>
      <c r="B127" s="294"/>
      <c r="C127" s="4"/>
      <c r="D127" s="339"/>
      <c r="E127" s="339"/>
      <c r="F127" s="339"/>
      <c r="K127" s="339"/>
    </row>
    <row r="128" spans="1:19">
      <c r="A128" s="605">
        <f t="shared" si="26"/>
        <v>114</v>
      </c>
      <c r="B128" s="382"/>
      <c r="C128" s="4" t="s">
        <v>289</v>
      </c>
      <c r="D128" s="707">
        <f>SUM(D125:D127)</f>
        <v>0</v>
      </c>
      <c r="E128" s="707">
        <f>SUM(E125:E127)</f>
        <v>0</v>
      </c>
      <c r="F128" s="707">
        <f>SUM(F125:F127)</f>
        <v>0</v>
      </c>
      <c r="G128" s="266"/>
      <c r="H128" s="266"/>
      <c r="I128" s="707">
        <f>SUM(I125:I127)</f>
        <v>0</v>
      </c>
      <c r="K128" s="707">
        <f>SUM(K125:K127)</f>
        <v>0</v>
      </c>
      <c r="N128" s="707">
        <f>SUM(N125:N127)</f>
        <v>0</v>
      </c>
    </row>
    <row r="129" spans="1:14">
      <c r="A129" s="605">
        <f t="shared" si="26"/>
        <v>115</v>
      </c>
      <c r="B129" s="561"/>
    </row>
    <row r="130" spans="1:14">
      <c r="A130" s="605">
        <f t="shared" si="26"/>
        <v>116</v>
      </c>
      <c r="B130" s="382"/>
      <c r="C130" s="16" t="s">
        <v>290</v>
      </c>
    </row>
    <row r="131" spans="1:14">
      <c r="A131" s="605">
        <f t="shared" si="26"/>
        <v>117</v>
      </c>
      <c r="B131" s="294">
        <v>37400</v>
      </c>
      <c r="C131" s="4" t="s">
        <v>1105</v>
      </c>
      <c r="D131" s="203">
        <v>0</v>
      </c>
      <c r="E131" s="203">
        <v>0</v>
      </c>
      <c r="F131" s="707">
        <f t="shared" ref="F131:F151" si="36">D131+E131</f>
        <v>0</v>
      </c>
      <c r="G131" s="708">
        <f t="shared" ref="G131:G151" si="37">$G$16</f>
        <v>1</v>
      </c>
      <c r="H131" s="360">
        <f t="shared" ref="H131:H151" si="38">$H$125</f>
        <v>0.48899999999999999</v>
      </c>
      <c r="I131" s="707">
        <f t="shared" ref="I131:I151" si="39">F131*G131*H131</f>
        <v>0</v>
      </c>
      <c r="K131" s="203">
        <v>0</v>
      </c>
      <c r="L131" s="708">
        <f t="shared" ref="L131:M151" si="40">G131</f>
        <v>1</v>
      </c>
      <c r="M131" s="360">
        <f t="shared" si="40"/>
        <v>0.48899999999999999</v>
      </c>
      <c r="N131" s="707">
        <f t="shared" ref="N131:N151" si="41">K131*L131*M131</f>
        <v>0</v>
      </c>
    </row>
    <row r="132" spans="1:14">
      <c r="A132" s="605">
        <f t="shared" si="26"/>
        <v>118</v>
      </c>
      <c r="B132" s="294">
        <v>35010</v>
      </c>
      <c r="C132" s="4" t="s">
        <v>283</v>
      </c>
      <c r="D132" s="248">
        <v>0</v>
      </c>
      <c r="E132" s="248">
        <v>0</v>
      </c>
      <c r="F132" s="345">
        <f t="shared" si="36"/>
        <v>0</v>
      </c>
      <c r="G132" s="708">
        <f t="shared" si="37"/>
        <v>1</v>
      </c>
      <c r="H132" s="360">
        <f t="shared" si="38"/>
        <v>0.48899999999999999</v>
      </c>
      <c r="I132" s="345">
        <f t="shared" si="39"/>
        <v>0</v>
      </c>
      <c r="K132" s="248">
        <v>0</v>
      </c>
      <c r="L132" s="708">
        <f t="shared" si="40"/>
        <v>1</v>
      </c>
      <c r="M132" s="360">
        <f t="shared" si="40"/>
        <v>0.48899999999999999</v>
      </c>
      <c r="N132" s="345">
        <f t="shared" si="41"/>
        <v>0</v>
      </c>
    </row>
    <row r="133" spans="1:14">
      <c r="A133" s="605">
        <f t="shared" si="26"/>
        <v>119</v>
      </c>
      <c r="B133" s="294">
        <v>37402</v>
      </c>
      <c r="C133" s="4" t="s">
        <v>963</v>
      </c>
      <c r="D133" s="248">
        <v>0</v>
      </c>
      <c r="E133" s="248">
        <v>0</v>
      </c>
      <c r="F133" s="345">
        <f t="shared" si="36"/>
        <v>0</v>
      </c>
      <c r="G133" s="708">
        <f t="shared" si="37"/>
        <v>1</v>
      </c>
      <c r="H133" s="360">
        <f t="shared" si="38"/>
        <v>0.48899999999999999</v>
      </c>
      <c r="I133" s="345">
        <f t="shared" si="39"/>
        <v>0</v>
      </c>
      <c r="K133" s="248">
        <v>0</v>
      </c>
      <c r="L133" s="708">
        <f t="shared" si="40"/>
        <v>1</v>
      </c>
      <c r="M133" s="360">
        <f t="shared" si="40"/>
        <v>0.48899999999999999</v>
      </c>
      <c r="N133" s="345">
        <f t="shared" si="41"/>
        <v>0</v>
      </c>
    </row>
    <row r="134" spans="1:14">
      <c r="A134" s="605">
        <f t="shared" si="26"/>
        <v>120</v>
      </c>
      <c r="B134" s="294">
        <v>37403</v>
      </c>
      <c r="C134" s="4" t="s">
        <v>960</v>
      </c>
      <c r="D134" s="248">
        <v>0</v>
      </c>
      <c r="E134" s="248">
        <v>0</v>
      </c>
      <c r="F134" s="345">
        <f t="shared" si="36"/>
        <v>0</v>
      </c>
      <c r="G134" s="708">
        <f t="shared" si="37"/>
        <v>1</v>
      </c>
      <c r="H134" s="360">
        <f t="shared" si="38"/>
        <v>0.48899999999999999</v>
      </c>
      <c r="I134" s="345">
        <f t="shared" si="39"/>
        <v>0</v>
      </c>
      <c r="K134" s="248">
        <v>0</v>
      </c>
      <c r="L134" s="708">
        <f t="shared" si="40"/>
        <v>1</v>
      </c>
      <c r="M134" s="360">
        <f t="shared" si="40"/>
        <v>0.48899999999999999</v>
      </c>
      <c r="N134" s="345">
        <f t="shared" si="41"/>
        <v>0</v>
      </c>
    </row>
    <row r="135" spans="1:14">
      <c r="A135" s="605">
        <f t="shared" si="26"/>
        <v>121</v>
      </c>
      <c r="B135" s="294">
        <v>36602</v>
      </c>
      <c r="C135" s="4" t="s">
        <v>825</v>
      </c>
      <c r="D135" s="248">
        <v>0</v>
      </c>
      <c r="E135" s="248">
        <v>0</v>
      </c>
      <c r="F135" s="345">
        <f t="shared" si="36"/>
        <v>0</v>
      </c>
      <c r="G135" s="708">
        <f t="shared" si="37"/>
        <v>1</v>
      </c>
      <c r="H135" s="360">
        <f t="shared" si="38"/>
        <v>0.48899999999999999</v>
      </c>
      <c r="I135" s="345">
        <f t="shared" si="39"/>
        <v>0</v>
      </c>
      <c r="K135" s="248">
        <v>0</v>
      </c>
      <c r="L135" s="708">
        <f t="shared" si="40"/>
        <v>1</v>
      </c>
      <c r="M135" s="360">
        <f t="shared" si="40"/>
        <v>0.48899999999999999</v>
      </c>
      <c r="N135" s="345">
        <f t="shared" si="41"/>
        <v>0</v>
      </c>
    </row>
    <row r="136" spans="1:14">
      <c r="A136" s="605">
        <f t="shared" si="26"/>
        <v>122</v>
      </c>
      <c r="B136" s="294">
        <v>37501</v>
      </c>
      <c r="C136" s="4" t="s">
        <v>961</v>
      </c>
      <c r="D136" s="248">
        <v>0</v>
      </c>
      <c r="E136" s="248">
        <v>0</v>
      </c>
      <c r="F136" s="345">
        <f t="shared" si="36"/>
        <v>0</v>
      </c>
      <c r="G136" s="708">
        <f t="shared" si="37"/>
        <v>1</v>
      </c>
      <c r="H136" s="360">
        <f t="shared" si="38"/>
        <v>0.48899999999999999</v>
      </c>
      <c r="I136" s="345">
        <f t="shared" si="39"/>
        <v>0</v>
      </c>
      <c r="K136" s="248">
        <v>0</v>
      </c>
      <c r="L136" s="708">
        <f t="shared" si="40"/>
        <v>1</v>
      </c>
      <c r="M136" s="360">
        <f t="shared" si="40"/>
        <v>0.48899999999999999</v>
      </c>
      <c r="N136" s="345">
        <f t="shared" si="41"/>
        <v>0</v>
      </c>
    </row>
    <row r="137" spans="1:14">
      <c r="A137" s="605">
        <f t="shared" si="26"/>
        <v>123</v>
      </c>
      <c r="B137" s="294">
        <v>37402</v>
      </c>
      <c r="C137" s="4" t="s">
        <v>963</v>
      </c>
      <c r="D137" s="248">
        <v>0</v>
      </c>
      <c r="E137" s="248">
        <v>0</v>
      </c>
      <c r="F137" s="345">
        <f t="shared" si="36"/>
        <v>0</v>
      </c>
      <c r="G137" s="708">
        <f t="shared" si="37"/>
        <v>1</v>
      </c>
      <c r="H137" s="360">
        <f t="shared" si="38"/>
        <v>0.48899999999999999</v>
      </c>
      <c r="I137" s="345">
        <f t="shared" si="39"/>
        <v>0</v>
      </c>
      <c r="K137" s="248">
        <v>0</v>
      </c>
      <c r="L137" s="708">
        <f t="shared" si="40"/>
        <v>1</v>
      </c>
      <c r="M137" s="360">
        <f t="shared" si="40"/>
        <v>0.48899999999999999</v>
      </c>
      <c r="N137" s="345">
        <f t="shared" si="41"/>
        <v>0</v>
      </c>
    </row>
    <row r="138" spans="1:14">
      <c r="A138" s="605">
        <f t="shared" si="26"/>
        <v>124</v>
      </c>
      <c r="B138" s="294">
        <v>37503</v>
      </c>
      <c r="C138" s="4" t="s">
        <v>962</v>
      </c>
      <c r="D138" s="248">
        <v>0</v>
      </c>
      <c r="E138" s="248">
        <v>0</v>
      </c>
      <c r="F138" s="345">
        <f t="shared" si="36"/>
        <v>0</v>
      </c>
      <c r="G138" s="708">
        <f t="shared" si="37"/>
        <v>1</v>
      </c>
      <c r="H138" s="360">
        <f t="shared" si="38"/>
        <v>0.48899999999999999</v>
      </c>
      <c r="I138" s="345">
        <f t="shared" si="39"/>
        <v>0</v>
      </c>
      <c r="K138" s="248">
        <v>0</v>
      </c>
      <c r="L138" s="708">
        <f t="shared" si="40"/>
        <v>1</v>
      </c>
      <c r="M138" s="360">
        <f t="shared" si="40"/>
        <v>0.48899999999999999</v>
      </c>
      <c r="N138" s="345">
        <f t="shared" si="41"/>
        <v>0</v>
      </c>
    </row>
    <row r="139" spans="1:14">
      <c r="A139" s="605">
        <f t="shared" si="26"/>
        <v>125</v>
      </c>
      <c r="B139" s="294">
        <v>36700</v>
      </c>
      <c r="C139" s="4" t="s">
        <v>813</v>
      </c>
      <c r="D139" s="248">
        <v>0</v>
      </c>
      <c r="E139" s="248">
        <v>0</v>
      </c>
      <c r="F139" s="345">
        <f t="shared" si="36"/>
        <v>0</v>
      </c>
      <c r="G139" s="708">
        <f t="shared" si="37"/>
        <v>1</v>
      </c>
      <c r="H139" s="360">
        <f t="shared" si="38"/>
        <v>0.48899999999999999</v>
      </c>
      <c r="I139" s="345">
        <f t="shared" si="39"/>
        <v>0</v>
      </c>
      <c r="K139" s="248">
        <v>0</v>
      </c>
      <c r="L139" s="708">
        <f t="shared" si="40"/>
        <v>1</v>
      </c>
      <c r="M139" s="360">
        <f t="shared" si="40"/>
        <v>0.48899999999999999</v>
      </c>
      <c r="N139" s="345">
        <f t="shared" si="41"/>
        <v>0</v>
      </c>
    </row>
    <row r="140" spans="1:14">
      <c r="A140" s="605">
        <f t="shared" si="26"/>
        <v>126</v>
      </c>
      <c r="B140" s="294">
        <v>36701</v>
      </c>
      <c r="C140" s="4" t="s">
        <v>15</v>
      </c>
      <c r="D140" s="248">
        <v>0</v>
      </c>
      <c r="E140" s="248">
        <v>0</v>
      </c>
      <c r="F140" s="345">
        <f t="shared" si="36"/>
        <v>0</v>
      </c>
      <c r="G140" s="708">
        <f t="shared" si="37"/>
        <v>1</v>
      </c>
      <c r="H140" s="360">
        <f t="shared" si="38"/>
        <v>0.48899999999999999</v>
      </c>
      <c r="I140" s="345">
        <f t="shared" si="39"/>
        <v>0</v>
      </c>
      <c r="K140" s="248">
        <v>0</v>
      </c>
      <c r="L140" s="708">
        <f t="shared" si="40"/>
        <v>1</v>
      </c>
      <c r="M140" s="360">
        <f t="shared" si="40"/>
        <v>0.48899999999999999</v>
      </c>
      <c r="N140" s="345">
        <f t="shared" si="41"/>
        <v>0</v>
      </c>
    </row>
    <row r="141" spans="1:14">
      <c r="A141" s="605">
        <f t="shared" si="26"/>
        <v>127</v>
      </c>
      <c r="B141" s="294">
        <v>37602</v>
      </c>
      <c r="C141" s="4" t="s">
        <v>814</v>
      </c>
      <c r="D141" s="248">
        <v>0</v>
      </c>
      <c r="E141" s="248">
        <v>0</v>
      </c>
      <c r="F141" s="345">
        <f t="shared" si="36"/>
        <v>0</v>
      </c>
      <c r="G141" s="708">
        <f t="shared" si="37"/>
        <v>1</v>
      </c>
      <c r="H141" s="360">
        <f t="shared" si="38"/>
        <v>0.48899999999999999</v>
      </c>
      <c r="I141" s="345">
        <f t="shared" si="39"/>
        <v>0</v>
      </c>
      <c r="K141" s="248">
        <v>0</v>
      </c>
      <c r="L141" s="708">
        <f t="shared" si="40"/>
        <v>1</v>
      </c>
      <c r="M141" s="360">
        <f t="shared" si="40"/>
        <v>0.48899999999999999</v>
      </c>
      <c r="N141" s="345">
        <f t="shared" si="41"/>
        <v>0</v>
      </c>
    </row>
    <row r="142" spans="1:14">
      <c r="A142" s="605">
        <f t="shared" si="26"/>
        <v>128</v>
      </c>
      <c r="B142" s="294">
        <v>37800</v>
      </c>
      <c r="C142" s="4" t="s">
        <v>221</v>
      </c>
      <c r="D142" s="248">
        <v>0</v>
      </c>
      <c r="E142" s="248">
        <v>0</v>
      </c>
      <c r="F142" s="345">
        <f t="shared" si="36"/>
        <v>0</v>
      </c>
      <c r="G142" s="708">
        <f t="shared" si="37"/>
        <v>1</v>
      </c>
      <c r="H142" s="360">
        <f t="shared" si="38"/>
        <v>0.48899999999999999</v>
      </c>
      <c r="I142" s="345">
        <f t="shared" si="39"/>
        <v>0</v>
      </c>
      <c r="K142" s="248">
        <v>0</v>
      </c>
      <c r="L142" s="708">
        <f t="shared" si="40"/>
        <v>1</v>
      </c>
      <c r="M142" s="360">
        <f t="shared" si="40"/>
        <v>0.48899999999999999</v>
      </c>
      <c r="N142" s="345">
        <f t="shared" si="41"/>
        <v>0</v>
      </c>
    </row>
    <row r="143" spans="1:14">
      <c r="A143" s="605">
        <f t="shared" si="26"/>
        <v>129</v>
      </c>
      <c r="B143" s="294">
        <v>37900</v>
      </c>
      <c r="C143" s="4" t="s">
        <v>1148</v>
      </c>
      <c r="D143" s="248">
        <v>0</v>
      </c>
      <c r="E143" s="248">
        <v>0</v>
      </c>
      <c r="F143" s="345">
        <f t="shared" si="36"/>
        <v>0</v>
      </c>
      <c r="G143" s="708">
        <f t="shared" si="37"/>
        <v>1</v>
      </c>
      <c r="H143" s="360">
        <f t="shared" si="38"/>
        <v>0.48899999999999999</v>
      </c>
      <c r="I143" s="345">
        <f t="shared" si="39"/>
        <v>0</v>
      </c>
      <c r="K143" s="248">
        <v>0</v>
      </c>
      <c r="L143" s="708">
        <f t="shared" si="40"/>
        <v>1</v>
      </c>
      <c r="M143" s="360">
        <f t="shared" si="40"/>
        <v>0.48899999999999999</v>
      </c>
      <c r="N143" s="345">
        <f t="shared" si="41"/>
        <v>0</v>
      </c>
    </row>
    <row r="144" spans="1:14">
      <c r="A144" s="605">
        <f t="shared" si="26"/>
        <v>130</v>
      </c>
      <c r="B144" s="294">
        <v>37905</v>
      </c>
      <c r="C144" s="4" t="s">
        <v>698</v>
      </c>
      <c r="D144" s="248">
        <v>0</v>
      </c>
      <c r="E144" s="248">
        <v>0</v>
      </c>
      <c r="F144" s="345">
        <f t="shared" si="36"/>
        <v>0</v>
      </c>
      <c r="G144" s="708">
        <f t="shared" si="37"/>
        <v>1</v>
      </c>
      <c r="H144" s="360">
        <f t="shared" si="38"/>
        <v>0.48899999999999999</v>
      </c>
      <c r="I144" s="345">
        <f t="shared" si="39"/>
        <v>0</v>
      </c>
      <c r="K144" s="248">
        <v>0</v>
      </c>
      <c r="L144" s="708">
        <f t="shared" si="40"/>
        <v>1</v>
      </c>
      <c r="M144" s="360">
        <f t="shared" si="40"/>
        <v>0.48899999999999999</v>
      </c>
      <c r="N144" s="345">
        <f t="shared" si="41"/>
        <v>0</v>
      </c>
    </row>
    <row r="145" spans="1:20">
      <c r="A145" s="605">
        <f t="shared" si="26"/>
        <v>131</v>
      </c>
      <c r="B145" s="294">
        <v>38000</v>
      </c>
      <c r="C145" s="4" t="s">
        <v>1013</v>
      </c>
      <c r="D145" s="248">
        <v>0</v>
      </c>
      <c r="E145" s="248">
        <v>0</v>
      </c>
      <c r="F145" s="345">
        <f t="shared" si="36"/>
        <v>0</v>
      </c>
      <c r="G145" s="708">
        <f t="shared" si="37"/>
        <v>1</v>
      </c>
      <c r="H145" s="360">
        <f t="shared" si="38"/>
        <v>0.48899999999999999</v>
      </c>
      <c r="I145" s="345">
        <f t="shared" si="39"/>
        <v>0</v>
      </c>
      <c r="K145" s="248">
        <v>0</v>
      </c>
      <c r="L145" s="708">
        <f t="shared" si="40"/>
        <v>1</v>
      </c>
      <c r="M145" s="360">
        <f t="shared" si="40"/>
        <v>0.48899999999999999</v>
      </c>
      <c r="N145" s="345">
        <f t="shared" si="41"/>
        <v>0</v>
      </c>
    </row>
    <row r="146" spans="1:20">
      <c r="A146" s="605">
        <f t="shared" si="26"/>
        <v>132</v>
      </c>
      <c r="B146" s="294">
        <v>38100</v>
      </c>
      <c r="C146" s="4" t="s">
        <v>815</v>
      </c>
      <c r="D146" s="248">
        <v>0</v>
      </c>
      <c r="E146" s="248">
        <v>0</v>
      </c>
      <c r="F146" s="345">
        <f t="shared" si="36"/>
        <v>0</v>
      </c>
      <c r="G146" s="708">
        <f t="shared" si="37"/>
        <v>1</v>
      </c>
      <c r="H146" s="360">
        <f t="shared" si="38"/>
        <v>0.48899999999999999</v>
      </c>
      <c r="I146" s="345">
        <f t="shared" si="39"/>
        <v>0</v>
      </c>
      <c r="K146" s="248">
        <v>0</v>
      </c>
      <c r="L146" s="708">
        <f t="shared" si="40"/>
        <v>1</v>
      </c>
      <c r="M146" s="360">
        <f t="shared" si="40"/>
        <v>0.48899999999999999</v>
      </c>
      <c r="N146" s="345">
        <f t="shared" si="41"/>
        <v>0</v>
      </c>
    </row>
    <row r="147" spans="1:20">
      <c r="A147" s="605">
        <f t="shared" si="26"/>
        <v>133</v>
      </c>
      <c r="B147" s="294">
        <v>38200</v>
      </c>
      <c r="C147" s="4" t="s">
        <v>420</v>
      </c>
      <c r="D147" s="248">
        <v>0</v>
      </c>
      <c r="E147" s="248">
        <v>0</v>
      </c>
      <c r="F147" s="345">
        <f t="shared" si="36"/>
        <v>0</v>
      </c>
      <c r="G147" s="708">
        <f t="shared" si="37"/>
        <v>1</v>
      </c>
      <c r="H147" s="360">
        <f t="shared" si="38"/>
        <v>0.48899999999999999</v>
      </c>
      <c r="I147" s="345">
        <f t="shared" si="39"/>
        <v>0</v>
      </c>
      <c r="K147" s="248">
        <v>0</v>
      </c>
      <c r="L147" s="708">
        <f t="shared" si="40"/>
        <v>1</v>
      </c>
      <c r="M147" s="360">
        <f t="shared" si="40"/>
        <v>0.48899999999999999</v>
      </c>
      <c r="N147" s="345">
        <f t="shared" si="41"/>
        <v>0</v>
      </c>
    </row>
    <row r="148" spans="1:20">
      <c r="A148" s="605">
        <f t="shared" ref="A148:A211" si="42">A147+1</f>
        <v>134</v>
      </c>
      <c r="B148" s="294">
        <v>38300</v>
      </c>
      <c r="C148" s="4" t="s">
        <v>1014</v>
      </c>
      <c r="D148" s="248">
        <v>0</v>
      </c>
      <c r="E148" s="248">
        <v>0</v>
      </c>
      <c r="F148" s="345">
        <f t="shared" si="36"/>
        <v>0</v>
      </c>
      <c r="G148" s="708">
        <f t="shared" si="37"/>
        <v>1</v>
      </c>
      <c r="H148" s="360">
        <f t="shared" si="38"/>
        <v>0.48899999999999999</v>
      </c>
      <c r="I148" s="345">
        <f t="shared" si="39"/>
        <v>0</v>
      </c>
      <c r="K148" s="248">
        <v>0</v>
      </c>
      <c r="L148" s="708">
        <f t="shared" si="40"/>
        <v>1</v>
      </c>
      <c r="M148" s="360">
        <f t="shared" si="40"/>
        <v>0.48899999999999999</v>
      </c>
      <c r="N148" s="345">
        <f t="shared" si="41"/>
        <v>0</v>
      </c>
    </row>
    <row r="149" spans="1:20">
      <c r="A149" s="605">
        <f t="shared" si="42"/>
        <v>135</v>
      </c>
      <c r="B149" s="294">
        <v>38400</v>
      </c>
      <c r="C149" s="4" t="s">
        <v>421</v>
      </c>
      <c r="D149" s="248">
        <v>0</v>
      </c>
      <c r="E149" s="248">
        <v>0</v>
      </c>
      <c r="F149" s="345">
        <f t="shared" si="36"/>
        <v>0</v>
      </c>
      <c r="G149" s="708">
        <f t="shared" si="37"/>
        <v>1</v>
      </c>
      <c r="H149" s="360">
        <f t="shared" si="38"/>
        <v>0.48899999999999999</v>
      </c>
      <c r="I149" s="345">
        <f t="shared" si="39"/>
        <v>0</v>
      </c>
      <c r="K149" s="248">
        <v>0</v>
      </c>
      <c r="L149" s="708">
        <f t="shared" si="40"/>
        <v>1</v>
      </c>
      <c r="M149" s="360">
        <f t="shared" si="40"/>
        <v>0.48899999999999999</v>
      </c>
      <c r="N149" s="345">
        <f t="shared" si="41"/>
        <v>0</v>
      </c>
    </row>
    <row r="150" spans="1:20">
      <c r="A150" s="605">
        <f t="shared" si="42"/>
        <v>136</v>
      </c>
      <c r="B150" s="294">
        <v>38500</v>
      </c>
      <c r="C150" s="4" t="s">
        <v>422</v>
      </c>
      <c r="D150" s="248">
        <v>0</v>
      </c>
      <c r="E150" s="248">
        <v>0</v>
      </c>
      <c r="F150" s="345">
        <f t="shared" si="36"/>
        <v>0</v>
      </c>
      <c r="G150" s="708">
        <f t="shared" si="37"/>
        <v>1</v>
      </c>
      <c r="H150" s="360">
        <f t="shared" si="38"/>
        <v>0.48899999999999999</v>
      </c>
      <c r="I150" s="345">
        <f t="shared" si="39"/>
        <v>0</v>
      </c>
      <c r="K150" s="248">
        <v>0</v>
      </c>
      <c r="L150" s="708">
        <f t="shared" si="40"/>
        <v>1</v>
      </c>
      <c r="M150" s="360">
        <f t="shared" si="40"/>
        <v>0.48899999999999999</v>
      </c>
      <c r="N150" s="345">
        <f t="shared" si="41"/>
        <v>0</v>
      </c>
    </row>
    <row r="151" spans="1:20">
      <c r="A151" s="605">
        <f t="shared" si="42"/>
        <v>137</v>
      </c>
      <c r="B151" s="294">
        <v>38600</v>
      </c>
      <c r="C151" s="4" t="s">
        <v>101</v>
      </c>
      <c r="D151" s="549">
        <v>0</v>
      </c>
      <c r="E151" s="549">
        <v>0</v>
      </c>
      <c r="F151" s="711">
        <f t="shared" si="36"/>
        <v>0</v>
      </c>
      <c r="G151" s="708">
        <f t="shared" si="37"/>
        <v>1</v>
      </c>
      <c r="H151" s="360">
        <f t="shared" si="38"/>
        <v>0.48899999999999999</v>
      </c>
      <c r="I151" s="711">
        <f t="shared" si="39"/>
        <v>0</v>
      </c>
      <c r="K151" s="549">
        <v>0</v>
      </c>
      <c r="L151" s="708">
        <f t="shared" si="40"/>
        <v>1</v>
      </c>
      <c r="M151" s="360">
        <f t="shared" si="40"/>
        <v>0.48899999999999999</v>
      </c>
      <c r="N151" s="711">
        <f t="shared" si="41"/>
        <v>0</v>
      </c>
    </row>
    <row r="152" spans="1:20" ht="15" customHeight="1">
      <c r="A152" s="605">
        <f t="shared" si="42"/>
        <v>138</v>
      </c>
      <c r="B152" s="294"/>
      <c r="C152" s="4"/>
      <c r="D152" s="339"/>
      <c r="E152" s="339"/>
      <c r="F152" s="339"/>
      <c r="M152" s="267"/>
    </row>
    <row r="153" spans="1:20" ht="15" customHeight="1">
      <c r="A153" s="605">
        <f t="shared" si="42"/>
        <v>139</v>
      </c>
      <c r="B153" s="294"/>
      <c r="C153" s="4" t="s">
        <v>291</v>
      </c>
      <c r="D153" s="707">
        <f>SUM(D131:D152)</f>
        <v>0</v>
      </c>
      <c r="E153" s="707">
        <f>SUM(E131:E152)</f>
        <v>0</v>
      </c>
      <c r="F153" s="707">
        <f>SUM(F131:F152)</f>
        <v>0</v>
      </c>
      <c r="I153" s="707">
        <f>SUM(I131:I152)</f>
        <v>0</v>
      </c>
      <c r="K153" s="707">
        <f>SUM(K131:K152)</f>
        <v>0</v>
      </c>
      <c r="M153" s="267"/>
      <c r="N153" s="707">
        <f>SUM(N131:N152)</f>
        <v>0</v>
      </c>
    </row>
    <row r="154" spans="1:20">
      <c r="A154" s="605">
        <f t="shared" si="42"/>
        <v>140</v>
      </c>
      <c r="B154" s="294"/>
      <c r="C154" s="4"/>
      <c r="M154" s="267"/>
    </row>
    <row r="155" spans="1:20">
      <c r="A155" s="605">
        <f t="shared" si="42"/>
        <v>141</v>
      </c>
      <c r="B155" s="382"/>
      <c r="C155" s="16" t="s">
        <v>292</v>
      </c>
      <c r="M155" s="267"/>
    </row>
    <row r="156" spans="1:20">
      <c r="A156" s="605">
        <f t="shared" si="42"/>
        <v>142</v>
      </c>
      <c r="B156" s="294">
        <v>39001</v>
      </c>
      <c r="C156" s="4" t="s">
        <v>1451</v>
      </c>
      <c r="D156" s="720">
        <v>124081.39096300009</v>
      </c>
      <c r="E156" s="203">
        <v>0</v>
      </c>
      <c r="F156" s="707">
        <f t="shared" ref="F156:F177" si="43">D156+E156</f>
        <v>124081.39096300009</v>
      </c>
      <c r="G156" s="360">
        <f t="shared" ref="G156:G177" si="44">$G$16</f>
        <v>1</v>
      </c>
      <c r="H156" s="360">
        <f t="shared" ref="H156:H177" si="45">$H$125</f>
        <v>0.48899999999999999</v>
      </c>
      <c r="I156" s="707">
        <f t="shared" ref="I156:I177" si="46">F156*G156*H156</f>
        <v>60675.800180907041</v>
      </c>
      <c r="K156" s="720">
        <v>120135.94352300008</v>
      </c>
      <c r="L156" s="360">
        <f t="shared" ref="L156:M176" si="47">G156</f>
        <v>1</v>
      </c>
      <c r="M156" s="360">
        <f t="shared" si="47"/>
        <v>0.48899999999999999</v>
      </c>
      <c r="N156" s="707">
        <f t="shared" ref="N156:N177" si="48">K156*L156*M156</f>
        <v>58746.476382747038</v>
      </c>
      <c r="S156" s="267"/>
      <c r="T156" s="267"/>
    </row>
    <row r="157" spans="1:20">
      <c r="A157" s="605">
        <f t="shared" si="42"/>
        <v>143</v>
      </c>
      <c r="B157" s="294">
        <v>39004</v>
      </c>
      <c r="C157" s="4" t="s">
        <v>1435</v>
      </c>
      <c r="D157" s="709">
        <v>15425.12243275</v>
      </c>
      <c r="E157" s="248">
        <v>0</v>
      </c>
      <c r="F157" s="345">
        <f t="shared" si="43"/>
        <v>15425.12243275</v>
      </c>
      <c r="G157" s="708">
        <f t="shared" si="44"/>
        <v>1</v>
      </c>
      <c r="H157" s="360">
        <f t="shared" si="45"/>
        <v>0.48899999999999999</v>
      </c>
      <c r="I157" s="345">
        <f t="shared" si="46"/>
        <v>7542.8848696147497</v>
      </c>
      <c r="K157" s="709">
        <v>15341.043447711541</v>
      </c>
      <c r="L157" s="708">
        <f t="shared" si="47"/>
        <v>1</v>
      </c>
      <c r="M157" s="360">
        <f t="shared" si="47"/>
        <v>0.48899999999999999</v>
      </c>
      <c r="N157" s="345">
        <f t="shared" si="48"/>
        <v>7501.7702459309439</v>
      </c>
      <c r="S157" s="267"/>
      <c r="T157" s="267"/>
    </row>
    <row r="158" spans="1:20">
      <c r="A158" s="605">
        <f t="shared" si="42"/>
        <v>144</v>
      </c>
      <c r="B158" s="294">
        <v>39009</v>
      </c>
      <c r="C158" s="4" t="s">
        <v>1436</v>
      </c>
      <c r="D158" s="709">
        <v>38834</v>
      </c>
      <c r="E158" s="248">
        <v>0</v>
      </c>
      <c r="F158" s="345">
        <f t="shared" si="43"/>
        <v>38834</v>
      </c>
      <c r="G158" s="708">
        <f t="shared" si="44"/>
        <v>1</v>
      </c>
      <c r="H158" s="360">
        <f t="shared" si="45"/>
        <v>0.48899999999999999</v>
      </c>
      <c r="I158" s="345">
        <f t="shared" si="46"/>
        <v>18989.826000000001</v>
      </c>
      <c r="K158" s="709">
        <v>38834</v>
      </c>
      <c r="L158" s="708">
        <f t="shared" si="47"/>
        <v>1</v>
      </c>
      <c r="M158" s="360">
        <f t="shared" si="47"/>
        <v>0.48899999999999999</v>
      </c>
      <c r="N158" s="345">
        <f t="shared" si="48"/>
        <v>18989.826000000001</v>
      </c>
      <c r="S158" s="267"/>
      <c r="T158" s="267"/>
    </row>
    <row r="159" spans="1:20">
      <c r="A159" s="605">
        <f t="shared" si="42"/>
        <v>145</v>
      </c>
      <c r="B159" s="294">
        <v>39100</v>
      </c>
      <c r="C159" s="4" t="s">
        <v>1437</v>
      </c>
      <c r="D159" s="709">
        <v>9392.0432739999978</v>
      </c>
      <c r="E159" s="248">
        <v>0</v>
      </c>
      <c r="F159" s="345">
        <f t="shared" si="43"/>
        <v>9392.0432739999978</v>
      </c>
      <c r="G159" s="708">
        <f t="shared" si="44"/>
        <v>1</v>
      </c>
      <c r="H159" s="360">
        <f t="shared" si="45"/>
        <v>0.48899999999999999</v>
      </c>
      <c r="I159" s="345">
        <f t="shared" si="46"/>
        <v>4592.709160985999</v>
      </c>
      <c r="K159" s="709">
        <v>8526.3103244999984</v>
      </c>
      <c r="L159" s="708">
        <f t="shared" si="47"/>
        <v>1</v>
      </c>
      <c r="M159" s="360">
        <f t="shared" si="47"/>
        <v>0.48899999999999999</v>
      </c>
      <c r="N159" s="345">
        <f t="shared" si="48"/>
        <v>4169.3657486804996</v>
      </c>
      <c r="S159" s="267"/>
      <c r="T159" s="267"/>
    </row>
    <row r="160" spans="1:20">
      <c r="A160" s="605">
        <f t="shared" si="42"/>
        <v>146</v>
      </c>
      <c r="B160" s="294">
        <v>39101</v>
      </c>
      <c r="C160" s="4" t="s">
        <v>1408</v>
      </c>
      <c r="D160" s="709">
        <v>0</v>
      </c>
      <c r="E160" s="248">
        <v>0</v>
      </c>
      <c r="F160" s="345">
        <f t="shared" si="43"/>
        <v>0</v>
      </c>
      <c r="G160" s="708">
        <f t="shared" si="44"/>
        <v>1</v>
      </c>
      <c r="H160" s="360">
        <f t="shared" si="45"/>
        <v>0.48899999999999999</v>
      </c>
      <c r="I160" s="345">
        <f t="shared" si="46"/>
        <v>0</v>
      </c>
      <c r="K160" s="709">
        <v>0</v>
      </c>
      <c r="L160" s="708">
        <f t="shared" si="47"/>
        <v>1</v>
      </c>
      <c r="M160" s="360">
        <f t="shared" si="47"/>
        <v>0.48899999999999999</v>
      </c>
      <c r="N160" s="345">
        <f t="shared" si="48"/>
        <v>0</v>
      </c>
      <c r="S160" s="267"/>
      <c r="T160" s="267"/>
    </row>
    <row r="161" spans="1:20">
      <c r="A161" s="605">
        <f t="shared" si="42"/>
        <v>147</v>
      </c>
      <c r="B161" s="294">
        <v>39103</v>
      </c>
      <c r="C161" s="4" t="s">
        <v>750</v>
      </c>
      <c r="D161" s="709">
        <v>0</v>
      </c>
      <c r="E161" s="248">
        <v>0</v>
      </c>
      <c r="F161" s="345">
        <f t="shared" ref="F161:F165" si="49">D161+E161</f>
        <v>0</v>
      </c>
      <c r="G161" s="708">
        <f t="shared" si="44"/>
        <v>1</v>
      </c>
      <c r="H161" s="360">
        <f t="shared" si="45"/>
        <v>0.48899999999999999</v>
      </c>
      <c r="I161" s="345">
        <f t="shared" si="46"/>
        <v>0</v>
      </c>
      <c r="K161" s="709">
        <v>0</v>
      </c>
      <c r="L161" s="708">
        <f t="shared" ref="L161:L166" si="50">G161</f>
        <v>1</v>
      </c>
      <c r="M161" s="360">
        <f t="shared" ref="M161:M166" si="51">H161</f>
        <v>0.48899999999999999</v>
      </c>
      <c r="N161" s="345">
        <f t="shared" si="48"/>
        <v>0</v>
      </c>
      <c r="S161" s="267"/>
      <c r="T161" s="267"/>
    </row>
    <row r="162" spans="1:20">
      <c r="A162" s="605">
        <f t="shared" si="42"/>
        <v>148</v>
      </c>
      <c r="B162" s="294">
        <v>39200</v>
      </c>
      <c r="C162" s="4" t="s">
        <v>1452</v>
      </c>
      <c r="D162" s="709">
        <v>-1795.2685072500028</v>
      </c>
      <c r="E162" s="248">
        <v>0</v>
      </c>
      <c r="F162" s="345">
        <f t="shared" si="49"/>
        <v>-1795.2685072500028</v>
      </c>
      <c r="G162" s="708">
        <f t="shared" si="44"/>
        <v>1</v>
      </c>
      <c r="H162" s="360">
        <f t="shared" si="45"/>
        <v>0.48899999999999999</v>
      </c>
      <c r="I162" s="345">
        <f t="shared" si="46"/>
        <v>-877.88630004525135</v>
      </c>
      <c r="K162" s="709">
        <v>-1982.0539177500029</v>
      </c>
      <c r="L162" s="708">
        <f t="shared" si="50"/>
        <v>1</v>
      </c>
      <c r="M162" s="360">
        <f t="shared" si="51"/>
        <v>0.48899999999999999</v>
      </c>
      <c r="N162" s="345">
        <f t="shared" si="48"/>
        <v>-969.22436577975145</v>
      </c>
      <c r="S162" s="267"/>
      <c r="T162" s="267"/>
    </row>
    <row r="163" spans="1:20">
      <c r="A163" s="605">
        <f t="shared" si="42"/>
        <v>149</v>
      </c>
      <c r="B163" s="294">
        <v>39300</v>
      </c>
      <c r="C163" s="4" t="s">
        <v>622</v>
      </c>
      <c r="D163" s="709">
        <v>0</v>
      </c>
      <c r="E163" s="248">
        <v>0</v>
      </c>
      <c r="F163" s="345">
        <f t="shared" si="49"/>
        <v>0</v>
      </c>
      <c r="G163" s="708">
        <f t="shared" si="44"/>
        <v>1</v>
      </c>
      <c r="H163" s="360">
        <f t="shared" si="45"/>
        <v>0.48899999999999999</v>
      </c>
      <c r="I163" s="345">
        <f t="shared" si="46"/>
        <v>0</v>
      </c>
      <c r="K163" s="709">
        <v>0</v>
      </c>
      <c r="L163" s="708">
        <f t="shared" si="50"/>
        <v>1</v>
      </c>
      <c r="M163" s="360">
        <f t="shared" si="51"/>
        <v>0.48899999999999999</v>
      </c>
      <c r="N163" s="345">
        <f t="shared" si="48"/>
        <v>0</v>
      </c>
      <c r="S163" s="267"/>
      <c r="T163" s="267"/>
    </row>
    <row r="164" spans="1:20">
      <c r="A164" s="605">
        <f t="shared" si="42"/>
        <v>150</v>
      </c>
      <c r="B164" s="294">
        <v>39400</v>
      </c>
      <c r="C164" s="4" t="s">
        <v>1440</v>
      </c>
      <c r="D164" s="709">
        <v>57217.301111000037</v>
      </c>
      <c r="E164" s="248">
        <v>0</v>
      </c>
      <c r="F164" s="345">
        <f t="shared" si="49"/>
        <v>57217.301111000037</v>
      </c>
      <c r="G164" s="708">
        <f t="shared" si="44"/>
        <v>1</v>
      </c>
      <c r="H164" s="360">
        <f t="shared" si="45"/>
        <v>0.48899999999999999</v>
      </c>
      <c r="I164" s="345">
        <f t="shared" si="46"/>
        <v>27979.260243279019</v>
      </c>
      <c r="K164" s="709">
        <v>53860.876172000026</v>
      </c>
      <c r="L164" s="708">
        <f t="shared" si="50"/>
        <v>1</v>
      </c>
      <c r="M164" s="360">
        <f t="shared" si="51"/>
        <v>0.48899999999999999</v>
      </c>
      <c r="N164" s="345">
        <f t="shared" si="48"/>
        <v>26337.968448108011</v>
      </c>
      <c r="S164" s="267"/>
      <c r="T164" s="267"/>
    </row>
    <row r="165" spans="1:20">
      <c r="A165" s="605">
        <f t="shared" si="42"/>
        <v>151</v>
      </c>
      <c r="B165" s="294">
        <v>39600</v>
      </c>
      <c r="C165" s="4" t="s">
        <v>1453</v>
      </c>
      <c r="D165" s="709">
        <v>3487.6323579999985</v>
      </c>
      <c r="E165" s="248">
        <v>0</v>
      </c>
      <c r="F165" s="345">
        <f t="shared" si="49"/>
        <v>3487.6323579999985</v>
      </c>
      <c r="G165" s="708">
        <f t="shared" si="44"/>
        <v>1</v>
      </c>
      <c r="H165" s="360">
        <f t="shared" si="45"/>
        <v>0.48899999999999999</v>
      </c>
      <c r="I165" s="345">
        <f t="shared" si="46"/>
        <v>1705.4522230619991</v>
      </c>
      <c r="K165" s="709">
        <v>2994.7493179999988</v>
      </c>
      <c r="L165" s="708">
        <f t="shared" si="50"/>
        <v>1</v>
      </c>
      <c r="M165" s="360">
        <f t="shared" si="51"/>
        <v>0.48899999999999999</v>
      </c>
      <c r="N165" s="345">
        <f t="shared" si="48"/>
        <v>1464.4324165019993</v>
      </c>
      <c r="S165" s="267"/>
      <c r="T165" s="267"/>
    </row>
    <row r="166" spans="1:20">
      <c r="A166" s="605">
        <f t="shared" si="42"/>
        <v>152</v>
      </c>
      <c r="B166" s="294">
        <v>39700</v>
      </c>
      <c r="C166" s="4" t="s">
        <v>1444</v>
      </c>
      <c r="D166" s="709">
        <v>-22066.73</v>
      </c>
      <c r="E166" s="248">
        <v>0</v>
      </c>
      <c r="F166" s="345">
        <f t="shared" si="43"/>
        <v>-22066.73</v>
      </c>
      <c r="G166" s="708">
        <f t="shared" si="44"/>
        <v>1</v>
      </c>
      <c r="H166" s="360">
        <f t="shared" si="45"/>
        <v>0.48899999999999999</v>
      </c>
      <c r="I166" s="345">
        <f t="shared" si="46"/>
        <v>-10790.63097</v>
      </c>
      <c r="K166" s="709">
        <v>-22066.730000000003</v>
      </c>
      <c r="L166" s="708">
        <f t="shared" si="50"/>
        <v>1</v>
      </c>
      <c r="M166" s="360">
        <f t="shared" si="51"/>
        <v>0.48899999999999999</v>
      </c>
      <c r="N166" s="345">
        <f t="shared" si="48"/>
        <v>-10790.630970000002</v>
      </c>
      <c r="S166" s="267"/>
      <c r="T166" s="267"/>
    </row>
    <row r="167" spans="1:20">
      <c r="A167" s="605">
        <f t="shared" si="42"/>
        <v>153</v>
      </c>
      <c r="B167" s="294">
        <v>39701</v>
      </c>
      <c r="C167" s="4" t="s">
        <v>1405</v>
      </c>
      <c r="D167" s="709">
        <v>0</v>
      </c>
      <c r="E167" s="248">
        <v>0</v>
      </c>
      <c r="F167" s="345">
        <f t="shared" si="43"/>
        <v>0</v>
      </c>
      <c r="G167" s="708">
        <f t="shared" si="44"/>
        <v>1</v>
      </c>
      <c r="H167" s="360">
        <f t="shared" si="45"/>
        <v>0.48899999999999999</v>
      </c>
      <c r="I167" s="345">
        <f t="shared" si="46"/>
        <v>0</v>
      </c>
      <c r="K167" s="709">
        <v>0</v>
      </c>
      <c r="L167" s="708">
        <f t="shared" si="47"/>
        <v>1</v>
      </c>
      <c r="M167" s="360">
        <f t="shared" si="47"/>
        <v>0.48899999999999999</v>
      </c>
      <c r="N167" s="345">
        <f t="shared" si="48"/>
        <v>0</v>
      </c>
      <c r="S167" s="267"/>
      <c r="T167" s="267"/>
    </row>
    <row r="168" spans="1:20">
      <c r="A168" s="605">
        <f t="shared" si="42"/>
        <v>154</v>
      </c>
      <c r="B168" s="382">
        <v>39702</v>
      </c>
      <c r="C168" s="4" t="s">
        <v>1405</v>
      </c>
      <c r="D168" s="709">
        <v>0</v>
      </c>
      <c r="E168" s="248">
        <v>0</v>
      </c>
      <c r="F168" s="345">
        <f t="shared" si="43"/>
        <v>0</v>
      </c>
      <c r="G168" s="708">
        <f t="shared" si="44"/>
        <v>1</v>
      </c>
      <c r="H168" s="360">
        <f t="shared" si="45"/>
        <v>0.48899999999999999</v>
      </c>
      <c r="I168" s="345">
        <f t="shared" si="46"/>
        <v>0</v>
      </c>
      <c r="K168" s="709">
        <v>0</v>
      </c>
      <c r="L168" s="708">
        <f t="shared" si="47"/>
        <v>1</v>
      </c>
      <c r="M168" s="360">
        <f t="shared" si="47"/>
        <v>0.48899999999999999</v>
      </c>
      <c r="N168" s="345">
        <f t="shared" si="48"/>
        <v>0</v>
      </c>
      <c r="S168" s="267"/>
      <c r="T168" s="267"/>
    </row>
    <row r="169" spans="1:20">
      <c r="A169" s="605">
        <f t="shared" si="42"/>
        <v>155</v>
      </c>
      <c r="B169" s="382">
        <v>39800</v>
      </c>
      <c r="C169" s="4" t="s">
        <v>1446</v>
      </c>
      <c r="D169" s="709">
        <v>-126994.35</v>
      </c>
      <c r="E169" s="248">
        <v>0</v>
      </c>
      <c r="F169" s="345">
        <f t="shared" si="43"/>
        <v>-126994.35</v>
      </c>
      <c r="G169" s="708">
        <f t="shared" si="44"/>
        <v>1</v>
      </c>
      <c r="H169" s="360">
        <f t="shared" si="45"/>
        <v>0.48899999999999999</v>
      </c>
      <c r="I169" s="345">
        <f t="shared" si="46"/>
        <v>-62100.237150000001</v>
      </c>
      <c r="K169" s="709">
        <v>-126994.35000000002</v>
      </c>
      <c r="L169" s="708">
        <f t="shared" si="47"/>
        <v>1</v>
      </c>
      <c r="M169" s="360">
        <f t="shared" si="47"/>
        <v>0.48899999999999999</v>
      </c>
      <c r="N169" s="345">
        <f t="shared" si="48"/>
        <v>-62100.237150000008</v>
      </c>
      <c r="S169" s="267"/>
      <c r="T169" s="267"/>
    </row>
    <row r="170" spans="1:20">
      <c r="A170" s="605">
        <f t="shared" si="42"/>
        <v>156</v>
      </c>
      <c r="B170" s="382">
        <v>39900</v>
      </c>
      <c r="C170" s="4" t="s">
        <v>1454</v>
      </c>
      <c r="D170" s="709">
        <v>0</v>
      </c>
      <c r="E170" s="248">
        <v>0</v>
      </c>
      <c r="F170" s="345">
        <f t="shared" si="43"/>
        <v>0</v>
      </c>
      <c r="G170" s="708">
        <f t="shared" si="44"/>
        <v>1</v>
      </c>
      <c r="H170" s="360">
        <f t="shared" si="45"/>
        <v>0.48899999999999999</v>
      </c>
      <c r="I170" s="345">
        <f t="shared" si="46"/>
        <v>0</v>
      </c>
      <c r="K170" s="709">
        <v>0</v>
      </c>
      <c r="L170" s="708">
        <f t="shared" si="47"/>
        <v>1</v>
      </c>
      <c r="M170" s="360">
        <f t="shared" si="47"/>
        <v>0.48899999999999999</v>
      </c>
      <c r="N170" s="345">
        <f t="shared" si="48"/>
        <v>0</v>
      </c>
      <c r="S170" s="267"/>
      <c r="T170" s="267"/>
    </row>
    <row r="171" spans="1:20">
      <c r="A171" s="605">
        <f t="shared" si="42"/>
        <v>157</v>
      </c>
      <c r="B171" s="382">
        <v>39901</v>
      </c>
      <c r="C171" s="4" t="s">
        <v>1455</v>
      </c>
      <c r="D171" s="709">
        <v>0</v>
      </c>
      <c r="E171" s="248">
        <v>0</v>
      </c>
      <c r="F171" s="345">
        <f t="shared" si="43"/>
        <v>0</v>
      </c>
      <c r="G171" s="708">
        <f t="shared" si="44"/>
        <v>1</v>
      </c>
      <c r="H171" s="360">
        <f t="shared" si="45"/>
        <v>0.48899999999999999</v>
      </c>
      <c r="I171" s="345">
        <f t="shared" si="46"/>
        <v>0</v>
      </c>
      <c r="K171" s="709">
        <v>0</v>
      </c>
      <c r="L171" s="708">
        <f t="shared" si="47"/>
        <v>1</v>
      </c>
      <c r="M171" s="360">
        <f t="shared" si="47"/>
        <v>0.48899999999999999</v>
      </c>
      <c r="N171" s="345">
        <f t="shared" si="48"/>
        <v>0</v>
      </c>
      <c r="S171" s="267"/>
      <c r="T171" s="267"/>
    </row>
    <row r="172" spans="1:20">
      <c r="A172" s="605">
        <f t="shared" si="42"/>
        <v>158</v>
      </c>
      <c r="B172" s="382">
        <v>39902</v>
      </c>
      <c r="C172" s="4" t="s">
        <v>1456</v>
      </c>
      <c r="D172" s="709">
        <v>0</v>
      </c>
      <c r="E172" s="248">
        <v>0</v>
      </c>
      <c r="F172" s="345">
        <f t="shared" si="43"/>
        <v>0</v>
      </c>
      <c r="G172" s="708">
        <f t="shared" si="44"/>
        <v>1</v>
      </c>
      <c r="H172" s="360">
        <f t="shared" si="45"/>
        <v>0.48899999999999999</v>
      </c>
      <c r="I172" s="345">
        <f t="shared" si="46"/>
        <v>0</v>
      </c>
      <c r="K172" s="709">
        <v>0</v>
      </c>
      <c r="L172" s="708">
        <f t="shared" si="47"/>
        <v>1</v>
      </c>
      <c r="M172" s="360">
        <f t="shared" si="47"/>
        <v>0.48899999999999999</v>
      </c>
      <c r="N172" s="345">
        <f t="shared" si="48"/>
        <v>0</v>
      </c>
      <c r="S172" s="267"/>
      <c r="T172" s="267"/>
    </row>
    <row r="173" spans="1:20">
      <c r="A173" s="605">
        <f t="shared" si="42"/>
        <v>159</v>
      </c>
      <c r="B173" s="382">
        <v>39903</v>
      </c>
      <c r="C173" s="4" t="s">
        <v>1447</v>
      </c>
      <c r="D173" s="709">
        <v>21085.174755999986</v>
      </c>
      <c r="E173" s="248">
        <v>0</v>
      </c>
      <c r="F173" s="345">
        <f t="shared" si="43"/>
        <v>21085.174755999986</v>
      </c>
      <c r="G173" s="708">
        <f t="shared" si="44"/>
        <v>1</v>
      </c>
      <c r="H173" s="360">
        <f t="shared" si="45"/>
        <v>0.48899999999999999</v>
      </c>
      <c r="I173" s="345">
        <f t="shared" si="46"/>
        <v>10310.650455683994</v>
      </c>
      <c r="K173" s="709">
        <v>19531.933877999996</v>
      </c>
      <c r="L173" s="708">
        <f t="shared" si="47"/>
        <v>1</v>
      </c>
      <c r="M173" s="360">
        <f t="shared" si="47"/>
        <v>0.48899999999999999</v>
      </c>
      <c r="N173" s="345">
        <f t="shared" si="48"/>
        <v>9551.1156663419988</v>
      </c>
      <c r="S173" s="267"/>
      <c r="T173" s="267"/>
    </row>
    <row r="174" spans="1:20">
      <c r="A174" s="605">
        <f t="shared" si="42"/>
        <v>160</v>
      </c>
      <c r="B174" s="382">
        <v>39906</v>
      </c>
      <c r="C174" s="4" t="s">
        <v>1448</v>
      </c>
      <c r="D174" s="709">
        <v>0</v>
      </c>
      <c r="E174" s="248">
        <v>0</v>
      </c>
      <c r="F174" s="345">
        <f t="shared" si="43"/>
        <v>0</v>
      </c>
      <c r="G174" s="708">
        <f t="shared" si="44"/>
        <v>1</v>
      </c>
      <c r="H174" s="360">
        <f t="shared" si="45"/>
        <v>0.48899999999999999</v>
      </c>
      <c r="I174" s="345">
        <f t="shared" si="46"/>
        <v>0</v>
      </c>
      <c r="K174" s="709">
        <v>0</v>
      </c>
      <c r="L174" s="708">
        <f t="shared" si="47"/>
        <v>1</v>
      </c>
      <c r="M174" s="360">
        <f t="shared" si="47"/>
        <v>0.48899999999999999</v>
      </c>
      <c r="N174" s="345">
        <f t="shared" si="48"/>
        <v>0</v>
      </c>
      <c r="S174" s="267"/>
      <c r="T174" s="267"/>
    </row>
    <row r="175" spans="1:20">
      <c r="A175" s="605">
        <f t="shared" si="42"/>
        <v>161</v>
      </c>
      <c r="B175" s="382">
        <v>39907</v>
      </c>
      <c r="C175" s="4" t="s">
        <v>1449</v>
      </c>
      <c r="D175" s="709">
        <v>43521.909999999989</v>
      </c>
      <c r="E175" s="248">
        <v>0</v>
      </c>
      <c r="F175" s="345">
        <f t="shared" si="43"/>
        <v>43521.909999999989</v>
      </c>
      <c r="G175" s="708">
        <f t="shared" si="44"/>
        <v>1</v>
      </c>
      <c r="H175" s="360">
        <f t="shared" si="45"/>
        <v>0.48899999999999999</v>
      </c>
      <c r="I175" s="345">
        <f t="shared" si="46"/>
        <v>21282.213989999993</v>
      </c>
      <c r="K175" s="709">
        <v>43521.909999999982</v>
      </c>
      <c r="L175" s="708">
        <f t="shared" si="47"/>
        <v>1</v>
      </c>
      <c r="M175" s="360">
        <f t="shared" si="47"/>
        <v>0.48899999999999999</v>
      </c>
      <c r="N175" s="345">
        <f t="shared" si="48"/>
        <v>21282.213989999989</v>
      </c>
      <c r="S175" s="267"/>
      <c r="T175" s="267"/>
    </row>
    <row r="176" spans="1:20">
      <c r="A176" s="605">
        <f t="shared" si="42"/>
        <v>162</v>
      </c>
      <c r="B176" s="382">
        <v>39908</v>
      </c>
      <c r="C176" s="4" t="s">
        <v>1450</v>
      </c>
      <c r="D176" s="709">
        <v>0</v>
      </c>
      <c r="E176" s="248">
        <v>0</v>
      </c>
      <c r="F176" s="345">
        <f t="shared" si="43"/>
        <v>0</v>
      </c>
      <c r="G176" s="708">
        <f t="shared" si="44"/>
        <v>1</v>
      </c>
      <c r="H176" s="360">
        <f t="shared" si="45"/>
        <v>0.48899999999999999</v>
      </c>
      <c r="I176" s="345">
        <f t="shared" si="46"/>
        <v>0</v>
      </c>
      <c r="K176" s="709">
        <v>0</v>
      </c>
      <c r="L176" s="708">
        <f t="shared" si="47"/>
        <v>1</v>
      </c>
      <c r="M176" s="360">
        <f t="shared" si="47"/>
        <v>0.48899999999999999</v>
      </c>
      <c r="N176" s="345">
        <f t="shared" si="48"/>
        <v>0</v>
      </c>
      <c r="S176" s="267"/>
      <c r="T176" s="267"/>
    </row>
    <row r="177" spans="1:20">
      <c r="A177" s="605">
        <f t="shared" si="42"/>
        <v>163</v>
      </c>
      <c r="B177" s="382" t="s">
        <v>1473</v>
      </c>
      <c r="C177" s="4" t="s">
        <v>1101</v>
      </c>
      <c r="D177" s="709">
        <v>52517.30000000001</v>
      </c>
      <c r="F177" s="345">
        <f t="shared" si="43"/>
        <v>52517.30000000001</v>
      </c>
      <c r="G177" s="708">
        <f t="shared" si="44"/>
        <v>1</v>
      </c>
      <c r="H177" s="360">
        <f t="shared" si="45"/>
        <v>0.48899999999999999</v>
      </c>
      <c r="I177" s="711">
        <f t="shared" si="46"/>
        <v>25680.959700000003</v>
      </c>
      <c r="K177" s="709">
        <v>52517.30000000001</v>
      </c>
      <c r="L177" s="708">
        <f>G177</f>
        <v>1</v>
      </c>
      <c r="M177" s="360">
        <f>H177</f>
        <v>0.48899999999999999</v>
      </c>
      <c r="N177" s="711">
        <f t="shared" si="48"/>
        <v>25680.959700000003</v>
      </c>
      <c r="S177" s="267"/>
      <c r="T177" s="267"/>
    </row>
    <row r="178" spans="1:20">
      <c r="A178" s="605">
        <f t="shared" si="42"/>
        <v>164</v>
      </c>
      <c r="B178" s="228"/>
      <c r="C178" s="4"/>
      <c r="D178" s="339"/>
      <c r="E178" s="339"/>
      <c r="F178" s="339"/>
      <c r="K178" s="339"/>
    </row>
    <row r="179" spans="1:20" ht="15" customHeight="1">
      <c r="A179" s="605">
        <f t="shared" si="42"/>
        <v>165</v>
      </c>
      <c r="B179" s="228"/>
      <c r="C179" s="4" t="s">
        <v>4</v>
      </c>
      <c r="D179" s="707">
        <f>SUM(D156:D177)</f>
        <v>214705.52638750008</v>
      </c>
      <c r="E179" s="707">
        <f>SUM(E156:E177)</f>
        <v>0</v>
      </c>
      <c r="F179" s="707">
        <f>SUM(F156:F177)</f>
        <v>214705.52638750008</v>
      </c>
      <c r="I179" s="707">
        <f>SUM(I156:I177)</f>
        <v>104991.00240348754</v>
      </c>
      <c r="K179" s="707">
        <f>SUM(K156:K177)</f>
        <v>204220.93274546159</v>
      </c>
      <c r="N179" s="707">
        <f>SUM(N156:N177)</f>
        <v>99864.03611253071</v>
      </c>
    </row>
    <row r="180" spans="1:20" ht="15" customHeight="1">
      <c r="A180" s="605">
        <f t="shared" si="42"/>
        <v>166</v>
      </c>
      <c r="B180" s="228"/>
      <c r="C180" s="4"/>
    </row>
    <row r="181" spans="1:20" ht="15" customHeight="1" thickBot="1">
      <c r="A181" s="605">
        <f t="shared" si="42"/>
        <v>167</v>
      </c>
      <c r="B181" s="228"/>
      <c r="C181" s="98" t="s">
        <v>1254</v>
      </c>
      <c r="D181" s="712">
        <f>D128+D153+D179</f>
        <v>214705.52638750008</v>
      </c>
      <c r="E181" s="712">
        <f>E128+E153+E179</f>
        <v>0</v>
      </c>
      <c r="F181" s="712">
        <f>F128+F153+F179</f>
        <v>214705.52638750008</v>
      </c>
      <c r="I181" s="712">
        <f>I128+I153+I179</f>
        <v>104991.00240348754</v>
      </c>
      <c r="K181" s="712">
        <f>K128+K153+K179</f>
        <v>204220.93274546159</v>
      </c>
      <c r="N181" s="712">
        <f>N128+N153+N179</f>
        <v>99864.03611253071</v>
      </c>
    </row>
    <row r="182" spans="1:20" ht="15" customHeight="1" thickTop="1">
      <c r="A182" s="605">
        <f t="shared" si="42"/>
        <v>168</v>
      </c>
      <c r="B182" s="545"/>
      <c r="D182" s="338"/>
      <c r="E182" s="189"/>
    </row>
    <row r="183" spans="1:20" ht="15" customHeight="1">
      <c r="A183" s="605">
        <f t="shared" si="42"/>
        <v>169</v>
      </c>
      <c r="B183" s="550" t="s">
        <v>7</v>
      </c>
      <c r="D183" s="338"/>
      <c r="E183" s="189"/>
    </row>
    <row r="184" spans="1:20" ht="15" customHeight="1">
      <c r="A184" s="605">
        <f t="shared" si="42"/>
        <v>170</v>
      </c>
      <c r="D184" s="338"/>
    </row>
    <row r="185" spans="1:20" ht="15" customHeight="1">
      <c r="A185" s="605">
        <f t="shared" si="42"/>
        <v>171</v>
      </c>
      <c r="B185" s="228"/>
      <c r="C185" s="16" t="s">
        <v>292</v>
      </c>
      <c r="D185" s="338"/>
    </row>
    <row r="186" spans="1:20" ht="15" customHeight="1">
      <c r="A186" s="605">
        <f t="shared" si="42"/>
        <v>172</v>
      </c>
      <c r="B186" s="294">
        <v>39000</v>
      </c>
      <c r="C186" s="4" t="s">
        <v>1432</v>
      </c>
      <c r="D186" s="720">
        <v>1538370.6287955833</v>
      </c>
      <c r="E186" s="203">
        <v>0</v>
      </c>
      <c r="F186" s="707">
        <f t="shared" ref="F186:F224" si="52">D186+E186</f>
        <v>1538370.6287955833</v>
      </c>
      <c r="G186" s="684">
        <f>Allocation!$C$14</f>
        <v>8.8999999999999996E-2</v>
      </c>
      <c r="H186" s="684">
        <f>Allocation!$D$14</f>
        <v>0.48899999999999999</v>
      </c>
      <c r="I186" s="345">
        <f t="shared" ref="I186:I193" si="53">F186*G186*H186</f>
        <v>66951.428135812574</v>
      </c>
      <c r="K186" s="720">
        <v>1471608.4966294917</v>
      </c>
      <c r="L186" s="360">
        <f>G186</f>
        <v>8.8999999999999996E-2</v>
      </c>
      <c r="M186" s="360">
        <f t="shared" ref="M186" si="54">H186</f>
        <v>0.48899999999999999</v>
      </c>
      <c r="N186" s="707">
        <f t="shared" ref="N186:N224" si="55">K186*L186*M186</f>
        <v>64045.873381812104</v>
      </c>
      <c r="P186" s="360"/>
      <c r="S186" s="267"/>
      <c r="T186" s="267"/>
    </row>
    <row r="187" spans="1:20" ht="15" customHeight="1">
      <c r="A187" s="605">
        <f t="shared" si="42"/>
        <v>173</v>
      </c>
      <c r="B187" s="294">
        <v>39005</v>
      </c>
      <c r="C187" s="4" t="s">
        <v>1457</v>
      </c>
      <c r="D187" s="709">
        <v>6232512.396615006</v>
      </c>
      <c r="E187" s="341">
        <v>0</v>
      </c>
      <c r="F187" s="345">
        <f t="shared" si="52"/>
        <v>6232512.396615006</v>
      </c>
      <c r="G187" s="267">
        <v>1</v>
      </c>
      <c r="H187" s="684">
        <f>Allocation!$E$20</f>
        <v>1.503839E-2</v>
      </c>
      <c r="I187" s="345">
        <f t="shared" si="53"/>
        <v>93726.952100131137</v>
      </c>
      <c r="K187" s="709">
        <v>6055381.4547250038</v>
      </c>
      <c r="L187" s="360">
        <f t="shared" ref="L187:L214" si="56">G187</f>
        <v>1</v>
      </c>
      <c r="M187" s="360">
        <f t="shared" ref="M187:M214" si="57">H187</f>
        <v>1.503839E-2</v>
      </c>
      <c r="N187" s="345">
        <f t="shared" si="55"/>
        <v>91063.187914921946</v>
      </c>
      <c r="P187" s="601"/>
      <c r="S187" s="267"/>
      <c r="T187" s="267"/>
    </row>
    <row r="188" spans="1:20" ht="15" customHeight="1">
      <c r="A188" s="605">
        <f t="shared" si="42"/>
        <v>174</v>
      </c>
      <c r="B188" s="294">
        <v>39009</v>
      </c>
      <c r="C188" s="4" t="s">
        <v>1436</v>
      </c>
      <c r="D188" s="709">
        <v>11180974.994450703</v>
      </c>
      <c r="E188" s="341">
        <v>0</v>
      </c>
      <c r="F188" s="345">
        <f t="shared" si="52"/>
        <v>11180974.994450703</v>
      </c>
      <c r="G188" s="360">
        <f>$G$186</f>
        <v>8.8999999999999996E-2</v>
      </c>
      <c r="H188" s="360">
        <f>$H$186</f>
        <v>0.48899999999999999</v>
      </c>
      <c r="I188" s="345">
        <f t="shared" si="53"/>
        <v>486607.21273348905</v>
      </c>
      <c r="K188" s="709">
        <v>10859247.766908642</v>
      </c>
      <c r="L188" s="360">
        <f t="shared" si="56"/>
        <v>8.8999999999999996E-2</v>
      </c>
      <c r="M188" s="360">
        <f t="shared" si="57"/>
        <v>0.48899999999999999</v>
      </c>
      <c r="N188" s="345">
        <f t="shared" si="55"/>
        <v>472605.32206363097</v>
      </c>
      <c r="P188" s="602"/>
      <c r="S188" s="267"/>
      <c r="T188" s="267"/>
    </row>
    <row r="189" spans="1:20" ht="15" customHeight="1">
      <c r="A189" s="605">
        <f t="shared" si="42"/>
        <v>175</v>
      </c>
      <c r="B189" s="294">
        <v>39020</v>
      </c>
      <c r="C189" s="4" t="s">
        <v>1409</v>
      </c>
      <c r="D189" s="709">
        <v>2716.1236170000029</v>
      </c>
      <c r="E189" s="341">
        <v>0</v>
      </c>
      <c r="F189" s="345">
        <f t="shared" si="52"/>
        <v>2716.1236170000029</v>
      </c>
      <c r="G189" s="267">
        <v>1</v>
      </c>
      <c r="H189" s="684">
        <f>Allocation!$E$22</f>
        <v>5.5924710000000002E-2</v>
      </c>
      <c r="I189" s="345">
        <f t="shared" si="53"/>
        <v>151.89842560487625</v>
      </c>
      <c r="K189" s="709">
        <v>2422.9911550000015</v>
      </c>
      <c r="L189" s="360">
        <f t="shared" si="56"/>
        <v>1</v>
      </c>
      <c r="M189" s="360">
        <f t="shared" si="57"/>
        <v>5.5924710000000002E-2</v>
      </c>
      <c r="N189" s="345">
        <f t="shared" si="55"/>
        <v>135.50507767594013</v>
      </c>
      <c r="P189" s="360"/>
      <c r="S189" s="267"/>
      <c r="T189" s="267"/>
    </row>
    <row r="190" spans="1:20" ht="15" customHeight="1">
      <c r="A190" s="605">
        <f t="shared" si="42"/>
        <v>176</v>
      </c>
      <c r="B190" s="294">
        <v>39029</v>
      </c>
      <c r="C190" s="4" t="s">
        <v>1410</v>
      </c>
      <c r="D190" s="709">
        <v>19579.103480499984</v>
      </c>
      <c r="E190" s="722">
        <f>0</f>
        <v>0</v>
      </c>
      <c r="F190" s="345">
        <f t="shared" si="52"/>
        <v>19579.103480499984</v>
      </c>
      <c r="G190" s="267">
        <v>1</v>
      </c>
      <c r="H190" s="684">
        <f>Allocation!$E$22</f>
        <v>5.5924710000000002E-2</v>
      </c>
      <c r="I190" s="345">
        <f t="shared" si="53"/>
        <v>1094.9556842069524</v>
      </c>
      <c r="K190" s="709">
        <v>18366.545587499997</v>
      </c>
      <c r="L190" s="360">
        <f t="shared" si="56"/>
        <v>1</v>
      </c>
      <c r="M190" s="360">
        <f t="shared" si="57"/>
        <v>5.5924710000000002E-2</v>
      </c>
      <c r="N190" s="345">
        <f t="shared" si="55"/>
        <v>1027.1437356827171</v>
      </c>
      <c r="P190" s="360"/>
      <c r="S190" s="267"/>
      <c r="T190" s="267"/>
    </row>
    <row r="191" spans="1:20" ht="15" customHeight="1">
      <c r="A191" s="605">
        <f t="shared" si="42"/>
        <v>177</v>
      </c>
      <c r="B191" s="294">
        <v>39100</v>
      </c>
      <c r="C191" s="4" t="s">
        <v>1437</v>
      </c>
      <c r="D191" s="709">
        <v>4231404.771594285</v>
      </c>
      <c r="E191" s="722">
        <f>0</f>
        <v>0</v>
      </c>
      <c r="F191" s="345">
        <f t="shared" ref="F191:F204" si="58">D191+E191</f>
        <v>4231404.771594285</v>
      </c>
      <c r="G191" s="360">
        <f>$G$186</f>
        <v>8.8999999999999996E-2</v>
      </c>
      <c r="H191" s="360">
        <f>$H$186</f>
        <v>0.48899999999999999</v>
      </c>
      <c r="I191" s="345">
        <f t="shared" si="53"/>
        <v>184154.96706455486</v>
      </c>
      <c r="K191" s="709">
        <v>3968771.9065406481</v>
      </c>
      <c r="L191" s="360">
        <f t="shared" si="56"/>
        <v>8.8999999999999996E-2</v>
      </c>
      <c r="M191" s="360">
        <f t="shared" si="57"/>
        <v>0.48899999999999999</v>
      </c>
      <c r="N191" s="345">
        <f t="shared" si="55"/>
        <v>172724.92214455554</v>
      </c>
      <c r="P191" s="360"/>
      <c r="S191" s="267"/>
      <c r="T191" s="267"/>
    </row>
    <row r="192" spans="1:20" ht="15" customHeight="1">
      <c r="A192" s="605">
        <f t="shared" si="42"/>
        <v>178</v>
      </c>
      <c r="B192" s="294">
        <v>39102</v>
      </c>
      <c r="C192" s="4" t="s">
        <v>1458</v>
      </c>
      <c r="D192" s="709">
        <v>1.26</v>
      </c>
      <c r="E192" s="722">
        <f>0</f>
        <v>0</v>
      </c>
      <c r="F192" s="345">
        <f t="shared" si="58"/>
        <v>1.26</v>
      </c>
      <c r="G192" s="360">
        <f>$G$186</f>
        <v>8.8999999999999996E-2</v>
      </c>
      <c r="H192" s="360">
        <f>$H$186</f>
        <v>0.48899999999999999</v>
      </c>
      <c r="I192" s="345">
        <f t="shared" si="53"/>
        <v>5.4836459999999997E-2</v>
      </c>
      <c r="K192" s="709">
        <v>1.26</v>
      </c>
      <c r="L192" s="360">
        <f t="shared" si="56"/>
        <v>8.8999999999999996E-2</v>
      </c>
      <c r="M192" s="360">
        <f t="shared" si="57"/>
        <v>0.48899999999999999</v>
      </c>
      <c r="N192" s="345">
        <f t="shared" si="55"/>
        <v>5.4836459999999997E-2</v>
      </c>
      <c r="P192" s="360"/>
      <c r="S192" s="267"/>
      <c r="T192" s="267"/>
    </row>
    <row r="193" spans="1:20" ht="15" customHeight="1">
      <c r="A193" s="605">
        <f t="shared" si="42"/>
        <v>179</v>
      </c>
      <c r="B193" s="294">
        <v>39103</v>
      </c>
      <c r="C193" s="4" t="s">
        <v>1250</v>
      </c>
      <c r="D193" s="709">
        <v>0.45</v>
      </c>
      <c r="E193" s="722">
        <f>0</f>
        <v>0</v>
      </c>
      <c r="F193" s="345">
        <f t="shared" si="58"/>
        <v>0.45</v>
      </c>
      <c r="G193" s="360">
        <f>$G$186</f>
        <v>8.8999999999999996E-2</v>
      </c>
      <c r="H193" s="360">
        <f>$H$186</f>
        <v>0.48899999999999999</v>
      </c>
      <c r="I193" s="345">
        <f t="shared" si="53"/>
        <v>1.958445E-2</v>
      </c>
      <c r="K193" s="709">
        <v>0.45000000000000012</v>
      </c>
      <c r="L193" s="360">
        <f t="shared" si="56"/>
        <v>8.8999999999999996E-2</v>
      </c>
      <c r="M193" s="360">
        <f t="shared" si="57"/>
        <v>0.48899999999999999</v>
      </c>
      <c r="N193" s="345">
        <f t="shared" si="55"/>
        <v>1.9584450000000003E-2</v>
      </c>
      <c r="P193" s="360"/>
      <c r="S193" s="267"/>
      <c r="T193" s="267"/>
    </row>
    <row r="194" spans="1:20" ht="15" customHeight="1">
      <c r="A194" s="605">
        <f t="shared" si="42"/>
        <v>180</v>
      </c>
      <c r="B194" s="294">
        <v>39104</v>
      </c>
      <c r="C194" s="4" t="s">
        <v>1459</v>
      </c>
      <c r="D194" s="709">
        <v>57596.114756999974</v>
      </c>
      <c r="E194" s="722">
        <f>0</f>
        <v>0</v>
      </c>
      <c r="F194" s="345">
        <f t="shared" si="58"/>
        <v>57596.114756999974</v>
      </c>
      <c r="G194" s="267">
        <v>1</v>
      </c>
      <c r="H194" s="684">
        <f>Allocation!$E$20</f>
        <v>1.503839E-2</v>
      </c>
      <c r="I194" s="345">
        <f>F194*G194*H194</f>
        <v>866.15283620052082</v>
      </c>
      <c r="K194" s="709">
        <v>55337.155010999981</v>
      </c>
      <c r="L194" s="360">
        <f t="shared" si="56"/>
        <v>1</v>
      </c>
      <c r="M194" s="360">
        <f t="shared" si="57"/>
        <v>1.503839E-2</v>
      </c>
      <c r="N194" s="345">
        <f t="shared" si="55"/>
        <v>832.18171854587206</v>
      </c>
      <c r="P194" s="601"/>
      <c r="S194" s="267"/>
      <c r="T194" s="267"/>
    </row>
    <row r="195" spans="1:20" ht="15" customHeight="1">
      <c r="A195" s="605">
        <f t="shared" si="42"/>
        <v>181</v>
      </c>
      <c r="B195" s="294">
        <v>39120</v>
      </c>
      <c r="C195" s="4" t="s">
        <v>1411</v>
      </c>
      <c r="D195" s="709">
        <v>208950.42318200017</v>
      </c>
      <c r="E195" s="722">
        <f>0</f>
        <v>0</v>
      </c>
      <c r="F195" s="345">
        <f t="shared" si="58"/>
        <v>208950.42318200017</v>
      </c>
      <c r="G195" s="267">
        <v>1</v>
      </c>
      <c r="H195" s="684">
        <f>Allocation!$E$22</f>
        <v>5.5924710000000002E-2</v>
      </c>
      <c r="I195" s="345">
        <f t="shared" ref="I195:I224" si="59">F195*G195*H195</f>
        <v>11685.491820830637</v>
      </c>
      <c r="K195" s="709">
        <v>199159.41878600011</v>
      </c>
      <c r="L195" s="360">
        <f t="shared" si="56"/>
        <v>1</v>
      </c>
      <c r="M195" s="360">
        <f t="shared" si="57"/>
        <v>5.5924710000000002E-2</v>
      </c>
      <c r="N195" s="345">
        <f t="shared" si="55"/>
        <v>11137.932739375608</v>
      </c>
      <c r="P195" s="360"/>
      <c r="S195" s="267"/>
      <c r="T195" s="267"/>
    </row>
    <row r="196" spans="1:20" ht="15" customHeight="1">
      <c r="A196" s="605">
        <f t="shared" si="42"/>
        <v>182</v>
      </c>
      <c r="B196" s="294">
        <v>39200</v>
      </c>
      <c r="C196" s="4" t="s">
        <v>1438</v>
      </c>
      <c r="D196" s="709">
        <v>238191.51535124992</v>
      </c>
      <c r="E196" s="722">
        <f>0</f>
        <v>0</v>
      </c>
      <c r="F196" s="345">
        <f t="shared" si="58"/>
        <v>238191.51535124992</v>
      </c>
      <c r="G196" s="360">
        <f t="shared" ref="G196:G198" si="60">$G$186</f>
        <v>8.8999999999999996E-2</v>
      </c>
      <c r="H196" s="360">
        <f t="shared" ref="H196:H198" si="61">$H$186</f>
        <v>0.48899999999999999</v>
      </c>
      <c r="I196" s="345">
        <f t="shared" si="59"/>
        <v>10366.332939601747</v>
      </c>
      <c r="K196" s="709">
        <v>227799.17266874996</v>
      </c>
      <c r="L196" s="360">
        <f t="shared" si="56"/>
        <v>8.8999999999999996E-2</v>
      </c>
      <c r="M196" s="360">
        <f t="shared" si="57"/>
        <v>0.48899999999999999</v>
      </c>
      <c r="N196" s="345">
        <f t="shared" si="55"/>
        <v>9914.0477937166652</v>
      </c>
      <c r="P196" s="360"/>
      <c r="S196" s="267"/>
      <c r="T196" s="267"/>
    </row>
    <row r="197" spans="1:20" ht="15" customHeight="1">
      <c r="A197" s="605">
        <f t="shared" si="42"/>
        <v>183</v>
      </c>
      <c r="B197" s="294">
        <v>39300</v>
      </c>
      <c r="C197" s="4" t="s">
        <v>1460</v>
      </c>
      <c r="D197" s="709">
        <v>0</v>
      </c>
      <c r="E197" s="722">
        <f>0</f>
        <v>0</v>
      </c>
      <c r="F197" s="345">
        <f t="shared" si="58"/>
        <v>0</v>
      </c>
      <c r="G197" s="360">
        <f t="shared" si="60"/>
        <v>8.8999999999999996E-2</v>
      </c>
      <c r="H197" s="360">
        <f t="shared" si="61"/>
        <v>0.48899999999999999</v>
      </c>
      <c r="I197" s="345">
        <f t="shared" si="59"/>
        <v>0</v>
      </c>
      <c r="K197" s="709">
        <v>0</v>
      </c>
      <c r="L197" s="360">
        <f t="shared" si="56"/>
        <v>8.8999999999999996E-2</v>
      </c>
      <c r="M197" s="360">
        <f t="shared" si="57"/>
        <v>0.48899999999999999</v>
      </c>
      <c r="N197" s="345">
        <f t="shared" si="55"/>
        <v>0</v>
      </c>
      <c r="P197" s="360"/>
      <c r="S197" s="267"/>
      <c r="T197" s="267"/>
    </row>
    <row r="198" spans="1:20" ht="15" customHeight="1">
      <c r="A198" s="605">
        <f t="shared" si="42"/>
        <v>184</v>
      </c>
      <c r="B198" s="294">
        <v>39400</v>
      </c>
      <c r="C198" s="4" t="s">
        <v>1440</v>
      </c>
      <c r="D198" s="709">
        <v>29167.57924599999</v>
      </c>
      <c r="E198" s="722">
        <f>0</f>
        <v>0</v>
      </c>
      <c r="F198" s="345">
        <f t="shared" si="58"/>
        <v>29167.57924599999</v>
      </c>
      <c r="G198" s="360">
        <f t="shared" si="60"/>
        <v>8.8999999999999996E-2</v>
      </c>
      <c r="H198" s="360">
        <f t="shared" si="61"/>
        <v>0.48899999999999999</v>
      </c>
      <c r="I198" s="345">
        <f t="shared" si="59"/>
        <v>1269.4022163651655</v>
      </c>
      <c r="K198" s="709">
        <v>27293.248799999998</v>
      </c>
      <c r="L198" s="360">
        <f t="shared" si="56"/>
        <v>8.8999999999999996E-2</v>
      </c>
      <c r="M198" s="360">
        <f t="shared" si="57"/>
        <v>0.48899999999999999</v>
      </c>
      <c r="N198" s="345">
        <f t="shared" si="55"/>
        <v>1187.8294810247999</v>
      </c>
      <c r="P198" s="360"/>
      <c r="S198" s="267"/>
      <c r="T198" s="267"/>
    </row>
    <row r="199" spans="1:20" ht="15" customHeight="1">
      <c r="A199" s="605">
        <f t="shared" si="42"/>
        <v>185</v>
      </c>
      <c r="B199" s="294">
        <v>39420</v>
      </c>
      <c r="C199" s="4" t="s">
        <v>1412</v>
      </c>
      <c r="D199" s="709">
        <v>388.07</v>
      </c>
      <c r="E199" s="722">
        <f>0</f>
        <v>0</v>
      </c>
      <c r="F199" s="345">
        <f t="shared" si="58"/>
        <v>388.07</v>
      </c>
      <c r="G199" s="267">
        <v>1</v>
      </c>
      <c r="H199" s="684">
        <f>Allocation!$E$22</f>
        <v>5.5924710000000002E-2</v>
      </c>
      <c r="I199" s="345">
        <f t="shared" si="59"/>
        <v>21.7027022097</v>
      </c>
      <c r="K199" s="709">
        <v>388.07</v>
      </c>
      <c r="L199" s="360">
        <f t="shared" si="56"/>
        <v>1</v>
      </c>
      <c r="M199" s="360">
        <f t="shared" si="57"/>
        <v>5.5924710000000002E-2</v>
      </c>
      <c r="N199" s="345">
        <f t="shared" si="55"/>
        <v>21.7027022097</v>
      </c>
      <c r="P199" s="360"/>
      <c r="S199" s="267"/>
      <c r="T199" s="267"/>
    </row>
    <row r="200" spans="1:20" ht="15" customHeight="1">
      <c r="A200" s="605">
        <f t="shared" si="42"/>
        <v>186</v>
      </c>
      <c r="B200" s="294">
        <v>39500</v>
      </c>
      <c r="C200" s="4" t="s">
        <v>1461</v>
      </c>
      <c r="D200" s="709">
        <v>0</v>
      </c>
      <c r="E200" s="722">
        <f>0</f>
        <v>0</v>
      </c>
      <c r="F200" s="345">
        <f t="shared" si="58"/>
        <v>0</v>
      </c>
      <c r="G200" s="360">
        <f t="shared" ref="G200" si="62">$G$186</f>
        <v>8.8999999999999996E-2</v>
      </c>
      <c r="H200" s="360">
        <f t="shared" ref="H200" si="63">$H$186</f>
        <v>0.48899999999999999</v>
      </c>
      <c r="I200" s="345">
        <f t="shared" si="59"/>
        <v>0</v>
      </c>
      <c r="K200" s="709">
        <v>0</v>
      </c>
      <c r="L200" s="360">
        <f t="shared" si="56"/>
        <v>8.8999999999999996E-2</v>
      </c>
      <c r="M200" s="360">
        <f t="shared" si="57"/>
        <v>0.48899999999999999</v>
      </c>
      <c r="N200" s="345">
        <f t="shared" si="55"/>
        <v>0</v>
      </c>
      <c r="P200" s="360"/>
      <c r="S200" s="267"/>
      <c r="T200" s="267"/>
    </row>
    <row r="201" spans="1:20" ht="15" customHeight="1">
      <c r="A201" s="605">
        <f t="shared" si="42"/>
        <v>187</v>
      </c>
      <c r="B201" s="294">
        <v>39700</v>
      </c>
      <c r="C201" s="4" t="s">
        <v>1444</v>
      </c>
      <c r="D201" s="709">
        <v>172931.19356362696</v>
      </c>
      <c r="E201" s="722">
        <f>0</f>
        <v>0</v>
      </c>
      <c r="F201" s="345">
        <f t="shared" si="58"/>
        <v>172931.19356362696</v>
      </c>
      <c r="G201" s="360">
        <f t="shared" ref="G201:G225" si="64">$G$186</f>
        <v>8.8999999999999996E-2</v>
      </c>
      <c r="H201" s="360">
        <f t="shared" ref="H201:H225" si="65">$H$186</f>
        <v>0.48899999999999999</v>
      </c>
      <c r="I201" s="345">
        <f t="shared" si="59"/>
        <v>7526.1384750826082</v>
      </c>
      <c r="K201" s="709">
        <v>151026.8646904084</v>
      </c>
      <c r="L201" s="360">
        <f t="shared" si="56"/>
        <v>8.8999999999999996E-2</v>
      </c>
      <c r="M201" s="360">
        <f t="shared" si="57"/>
        <v>0.48899999999999999</v>
      </c>
      <c r="N201" s="345">
        <f t="shared" si="55"/>
        <v>6572.8401781912635</v>
      </c>
      <c r="P201" s="360"/>
      <c r="S201" s="267"/>
      <c r="T201" s="267"/>
    </row>
    <row r="202" spans="1:20" ht="15" customHeight="1">
      <c r="A202" s="605">
        <f t="shared" si="42"/>
        <v>188</v>
      </c>
      <c r="B202" s="294">
        <v>39720</v>
      </c>
      <c r="C202" s="4" t="s">
        <v>1413</v>
      </c>
      <c r="D202" s="709">
        <v>17006.98387</v>
      </c>
      <c r="E202" s="722">
        <f>0</f>
        <v>0</v>
      </c>
      <c r="F202" s="345">
        <f t="shared" si="58"/>
        <v>17006.98387</v>
      </c>
      <c r="G202" s="267">
        <v>1</v>
      </c>
      <c r="H202" s="684">
        <f>Allocation!$E$22</f>
        <v>5.5924710000000002E-2</v>
      </c>
      <c r="I202" s="345">
        <f t="shared" si="59"/>
        <v>951.11064090442778</v>
      </c>
      <c r="K202" s="709">
        <v>14552.257914999997</v>
      </c>
      <c r="L202" s="360">
        <f t="shared" si="56"/>
        <v>1</v>
      </c>
      <c r="M202" s="360">
        <f t="shared" si="57"/>
        <v>5.5924710000000002E-2</v>
      </c>
      <c r="N202" s="345">
        <f t="shared" si="55"/>
        <v>813.83080374157953</v>
      </c>
      <c r="P202" s="360"/>
      <c r="S202" s="267"/>
      <c r="T202" s="267"/>
    </row>
    <row r="203" spans="1:20" ht="15" customHeight="1">
      <c r="A203" s="605">
        <f t="shared" si="42"/>
        <v>189</v>
      </c>
      <c r="B203" s="294">
        <v>39800</v>
      </c>
      <c r="C203" s="4" t="s">
        <v>1446</v>
      </c>
      <c r="D203" s="709">
        <v>55129.172057000011</v>
      </c>
      <c r="E203" s="722">
        <f>0</f>
        <v>0</v>
      </c>
      <c r="F203" s="345">
        <f t="shared" si="58"/>
        <v>55129.172057000011</v>
      </c>
      <c r="G203" s="360">
        <f t="shared" si="64"/>
        <v>8.8999999999999996E-2</v>
      </c>
      <c r="H203" s="360">
        <f t="shared" si="65"/>
        <v>0.48899999999999999</v>
      </c>
      <c r="I203" s="345">
        <f t="shared" si="59"/>
        <v>2399.2766970926973</v>
      </c>
      <c r="K203" s="709">
        <v>51351.587407000021</v>
      </c>
      <c r="L203" s="360">
        <f t="shared" si="56"/>
        <v>8.8999999999999996E-2</v>
      </c>
      <c r="M203" s="360">
        <f t="shared" si="57"/>
        <v>0.48899999999999999</v>
      </c>
      <c r="N203" s="345">
        <f t="shared" si="55"/>
        <v>2234.8724355400477</v>
      </c>
      <c r="P203" s="360"/>
      <c r="S203" s="267"/>
      <c r="T203" s="267"/>
    </row>
    <row r="204" spans="1:20" ht="15" customHeight="1">
      <c r="A204" s="605">
        <f t="shared" si="42"/>
        <v>190</v>
      </c>
      <c r="B204" s="294">
        <v>39820</v>
      </c>
      <c r="C204" s="4" t="s">
        <v>1414</v>
      </c>
      <c r="D204" s="709">
        <v>3729.217796000004</v>
      </c>
      <c r="E204" s="722">
        <f>0</f>
        <v>0</v>
      </c>
      <c r="F204" s="345">
        <f t="shared" si="58"/>
        <v>3729.217796000004</v>
      </c>
      <c r="G204" s="267">
        <v>1</v>
      </c>
      <c r="H204" s="684">
        <f>Allocation!$E$22</f>
        <v>5.5924710000000002E-2</v>
      </c>
      <c r="I204" s="345">
        <f t="shared" si="59"/>
        <v>208.55542376813941</v>
      </c>
      <c r="K204" s="709">
        <v>3358.8575960000035</v>
      </c>
      <c r="L204" s="360">
        <f t="shared" si="56"/>
        <v>1</v>
      </c>
      <c r="M204" s="360">
        <f t="shared" si="57"/>
        <v>5.5924710000000002E-2</v>
      </c>
      <c r="N204" s="345">
        <f t="shared" si="55"/>
        <v>187.84313698759738</v>
      </c>
      <c r="P204" s="360"/>
      <c r="S204" s="267"/>
      <c r="T204" s="267"/>
    </row>
    <row r="205" spans="1:20" ht="15" customHeight="1">
      <c r="A205" s="605">
        <f t="shared" si="42"/>
        <v>191</v>
      </c>
      <c r="B205" s="294">
        <v>39900</v>
      </c>
      <c r="C205" s="4" t="s">
        <v>1462</v>
      </c>
      <c r="D205" s="709">
        <v>-0.06</v>
      </c>
      <c r="E205" s="341">
        <v>0</v>
      </c>
      <c r="F205" s="345">
        <f t="shared" si="52"/>
        <v>-0.06</v>
      </c>
      <c r="G205" s="360">
        <f t="shared" si="64"/>
        <v>8.8999999999999996E-2</v>
      </c>
      <c r="H205" s="360">
        <f t="shared" si="65"/>
        <v>0.48899999999999999</v>
      </c>
      <c r="I205" s="345">
        <f t="shared" si="59"/>
        <v>-2.6112599999999998E-3</v>
      </c>
      <c r="K205" s="709">
        <v>-6.0000000000000019E-2</v>
      </c>
      <c r="L205" s="360">
        <f t="shared" si="56"/>
        <v>8.8999999999999996E-2</v>
      </c>
      <c r="M205" s="360">
        <f t="shared" si="57"/>
        <v>0.48899999999999999</v>
      </c>
      <c r="N205" s="345">
        <f t="shared" si="55"/>
        <v>-2.6112600000000002E-3</v>
      </c>
      <c r="P205" s="603"/>
      <c r="S205" s="267"/>
      <c r="T205" s="267"/>
    </row>
    <row r="206" spans="1:20" ht="15" customHeight="1">
      <c r="A206" s="605">
        <f t="shared" si="42"/>
        <v>192</v>
      </c>
      <c r="B206" s="294">
        <v>39901</v>
      </c>
      <c r="C206" t="s">
        <v>1455</v>
      </c>
      <c r="D206" s="709">
        <v>11608117.953253575</v>
      </c>
      <c r="E206" s="341">
        <v>0</v>
      </c>
      <c r="F206" s="345">
        <f t="shared" si="52"/>
        <v>11608117.953253575</v>
      </c>
      <c r="G206" s="360">
        <f t="shared" si="64"/>
        <v>8.8999999999999996E-2</v>
      </c>
      <c r="H206" s="360">
        <f t="shared" si="65"/>
        <v>0.48899999999999999</v>
      </c>
      <c r="I206" s="345">
        <f t="shared" si="59"/>
        <v>505196.90144354879</v>
      </c>
      <c r="K206" s="709">
        <v>9188700.5056209359</v>
      </c>
      <c r="L206" s="360">
        <f t="shared" si="56"/>
        <v>8.8999999999999996E-2</v>
      </c>
      <c r="M206" s="360">
        <f t="shared" si="57"/>
        <v>0.48899999999999999</v>
      </c>
      <c r="N206" s="345">
        <f t="shared" si="55"/>
        <v>399901.43470512872</v>
      </c>
      <c r="P206" s="360"/>
      <c r="S206" s="267"/>
      <c r="T206" s="267"/>
    </row>
    <row r="207" spans="1:20" ht="15" customHeight="1">
      <c r="A207" s="605">
        <f t="shared" si="42"/>
        <v>193</v>
      </c>
      <c r="B207" s="294">
        <v>39902</v>
      </c>
      <c r="C207" s="4" t="s">
        <v>1456</v>
      </c>
      <c r="D207" s="709">
        <v>13189128.590845</v>
      </c>
      <c r="E207" s="341">
        <v>0</v>
      </c>
      <c r="F207" s="345">
        <f t="shared" si="52"/>
        <v>13189128.590845</v>
      </c>
      <c r="G207" s="360">
        <f t="shared" si="64"/>
        <v>8.8999999999999996E-2</v>
      </c>
      <c r="H207" s="360">
        <f t="shared" si="65"/>
        <v>0.48899999999999999</v>
      </c>
      <c r="I207" s="345">
        <f t="shared" si="59"/>
        <v>574004.06540216529</v>
      </c>
      <c r="K207" s="709">
        <v>10970429.736211291</v>
      </c>
      <c r="L207" s="360">
        <f t="shared" si="56"/>
        <v>8.8999999999999996E-2</v>
      </c>
      <c r="M207" s="360">
        <f t="shared" si="57"/>
        <v>0.48899999999999999</v>
      </c>
      <c r="N207" s="345">
        <f t="shared" si="55"/>
        <v>477444.07254965155</v>
      </c>
      <c r="P207" s="360"/>
      <c r="S207" s="267"/>
      <c r="T207" s="267"/>
    </row>
    <row r="208" spans="1:20" ht="15" customHeight="1">
      <c r="A208" s="605">
        <f t="shared" si="42"/>
        <v>194</v>
      </c>
      <c r="B208" s="294">
        <v>39903</v>
      </c>
      <c r="C208" s="4" t="s">
        <v>1447</v>
      </c>
      <c r="D208" s="709">
        <v>2088010.1183004566</v>
      </c>
      <c r="E208" s="341">
        <v>0</v>
      </c>
      <c r="F208" s="345">
        <f t="shared" si="52"/>
        <v>2088010.1183004566</v>
      </c>
      <c r="G208" s="360">
        <f t="shared" si="64"/>
        <v>8.8999999999999996E-2</v>
      </c>
      <c r="H208" s="360">
        <f t="shared" si="65"/>
        <v>0.48899999999999999</v>
      </c>
      <c r="I208" s="345">
        <f t="shared" si="59"/>
        <v>90872.288358554171</v>
      </c>
      <c r="K208" s="709">
        <v>1810017.7439402631</v>
      </c>
      <c r="L208" s="360">
        <f t="shared" si="56"/>
        <v>8.8999999999999996E-2</v>
      </c>
      <c r="M208" s="360">
        <f t="shared" si="57"/>
        <v>0.48899999999999999</v>
      </c>
      <c r="N208" s="345">
        <f t="shared" si="55"/>
        <v>78773.782234024184</v>
      </c>
      <c r="P208" s="360"/>
      <c r="S208" s="267"/>
      <c r="T208" s="267"/>
    </row>
    <row r="209" spans="1:20" ht="15" customHeight="1">
      <c r="A209" s="605">
        <f t="shared" si="42"/>
        <v>195</v>
      </c>
      <c r="B209" s="294">
        <v>39904</v>
      </c>
      <c r="C209" s="4" t="s">
        <v>1463</v>
      </c>
      <c r="D209" s="709">
        <v>0</v>
      </c>
      <c r="E209" s="341">
        <v>0</v>
      </c>
      <c r="F209" s="345">
        <f t="shared" si="52"/>
        <v>0</v>
      </c>
      <c r="G209" s="360">
        <f t="shared" si="64"/>
        <v>8.8999999999999996E-2</v>
      </c>
      <c r="H209" s="360">
        <f t="shared" si="65"/>
        <v>0.48899999999999999</v>
      </c>
      <c r="I209" s="345">
        <f t="shared" si="59"/>
        <v>0</v>
      </c>
      <c r="K209" s="709">
        <v>0</v>
      </c>
      <c r="L209" s="360">
        <f t="shared" si="56"/>
        <v>8.8999999999999996E-2</v>
      </c>
      <c r="M209" s="360">
        <f t="shared" si="57"/>
        <v>0.48899999999999999</v>
      </c>
      <c r="N209" s="345">
        <f t="shared" si="55"/>
        <v>0</v>
      </c>
      <c r="P209" s="360"/>
      <c r="S209" s="267"/>
      <c r="T209" s="267"/>
    </row>
    <row r="210" spans="1:20">
      <c r="A210" s="605">
        <f t="shared" si="42"/>
        <v>196</v>
      </c>
      <c r="B210" s="294">
        <v>39905</v>
      </c>
      <c r="C210" s="4" t="s">
        <v>1464</v>
      </c>
      <c r="D210" s="709">
        <v>0</v>
      </c>
      <c r="E210" s="341">
        <v>0</v>
      </c>
      <c r="F210" s="345">
        <f t="shared" si="52"/>
        <v>0</v>
      </c>
      <c r="G210" s="360">
        <f t="shared" si="64"/>
        <v>8.8999999999999996E-2</v>
      </c>
      <c r="H210" s="360">
        <f t="shared" si="65"/>
        <v>0.48899999999999999</v>
      </c>
      <c r="I210" s="345">
        <f t="shared" si="59"/>
        <v>0</v>
      </c>
      <c r="K210" s="709">
        <v>0</v>
      </c>
      <c r="L210" s="360">
        <f t="shared" si="56"/>
        <v>8.8999999999999996E-2</v>
      </c>
      <c r="M210" s="360">
        <f t="shared" si="57"/>
        <v>0.48899999999999999</v>
      </c>
      <c r="N210" s="345">
        <f t="shared" si="55"/>
        <v>0</v>
      </c>
      <c r="P210" s="360"/>
      <c r="S210" s="267"/>
      <c r="T210" s="267"/>
    </row>
    <row r="211" spans="1:20">
      <c r="A211" s="605">
        <f t="shared" si="42"/>
        <v>197</v>
      </c>
      <c r="B211" s="382">
        <v>39906</v>
      </c>
      <c r="C211" s="4" t="s">
        <v>1448</v>
      </c>
      <c r="D211" s="709">
        <v>2286378.558818249</v>
      </c>
      <c r="E211" s="341">
        <v>0</v>
      </c>
      <c r="F211" s="345">
        <f t="shared" si="52"/>
        <v>2286378.558818249</v>
      </c>
      <c r="G211" s="360">
        <f t="shared" si="64"/>
        <v>8.8999999999999996E-2</v>
      </c>
      <c r="H211" s="360">
        <f t="shared" si="65"/>
        <v>0.48899999999999999</v>
      </c>
      <c r="I211" s="345">
        <f t="shared" si="59"/>
        <v>99505.481258329004</v>
      </c>
      <c r="K211" s="709">
        <v>1835231.5498378912</v>
      </c>
      <c r="L211" s="360">
        <f t="shared" si="56"/>
        <v>8.8999999999999996E-2</v>
      </c>
      <c r="M211" s="360">
        <f t="shared" si="57"/>
        <v>0.48899999999999999</v>
      </c>
      <c r="N211" s="345">
        <f t="shared" si="55"/>
        <v>79871.112280494854</v>
      </c>
      <c r="P211" s="360"/>
      <c r="S211" s="267"/>
      <c r="T211" s="267"/>
    </row>
    <row r="212" spans="1:20">
      <c r="A212" s="605">
        <f t="shared" ref="A212:A265" si="66">A211+1</f>
        <v>198</v>
      </c>
      <c r="B212" s="382">
        <v>39907</v>
      </c>
      <c r="C212" s="4" t="s">
        <v>1449</v>
      </c>
      <c r="D212" s="709">
        <v>74488.85443825004</v>
      </c>
      <c r="E212" s="341">
        <v>0</v>
      </c>
      <c r="F212" s="345">
        <f t="shared" si="52"/>
        <v>74488.85443825004</v>
      </c>
      <c r="G212" s="360">
        <f t="shared" si="64"/>
        <v>8.8999999999999996E-2</v>
      </c>
      <c r="H212" s="360">
        <f t="shared" si="65"/>
        <v>0.48899999999999999</v>
      </c>
      <c r="I212" s="345">
        <f t="shared" si="59"/>
        <v>3241.8294340070797</v>
      </c>
      <c r="K212" s="709">
        <v>69665.825447250027</v>
      </c>
      <c r="L212" s="360">
        <f t="shared" si="56"/>
        <v>8.8999999999999996E-2</v>
      </c>
      <c r="M212" s="360">
        <f t="shared" si="57"/>
        <v>0.48899999999999999</v>
      </c>
      <c r="N212" s="345">
        <f t="shared" si="55"/>
        <v>3031.9263892897684</v>
      </c>
      <c r="P212" s="360"/>
      <c r="S212" s="267"/>
      <c r="T212" s="267"/>
    </row>
    <row r="213" spans="1:20">
      <c r="A213" s="605">
        <f t="shared" si="66"/>
        <v>199</v>
      </c>
      <c r="B213" s="382">
        <v>39908</v>
      </c>
      <c r="C213" s="4" t="s">
        <v>1450</v>
      </c>
      <c r="D213" s="709">
        <v>72269684.489772752</v>
      </c>
      <c r="E213" s="341">
        <v>0</v>
      </c>
      <c r="F213" s="345">
        <f t="shared" si="52"/>
        <v>72269684.489772752</v>
      </c>
      <c r="G213" s="360">
        <f t="shared" si="64"/>
        <v>8.8999999999999996E-2</v>
      </c>
      <c r="H213" s="360">
        <f t="shared" si="65"/>
        <v>0.48899999999999999</v>
      </c>
      <c r="I213" s="345">
        <f t="shared" si="59"/>
        <v>3145248.9386793999</v>
      </c>
      <c r="K213" s="709">
        <v>68468562.239395916</v>
      </c>
      <c r="L213" s="360">
        <f t="shared" si="56"/>
        <v>8.8999999999999996E-2</v>
      </c>
      <c r="M213" s="360">
        <f t="shared" si="57"/>
        <v>0.48899999999999999</v>
      </c>
      <c r="N213" s="345">
        <f t="shared" si="55"/>
        <v>2979820.2972207498</v>
      </c>
      <c r="P213" s="360"/>
      <c r="S213" s="267"/>
      <c r="T213" s="267"/>
    </row>
    <row r="214" spans="1:20">
      <c r="A214" s="605">
        <f t="shared" si="66"/>
        <v>200</v>
      </c>
      <c r="B214" s="382">
        <v>39909</v>
      </c>
      <c r="C214" s="4" t="s">
        <v>1465</v>
      </c>
      <c r="D214" s="709">
        <v>0</v>
      </c>
      <c r="E214" s="341">
        <v>0</v>
      </c>
      <c r="F214" s="345">
        <f t="shared" si="52"/>
        <v>0</v>
      </c>
      <c r="G214" s="360">
        <f t="shared" si="64"/>
        <v>8.8999999999999996E-2</v>
      </c>
      <c r="H214" s="360">
        <f t="shared" si="65"/>
        <v>0.48899999999999999</v>
      </c>
      <c r="I214" s="345">
        <f t="shared" si="59"/>
        <v>0</v>
      </c>
      <c r="K214" s="709">
        <v>0</v>
      </c>
      <c r="L214" s="360">
        <f t="shared" si="56"/>
        <v>8.8999999999999996E-2</v>
      </c>
      <c r="M214" s="360">
        <f t="shared" si="57"/>
        <v>0.48899999999999999</v>
      </c>
      <c r="N214" s="345">
        <f t="shared" si="55"/>
        <v>0</v>
      </c>
      <c r="P214" s="360"/>
      <c r="S214" s="267"/>
      <c r="T214" s="267"/>
    </row>
    <row r="215" spans="1:20">
      <c r="A215" s="605">
        <f t="shared" si="66"/>
        <v>201</v>
      </c>
      <c r="B215" s="382">
        <v>39921</v>
      </c>
      <c r="C215" s="4" t="s">
        <v>1415</v>
      </c>
      <c r="D215" s="709">
        <v>4081369.5569867976</v>
      </c>
      <c r="E215" s="341">
        <v>0</v>
      </c>
      <c r="F215" s="345">
        <f t="shared" si="52"/>
        <v>4081369.5569867976</v>
      </c>
      <c r="G215" s="267">
        <v>1</v>
      </c>
      <c r="H215" s="684">
        <f>Allocation!$E$22</f>
        <v>5.5924710000000002E-2</v>
      </c>
      <c r="I215" s="345">
        <f t="shared" si="59"/>
        <v>228249.40887731515</v>
      </c>
      <c r="K215" s="709">
        <v>2973261.7956813746</v>
      </c>
      <c r="L215" s="360">
        <f t="shared" ref="L215:L224" si="67">G215</f>
        <v>1</v>
      </c>
      <c r="M215" s="360">
        <f t="shared" ref="M215:M224" si="68">H215</f>
        <v>5.5924710000000002E-2</v>
      </c>
      <c r="N215" s="345">
        <f t="shared" si="55"/>
        <v>166278.80367756012</v>
      </c>
      <c r="P215" s="360"/>
      <c r="S215" s="267"/>
      <c r="T215" s="267"/>
    </row>
    <row r="216" spans="1:20">
      <c r="A216" s="605">
        <f t="shared" si="66"/>
        <v>202</v>
      </c>
      <c r="B216" s="382">
        <v>39922</v>
      </c>
      <c r="C216" s="4" t="s">
        <v>1416</v>
      </c>
      <c r="D216" s="709">
        <v>3571475.1423800001</v>
      </c>
      <c r="E216" s="341">
        <v>0</v>
      </c>
      <c r="F216" s="345">
        <f t="shared" si="52"/>
        <v>3571475.1423800001</v>
      </c>
      <c r="G216" s="267">
        <v>1</v>
      </c>
      <c r="H216" s="684">
        <f>Allocation!$E$22</f>
        <v>5.5924710000000002E-2</v>
      </c>
      <c r="I216" s="345">
        <f t="shared" si="59"/>
        <v>199733.71160981021</v>
      </c>
      <c r="K216" s="709">
        <v>3297485.9379800009</v>
      </c>
      <c r="L216" s="360">
        <f t="shared" si="67"/>
        <v>1</v>
      </c>
      <c r="M216" s="360">
        <f t="shared" si="68"/>
        <v>5.5924710000000002E-2</v>
      </c>
      <c r="N216" s="345">
        <f t="shared" si="55"/>
        <v>184410.94481060954</v>
      </c>
      <c r="P216" s="360"/>
      <c r="S216" s="267"/>
      <c r="T216" s="267"/>
    </row>
    <row r="217" spans="1:20">
      <c r="A217" s="605">
        <f t="shared" si="66"/>
        <v>203</v>
      </c>
      <c r="B217" s="382">
        <v>39923</v>
      </c>
      <c r="C217" s="4" t="s">
        <v>1417</v>
      </c>
      <c r="D217" s="709">
        <v>311288.5417093322</v>
      </c>
      <c r="E217" s="341">
        <v>0</v>
      </c>
      <c r="F217" s="345">
        <f t="shared" si="52"/>
        <v>311288.5417093322</v>
      </c>
      <c r="G217" s="267">
        <v>1</v>
      </c>
      <c r="H217" s="684">
        <f>Allocation!$E$22</f>
        <v>5.5924710000000002E-2</v>
      </c>
      <c r="I217" s="345">
        <f t="shared" si="59"/>
        <v>17408.721421417307</v>
      </c>
      <c r="K217" s="709">
        <v>235280.94526865639</v>
      </c>
      <c r="L217" s="360">
        <f t="shared" si="67"/>
        <v>1</v>
      </c>
      <c r="M217" s="360">
        <f t="shared" si="68"/>
        <v>5.5924710000000002E-2</v>
      </c>
      <c r="N217" s="345">
        <f t="shared" si="55"/>
        <v>13158.018632675481</v>
      </c>
      <c r="P217" s="360"/>
      <c r="S217" s="267"/>
      <c r="T217" s="267"/>
    </row>
    <row r="218" spans="1:20">
      <c r="A218" s="605">
        <f t="shared" si="66"/>
        <v>204</v>
      </c>
      <c r="B218" s="382">
        <v>39924</v>
      </c>
      <c r="C218" s="4" t="s">
        <v>1311</v>
      </c>
      <c r="D218" s="709">
        <v>0</v>
      </c>
      <c r="E218" s="341">
        <v>0</v>
      </c>
      <c r="F218" s="345">
        <f t="shared" si="52"/>
        <v>0</v>
      </c>
      <c r="G218" s="360">
        <f t="shared" si="64"/>
        <v>8.8999999999999996E-2</v>
      </c>
      <c r="H218" s="360">
        <f t="shared" si="65"/>
        <v>0.48899999999999999</v>
      </c>
      <c r="I218" s="345">
        <f t="shared" si="59"/>
        <v>0</v>
      </c>
      <c r="K218" s="709">
        <v>0</v>
      </c>
      <c r="L218" s="360">
        <f t="shared" si="67"/>
        <v>8.8999999999999996E-2</v>
      </c>
      <c r="M218" s="360">
        <f t="shared" si="68"/>
        <v>0.48899999999999999</v>
      </c>
      <c r="N218" s="345">
        <f t="shared" si="55"/>
        <v>0</v>
      </c>
      <c r="P218" s="360"/>
      <c r="S218" s="267"/>
      <c r="T218" s="267"/>
    </row>
    <row r="219" spans="1:20">
      <c r="A219" s="605">
        <f t="shared" si="66"/>
        <v>205</v>
      </c>
      <c r="B219" s="382">
        <v>39926</v>
      </c>
      <c r="C219" s="4" t="s">
        <v>1426</v>
      </c>
      <c r="D219" s="709">
        <v>70154.411902000007</v>
      </c>
      <c r="E219" s="341">
        <v>0</v>
      </c>
      <c r="F219" s="345">
        <f t="shared" si="52"/>
        <v>70154.411902000007</v>
      </c>
      <c r="G219" s="267">
        <v>1</v>
      </c>
      <c r="H219" s="684">
        <f>Allocation!$E$22</f>
        <v>5.5924710000000002E-2</v>
      </c>
      <c r="I219" s="345">
        <f t="shared" si="59"/>
        <v>3923.3651408398991</v>
      </c>
      <c r="K219" s="709">
        <v>55552.452262999999</v>
      </c>
      <c r="L219" s="360">
        <f t="shared" si="67"/>
        <v>1</v>
      </c>
      <c r="M219" s="360">
        <f t="shared" si="68"/>
        <v>5.5924710000000002E-2</v>
      </c>
      <c r="N219" s="345">
        <f t="shared" si="55"/>
        <v>3106.7547825971187</v>
      </c>
      <c r="P219" s="360"/>
      <c r="S219" s="267"/>
      <c r="T219" s="267"/>
    </row>
    <row r="220" spans="1:20">
      <c r="A220" s="605">
        <f t="shared" si="66"/>
        <v>206</v>
      </c>
      <c r="B220" s="382">
        <v>39928</v>
      </c>
      <c r="C220" s="4" t="s">
        <v>1427</v>
      </c>
      <c r="D220" s="709">
        <v>24776953.642433751</v>
      </c>
      <c r="E220" s="341">
        <v>0</v>
      </c>
      <c r="F220" s="345">
        <f t="shared" si="52"/>
        <v>24776953.642433751</v>
      </c>
      <c r="G220" s="267">
        <v>1</v>
      </c>
      <c r="H220" s="684">
        <f>Allocation!$E$22</f>
        <v>5.5924710000000002E-2</v>
      </c>
      <c r="I220" s="345">
        <f t="shared" si="59"/>
        <v>1385643.9471365514</v>
      </c>
      <c r="K220" s="709">
        <v>23751640.338226255</v>
      </c>
      <c r="L220" s="360">
        <f t="shared" si="67"/>
        <v>1</v>
      </c>
      <c r="M220" s="360">
        <f t="shared" si="68"/>
        <v>5.5924710000000002E-2</v>
      </c>
      <c r="N220" s="345">
        <f t="shared" si="55"/>
        <v>1328303.5979396054</v>
      </c>
      <c r="P220" s="360"/>
      <c r="S220" s="267"/>
      <c r="T220" s="267"/>
    </row>
    <row r="221" spans="1:20">
      <c r="A221" s="605">
        <f t="shared" si="66"/>
        <v>207</v>
      </c>
      <c r="B221" s="382">
        <v>39931</v>
      </c>
      <c r="C221" s="4" t="s">
        <v>1428</v>
      </c>
      <c r="D221" s="709">
        <v>291067.5271735001</v>
      </c>
      <c r="E221" s="341">
        <v>0</v>
      </c>
      <c r="F221" s="345">
        <f t="shared" si="52"/>
        <v>291067.5271735001</v>
      </c>
      <c r="G221" s="267">
        <v>1</v>
      </c>
      <c r="H221" s="684">
        <f>Allocation!$E$23</f>
        <v>3.5999389999999999E-2</v>
      </c>
      <c r="I221" s="345">
        <f t="shared" si="59"/>
        <v>10478.253427054427</v>
      </c>
      <c r="K221" s="709">
        <v>272250.55076049996</v>
      </c>
      <c r="L221" s="360">
        <f t="shared" si="67"/>
        <v>1</v>
      </c>
      <c r="M221" s="360">
        <f t="shared" si="68"/>
        <v>3.5999389999999999E-2</v>
      </c>
      <c r="N221" s="345">
        <f t="shared" si="55"/>
        <v>9800.8537545420349</v>
      </c>
      <c r="P221" s="360"/>
      <c r="S221" s="267"/>
      <c r="T221" s="267"/>
    </row>
    <row r="222" spans="1:20">
      <c r="A222" s="605">
        <f t="shared" si="66"/>
        <v>208</v>
      </c>
      <c r="B222" s="382">
        <v>39932</v>
      </c>
      <c r="C222" s="4" t="s">
        <v>1429</v>
      </c>
      <c r="D222" s="709">
        <v>550127.36934225017</v>
      </c>
      <c r="E222" s="341">
        <v>0</v>
      </c>
      <c r="F222" s="345">
        <f t="shared" si="52"/>
        <v>550127.36934225017</v>
      </c>
      <c r="G222" s="267">
        <v>1</v>
      </c>
      <c r="H222" s="684">
        <f>Allocation!$E$23</f>
        <v>3.5999389999999999E-2</v>
      </c>
      <c r="I222" s="345">
        <f t="shared" si="59"/>
        <v>19804.249718625706</v>
      </c>
      <c r="K222" s="709">
        <v>510539.58053724997</v>
      </c>
      <c r="L222" s="360">
        <f t="shared" si="67"/>
        <v>1</v>
      </c>
      <c r="M222" s="360">
        <f t="shared" si="68"/>
        <v>3.5999389999999999E-2</v>
      </c>
      <c r="N222" s="345">
        <f t="shared" si="55"/>
        <v>18379.113470196869</v>
      </c>
      <c r="P222" s="360"/>
      <c r="S222" s="267"/>
      <c r="T222" s="267"/>
    </row>
    <row r="223" spans="1:20">
      <c r="A223" s="605">
        <f t="shared" si="66"/>
        <v>209</v>
      </c>
      <c r="B223" s="382">
        <v>39938</v>
      </c>
      <c r="C223" s="4" t="s">
        <v>1430</v>
      </c>
      <c r="D223" s="709">
        <v>14111813.448965998</v>
      </c>
      <c r="E223" s="341">
        <v>0</v>
      </c>
      <c r="F223" s="345">
        <f t="shared" ref="F223" si="69">D223+E223</f>
        <v>14111813.448965998</v>
      </c>
      <c r="G223" s="267">
        <v>1</v>
      </c>
      <c r="H223" s="684">
        <f>Allocation!$E$23</f>
        <v>3.5999389999999999E-2</v>
      </c>
      <c r="I223" s="345">
        <f t="shared" si="59"/>
        <v>508016.67595657206</v>
      </c>
      <c r="K223" s="709">
        <v>13379900.226618001</v>
      </c>
      <c r="L223" s="360">
        <f t="shared" si="67"/>
        <v>1</v>
      </c>
      <c r="M223" s="360">
        <f t="shared" si="68"/>
        <v>3.5999389999999999E-2</v>
      </c>
      <c r="N223" s="345">
        <f t="shared" ref="N223" si="70">K223*L223*M223</f>
        <v>481668.24641910981</v>
      </c>
      <c r="P223" s="360"/>
      <c r="S223" s="267"/>
      <c r="T223" s="267"/>
    </row>
    <row r="224" spans="1:20">
      <c r="A224" s="605">
        <f t="shared" si="66"/>
        <v>210</v>
      </c>
      <c r="B224" s="382" t="s">
        <v>1473</v>
      </c>
      <c r="C224" s="4" t="s">
        <v>1101</v>
      </c>
      <c r="D224" s="709">
        <v>0</v>
      </c>
      <c r="E224" s="1014">
        <v>0</v>
      </c>
      <c r="F224" s="710">
        <f t="shared" si="52"/>
        <v>0</v>
      </c>
      <c r="G224" s="721">
        <f t="shared" si="64"/>
        <v>8.8999999999999996E-2</v>
      </c>
      <c r="H224" s="721">
        <f t="shared" si="65"/>
        <v>0.48899999999999999</v>
      </c>
      <c r="I224" s="345">
        <f t="shared" si="59"/>
        <v>0</v>
      </c>
      <c r="K224" s="709">
        <v>0</v>
      </c>
      <c r="L224" s="360">
        <f t="shared" si="67"/>
        <v>8.8999999999999996E-2</v>
      </c>
      <c r="M224" s="360">
        <f t="shared" si="68"/>
        <v>0.48899999999999999</v>
      </c>
      <c r="N224" s="710">
        <f t="shared" si="55"/>
        <v>0</v>
      </c>
      <c r="P224" s="360"/>
      <c r="S224" s="267"/>
      <c r="T224" s="267"/>
    </row>
    <row r="225" spans="1:20">
      <c r="A225" s="605">
        <f t="shared" si="66"/>
        <v>211</v>
      </c>
      <c r="B225" s="382" t="s">
        <v>1618</v>
      </c>
      <c r="C225" s="4" t="s">
        <v>1621</v>
      </c>
      <c r="D225" s="709">
        <v>108259.5799999997</v>
      </c>
      <c r="E225" s="1014">
        <v>0</v>
      </c>
      <c r="F225" s="710">
        <f t="shared" ref="F225" si="71">D225+E225</f>
        <v>108259.5799999997</v>
      </c>
      <c r="G225" s="721">
        <f t="shared" si="64"/>
        <v>8.8999999999999996E-2</v>
      </c>
      <c r="H225" s="721">
        <f t="shared" si="65"/>
        <v>0.48899999999999999</v>
      </c>
      <c r="I225" s="345">
        <f t="shared" ref="I225" si="72">F225*G225*H225</f>
        <v>4711.5651811799862</v>
      </c>
      <c r="K225" s="709">
        <v>201053.57999999967</v>
      </c>
      <c r="L225" s="360">
        <f t="shared" ref="L225" si="73">G225</f>
        <v>8.8999999999999996E-2</v>
      </c>
      <c r="M225" s="360">
        <f t="shared" ref="M225" si="74">H225</f>
        <v>0.48899999999999999</v>
      </c>
      <c r="N225" s="711">
        <f t="shared" ref="N225" si="75">K225*L225*M225</f>
        <v>8750.0528551799853</v>
      </c>
      <c r="P225" s="360"/>
      <c r="S225" s="267"/>
      <c r="T225" s="267"/>
    </row>
    <row r="226" spans="1:20">
      <c r="A226" s="605">
        <f t="shared" si="66"/>
        <v>212</v>
      </c>
      <c r="B226" s="228"/>
      <c r="C226" s="4"/>
      <c r="D226" s="351"/>
      <c r="E226" s="351"/>
      <c r="F226" s="351"/>
      <c r="I226" s="351"/>
      <c r="K226" s="351"/>
    </row>
    <row r="227" spans="1:20" ht="15.75" thickBot="1">
      <c r="A227" s="605">
        <f t="shared" si="66"/>
        <v>213</v>
      </c>
      <c r="B227" s="228"/>
      <c r="C227" s="98" t="s">
        <v>1252</v>
      </c>
      <c r="D227" s="712">
        <f>SUM(D186:D225)</f>
        <v>173376967.72469786</v>
      </c>
      <c r="E227" s="712">
        <f>SUM(E186:E225)</f>
        <v>0</v>
      </c>
      <c r="F227" s="712">
        <f>SUM(F186:F225)</f>
        <v>173376967.72469786</v>
      </c>
      <c r="I227" s="712">
        <f>SUM(I186:I225)</f>
        <v>7664021.0527508752</v>
      </c>
      <c r="K227" s="712">
        <f>SUM(K186:K225)</f>
        <v>160125640.45220903</v>
      </c>
      <c r="N227" s="712">
        <f>SUM(N186:N225)</f>
        <v>7067204.1188386772</v>
      </c>
    </row>
    <row r="228" spans="1:20" ht="15.75" thickTop="1">
      <c r="A228" s="605">
        <f t="shared" si="66"/>
        <v>214</v>
      </c>
      <c r="B228" s="545"/>
      <c r="D228" s="338"/>
    </row>
    <row r="229" spans="1:20" ht="15.75">
      <c r="A229" s="605">
        <f t="shared" si="66"/>
        <v>215</v>
      </c>
      <c r="B229" s="550" t="s">
        <v>8</v>
      </c>
      <c r="D229" s="338"/>
    </row>
    <row r="230" spans="1:20">
      <c r="A230" s="605">
        <f t="shared" si="66"/>
        <v>216</v>
      </c>
      <c r="B230" s="545"/>
      <c r="D230" s="338"/>
      <c r="P230" s="329"/>
    </row>
    <row r="231" spans="1:20">
      <c r="A231" s="605">
        <f t="shared" si="66"/>
        <v>217</v>
      </c>
      <c r="B231" s="228"/>
      <c r="C231" s="16" t="s">
        <v>292</v>
      </c>
      <c r="D231" s="338"/>
    </row>
    <row r="232" spans="1:20">
      <c r="A232" s="605">
        <f t="shared" si="66"/>
        <v>218</v>
      </c>
      <c r="B232" s="294">
        <v>38900</v>
      </c>
      <c r="C232" s="4" t="s">
        <v>1466</v>
      </c>
      <c r="D232" s="720">
        <v>0</v>
      </c>
      <c r="E232" s="203">
        <v>0</v>
      </c>
      <c r="F232" s="707">
        <f t="shared" ref="F232:F261" si="76">D232+E232</f>
        <v>0</v>
      </c>
      <c r="G232" s="684">
        <f>Allocation!$C$15</f>
        <v>0.1086</v>
      </c>
      <c r="H232" s="684">
        <f>Allocation!$D$15</f>
        <v>0.48899999999999999</v>
      </c>
      <c r="I232" s="707">
        <f t="shared" ref="I232:I261" si="77">F232*G232*H232</f>
        <v>0</v>
      </c>
      <c r="K232" s="720">
        <v>0</v>
      </c>
      <c r="L232" s="360">
        <f>G232</f>
        <v>0.1086</v>
      </c>
      <c r="M232" s="360">
        <f>H232</f>
        <v>0.48899999999999999</v>
      </c>
      <c r="N232" s="707">
        <f>K232*L232*M232</f>
        <v>0</v>
      </c>
      <c r="P232" s="360"/>
      <c r="S232" s="267"/>
      <c r="T232" s="267"/>
    </row>
    <row r="233" spans="1:20">
      <c r="A233" s="605">
        <f t="shared" si="66"/>
        <v>219</v>
      </c>
      <c r="B233" s="294">
        <v>38910</v>
      </c>
      <c r="C233" s="4" t="s">
        <v>1467</v>
      </c>
      <c r="D233" s="709">
        <v>0</v>
      </c>
      <c r="E233" s="248">
        <v>0</v>
      </c>
      <c r="F233" s="345">
        <f t="shared" si="76"/>
        <v>0</v>
      </c>
      <c r="G233" s="267">
        <v>1</v>
      </c>
      <c r="H233" s="684">
        <f>Allocation!$E$21</f>
        <v>2.983098E-2</v>
      </c>
      <c r="I233" s="345">
        <f t="shared" si="77"/>
        <v>0</v>
      </c>
      <c r="K233" s="709">
        <v>0</v>
      </c>
      <c r="L233" s="360">
        <f t="shared" ref="L233:L261" si="78">G233</f>
        <v>1</v>
      </c>
      <c r="M233" s="360">
        <f t="shared" ref="M233:M261" si="79">H233</f>
        <v>2.983098E-2</v>
      </c>
      <c r="N233" s="345">
        <f t="shared" ref="N233:N261" si="80">K233*L233*M233</f>
        <v>0</v>
      </c>
      <c r="P233" s="360"/>
      <c r="S233" s="267"/>
      <c r="T233" s="267"/>
    </row>
    <row r="234" spans="1:20">
      <c r="A234" s="605">
        <f t="shared" si="66"/>
        <v>220</v>
      </c>
      <c r="B234" s="294">
        <v>39000</v>
      </c>
      <c r="C234" s="4" t="s">
        <v>1432</v>
      </c>
      <c r="D234" s="709">
        <v>4883686.8679664554</v>
      </c>
      <c r="E234" s="248">
        <v>0</v>
      </c>
      <c r="F234" s="345">
        <f t="shared" si="76"/>
        <v>4883686.8679664554</v>
      </c>
      <c r="G234" s="684">
        <f>Allocation!$C$15</f>
        <v>0.1086</v>
      </c>
      <c r="H234" s="684">
        <f>Allocation!$D$15</f>
        <v>0.48899999999999999</v>
      </c>
      <c r="I234" s="345">
        <f t="shared" si="77"/>
        <v>259350.14459810584</v>
      </c>
      <c r="K234" s="709">
        <v>4721951.2521861335</v>
      </c>
      <c r="L234" s="360">
        <f t="shared" si="78"/>
        <v>0.1086</v>
      </c>
      <c r="M234" s="360">
        <f t="shared" si="79"/>
        <v>0.48899999999999999</v>
      </c>
      <c r="N234" s="345">
        <f t="shared" si="80"/>
        <v>250761.11002784551</v>
      </c>
      <c r="P234" s="360"/>
      <c r="S234" s="267"/>
      <c r="T234" s="267"/>
    </row>
    <row r="235" spans="1:20">
      <c r="A235" s="605">
        <f t="shared" si="66"/>
        <v>221</v>
      </c>
      <c r="B235" s="294">
        <v>39009</v>
      </c>
      <c r="C235" s="4" t="s">
        <v>1436</v>
      </c>
      <c r="D235" s="709">
        <v>2609812.2829619977</v>
      </c>
      <c r="E235" s="248">
        <v>0</v>
      </c>
      <c r="F235" s="345">
        <f t="shared" si="76"/>
        <v>2609812.2829619977</v>
      </c>
      <c r="G235" s="684">
        <f>Allocation!$C$15</f>
        <v>0.1086</v>
      </c>
      <c r="H235" s="684">
        <f>Allocation!$D$15</f>
        <v>0.48899999999999999</v>
      </c>
      <c r="I235" s="345">
        <f t="shared" si="77"/>
        <v>138595.12521161005</v>
      </c>
      <c r="K235" s="709">
        <v>2539583.5443499987</v>
      </c>
      <c r="L235" s="360">
        <f t="shared" si="78"/>
        <v>0.1086</v>
      </c>
      <c r="M235" s="360">
        <f t="shared" si="79"/>
        <v>0.48899999999999999</v>
      </c>
      <c r="N235" s="345">
        <f t="shared" si="80"/>
        <v>134865.59995612444</v>
      </c>
      <c r="P235" s="360"/>
      <c r="S235" s="267"/>
      <c r="T235" s="267"/>
    </row>
    <row r="236" spans="1:20">
      <c r="A236" s="605">
        <f t="shared" si="66"/>
        <v>222</v>
      </c>
      <c r="B236" s="294">
        <v>39010</v>
      </c>
      <c r="C236" s="4" t="s">
        <v>1468</v>
      </c>
      <c r="D236" s="709">
        <v>5721078.1162054967</v>
      </c>
      <c r="E236" s="248">
        <v>0</v>
      </c>
      <c r="F236" s="345">
        <f t="shared" si="76"/>
        <v>5721078.1162054967</v>
      </c>
      <c r="G236" s="267">
        <v>1</v>
      </c>
      <c r="H236" s="684">
        <f>Allocation!$E$21</f>
        <v>2.983098E-2</v>
      </c>
      <c r="I236" s="345">
        <f t="shared" si="77"/>
        <v>170665.36686296386</v>
      </c>
      <c r="K236" s="709">
        <v>5571248.7544324985</v>
      </c>
      <c r="L236" s="360">
        <f t="shared" si="78"/>
        <v>1</v>
      </c>
      <c r="M236" s="360">
        <f t="shared" si="79"/>
        <v>2.983098E-2</v>
      </c>
      <c r="N236" s="345">
        <f t="shared" si="80"/>
        <v>166195.81016850079</v>
      </c>
      <c r="P236" s="360"/>
      <c r="S236" s="267"/>
      <c r="T236" s="267"/>
    </row>
    <row r="237" spans="1:20">
      <c r="A237" s="605">
        <f t="shared" si="66"/>
        <v>223</v>
      </c>
      <c r="B237" s="294">
        <v>39100</v>
      </c>
      <c r="C237" s="4" t="s">
        <v>1437</v>
      </c>
      <c r="D237" s="709">
        <v>1818341.5896209993</v>
      </c>
      <c r="E237" s="248">
        <v>0</v>
      </c>
      <c r="F237" s="345">
        <f t="shared" si="76"/>
        <v>1818341.5896209993</v>
      </c>
      <c r="G237" s="684">
        <f>Allocation!$C$15</f>
        <v>0.1086</v>
      </c>
      <c r="H237" s="684">
        <f>Allocation!$D$15</f>
        <v>0.48899999999999999</v>
      </c>
      <c r="I237" s="345">
        <f t="shared" si="77"/>
        <v>96563.757453459024</v>
      </c>
      <c r="K237" s="709">
        <v>1731519.3880829995</v>
      </c>
      <c r="L237" s="360">
        <f t="shared" si="78"/>
        <v>0.1086</v>
      </c>
      <c r="M237" s="360">
        <f t="shared" si="79"/>
        <v>0.48899999999999999</v>
      </c>
      <c r="N237" s="345">
        <f t="shared" si="80"/>
        <v>91953.029711902913</v>
      </c>
      <c r="P237" s="360"/>
      <c r="S237" s="267"/>
      <c r="T237" s="267"/>
    </row>
    <row r="238" spans="1:20">
      <c r="A238" s="605">
        <f t="shared" si="66"/>
        <v>224</v>
      </c>
      <c r="B238" s="294">
        <v>39101</v>
      </c>
      <c r="C238" s="4" t="s">
        <v>1408</v>
      </c>
      <c r="D238" s="709">
        <v>0</v>
      </c>
      <c r="E238" s="248">
        <v>0</v>
      </c>
      <c r="F238" s="345">
        <f t="shared" si="76"/>
        <v>0</v>
      </c>
      <c r="G238" s="684">
        <f>Allocation!$C$15</f>
        <v>0.1086</v>
      </c>
      <c r="H238" s="684">
        <f>Allocation!$D$15</f>
        <v>0.48899999999999999</v>
      </c>
      <c r="I238" s="345">
        <f t="shared" si="77"/>
        <v>0</v>
      </c>
      <c r="K238" s="709">
        <v>0</v>
      </c>
      <c r="L238" s="360">
        <f t="shared" si="78"/>
        <v>0.1086</v>
      </c>
      <c r="M238" s="360">
        <f t="shared" si="79"/>
        <v>0.48899999999999999</v>
      </c>
      <c r="N238" s="345">
        <f t="shared" si="80"/>
        <v>0</v>
      </c>
      <c r="P238" s="360"/>
      <c r="S238" s="267"/>
      <c r="T238" s="267"/>
    </row>
    <row r="239" spans="1:20">
      <c r="A239" s="605">
        <f t="shared" si="66"/>
        <v>225</v>
      </c>
      <c r="B239" s="294">
        <v>39102</v>
      </c>
      <c r="C239" s="4" t="s">
        <v>1418</v>
      </c>
      <c r="D239" s="709">
        <v>0</v>
      </c>
      <c r="E239" s="248">
        <v>0</v>
      </c>
      <c r="F239" s="345">
        <f t="shared" si="76"/>
        <v>0</v>
      </c>
      <c r="G239" s="684">
        <f>Allocation!$C$15</f>
        <v>0.1086</v>
      </c>
      <c r="H239" s="684">
        <f>Allocation!$D$15</f>
        <v>0.48899999999999999</v>
      </c>
      <c r="I239" s="345">
        <f t="shared" si="77"/>
        <v>0</v>
      </c>
      <c r="K239" s="709">
        <v>0</v>
      </c>
      <c r="L239" s="360">
        <f t="shared" si="78"/>
        <v>0.1086</v>
      </c>
      <c r="M239" s="360">
        <f t="shared" si="79"/>
        <v>0.48899999999999999</v>
      </c>
      <c r="N239" s="345">
        <f t="shared" si="80"/>
        <v>0</v>
      </c>
      <c r="P239" s="360"/>
      <c r="S239" s="267"/>
      <c r="T239" s="267"/>
    </row>
    <row r="240" spans="1:20">
      <c r="A240" s="605">
        <f t="shared" si="66"/>
        <v>226</v>
      </c>
      <c r="B240" s="294">
        <v>39103</v>
      </c>
      <c r="C240" s="4" t="s">
        <v>1250</v>
      </c>
      <c r="D240" s="709">
        <v>0</v>
      </c>
      <c r="E240" s="248">
        <v>0</v>
      </c>
      <c r="F240" s="345">
        <f t="shared" si="76"/>
        <v>0</v>
      </c>
      <c r="G240" s="684">
        <f>Allocation!$C$15</f>
        <v>0.1086</v>
      </c>
      <c r="H240" s="684">
        <f>Allocation!$D$15</f>
        <v>0.48899999999999999</v>
      </c>
      <c r="I240" s="345">
        <f t="shared" si="77"/>
        <v>0</v>
      </c>
      <c r="K240" s="709">
        <v>0</v>
      </c>
      <c r="L240" s="360">
        <f t="shared" si="78"/>
        <v>0.1086</v>
      </c>
      <c r="M240" s="360">
        <f t="shared" si="79"/>
        <v>0.48899999999999999</v>
      </c>
      <c r="N240" s="345">
        <f t="shared" si="80"/>
        <v>0</v>
      </c>
      <c r="P240" s="360"/>
      <c r="S240" s="267"/>
      <c r="T240" s="267"/>
    </row>
    <row r="241" spans="1:20">
      <c r="A241" s="605">
        <f t="shared" si="66"/>
        <v>227</v>
      </c>
      <c r="B241" s="294">
        <v>39110</v>
      </c>
      <c r="C241" s="4" t="s">
        <v>1419</v>
      </c>
      <c r="D241" s="709">
        <v>223194.39067530568</v>
      </c>
      <c r="E241" s="248">
        <v>0</v>
      </c>
      <c r="F241" s="345">
        <f t="shared" si="76"/>
        <v>223194.39067530568</v>
      </c>
      <c r="G241" s="267">
        <v>1</v>
      </c>
      <c r="H241" s="684">
        <f>Allocation!$E$21</f>
        <v>2.983098E-2</v>
      </c>
      <c r="I241" s="345">
        <f t="shared" si="77"/>
        <v>6658.1074043472299</v>
      </c>
      <c r="K241" s="709">
        <v>190862.78719689097</v>
      </c>
      <c r="L241" s="360">
        <f t="shared" si="78"/>
        <v>1</v>
      </c>
      <c r="M241" s="360">
        <f t="shared" si="79"/>
        <v>2.983098E-2</v>
      </c>
      <c r="N241" s="345">
        <f t="shared" si="80"/>
        <v>5693.623987614711</v>
      </c>
      <c r="P241" s="360"/>
      <c r="S241" s="267"/>
      <c r="T241" s="267"/>
    </row>
    <row r="242" spans="1:20">
      <c r="A242" s="605">
        <f t="shared" si="66"/>
        <v>228</v>
      </c>
      <c r="B242" s="294">
        <v>39210</v>
      </c>
      <c r="C242" s="4" t="s">
        <v>1420</v>
      </c>
      <c r="D242" s="709">
        <v>75448.89</v>
      </c>
      <c r="E242" s="248">
        <v>0</v>
      </c>
      <c r="F242" s="345">
        <f t="shared" si="76"/>
        <v>75448.89</v>
      </c>
      <c r="G242" s="267">
        <v>1</v>
      </c>
      <c r="H242" s="684">
        <f>Allocation!$E$21</f>
        <v>2.983098E-2</v>
      </c>
      <c r="I242" s="345">
        <f t="shared" si="77"/>
        <v>2250.7143286122</v>
      </c>
      <c r="K242" s="709">
        <v>75448.89</v>
      </c>
      <c r="L242" s="360">
        <f t="shared" si="78"/>
        <v>1</v>
      </c>
      <c r="M242" s="360">
        <f t="shared" si="79"/>
        <v>2.983098E-2</v>
      </c>
      <c r="N242" s="345">
        <f t="shared" si="80"/>
        <v>2250.7143286122</v>
      </c>
      <c r="P242" s="360"/>
      <c r="S242" s="267"/>
      <c r="T242" s="267"/>
    </row>
    <row r="243" spans="1:20">
      <c r="A243" s="605">
        <f t="shared" si="66"/>
        <v>229</v>
      </c>
      <c r="B243" s="294">
        <v>39410</v>
      </c>
      <c r="C243" s="4" t="s">
        <v>1421</v>
      </c>
      <c r="D243" s="709">
        <v>400268.83032096783</v>
      </c>
      <c r="E243" s="248">
        <v>0</v>
      </c>
      <c r="F243" s="345">
        <f t="shared" si="76"/>
        <v>400268.83032096783</v>
      </c>
      <c r="G243" s="267">
        <v>1</v>
      </c>
      <c r="H243" s="684">
        <f>Allocation!$E$21</f>
        <v>2.983098E-2</v>
      </c>
      <c r="I243" s="345">
        <f t="shared" si="77"/>
        <v>11940.411471928184</v>
      </c>
      <c r="K243" s="709">
        <v>355631.44849817053</v>
      </c>
      <c r="L243" s="360">
        <f t="shared" si="78"/>
        <v>1</v>
      </c>
      <c r="M243" s="360">
        <f t="shared" si="79"/>
        <v>2.983098E-2</v>
      </c>
      <c r="N243" s="345">
        <f t="shared" si="80"/>
        <v>10608.834627519955</v>
      </c>
      <c r="P243" s="360"/>
      <c r="S243" s="267"/>
      <c r="T243" s="267"/>
    </row>
    <row r="244" spans="1:20">
      <c r="A244" s="605">
        <f t="shared" si="66"/>
        <v>230</v>
      </c>
      <c r="B244" s="294">
        <v>39510</v>
      </c>
      <c r="C244" s="4" t="s">
        <v>1422</v>
      </c>
      <c r="D244" s="709">
        <v>125.2</v>
      </c>
      <c r="E244" s="248">
        <v>0</v>
      </c>
      <c r="F244" s="345">
        <f t="shared" si="76"/>
        <v>125.2</v>
      </c>
      <c r="G244" s="267">
        <v>1</v>
      </c>
      <c r="H244" s="684">
        <f>Allocation!$E$21</f>
        <v>2.983098E-2</v>
      </c>
      <c r="I244" s="345">
        <f t="shared" si="77"/>
        <v>3.7348386960000002</v>
      </c>
      <c r="K244" s="709">
        <v>125.20000000000003</v>
      </c>
      <c r="L244" s="360">
        <f t="shared" si="78"/>
        <v>1</v>
      </c>
      <c r="M244" s="360">
        <f t="shared" si="79"/>
        <v>2.983098E-2</v>
      </c>
      <c r="N244" s="345">
        <f t="shared" si="80"/>
        <v>3.7348386960000011</v>
      </c>
      <c r="P244" s="360"/>
      <c r="S244" s="267"/>
      <c r="T244" s="267"/>
    </row>
    <row r="245" spans="1:20">
      <c r="A245" s="605">
        <f t="shared" si="66"/>
        <v>231</v>
      </c>
      <c r="B245" s="294">
        <v>39700</v>
      </c>
      <c r="C245" s="4" t="s">
        <v>1444</v>
      </c>
      <c r="D245" s="709">
        <v>1902064.8571179996</v>
      </c>
      <c r="E245" s="248">
        <v>0</v>
      </c>
      <c r="F245" s="345">
        <f t="shared" si="76"/>
        <v>1902064.8571179996</v>
      </c>
      <c r="G245" s="684">
        <f>Allocation!$C$15</f>
        <v>0.1086</v>
      </c>
      <c r="H245" s="684">
        <f>Allocation!$D$15</f>
        <v>0.48899999999999999</v>
      </c>
      <c r="I245" s="345">
        <f t="shared" si="77"/>
        <v>101009.91506319422</v>
      </c>
      <c r="K245" s="709">
        <v>1841419.0447309997</v>
      </c>
      <c r="L245" s="360">
        <f t="shared" si="78"/>
        <v>0.1086</v>
      </c>
      <c r="M245" s="360">
        <f t="shared" si="79"/>
        <v>0.48899999999999999</v>
      </c>
      <c r="N245" s="345">
        <f t="shared" si="80"/>
        <v>97789.294938057632</v>
      </c>
      <c r="P245" s="360"/>
      <c r="S245" s="267"/>
      <c r="T245" s="267"/>
    </row>
    <row r="246" spans="1:20">
      <c r="A246" s="605">
        <f t="shared" si="66"/>
        <v>232</v>
      </c>
      <c r="B246" s="294">
        <v>39710</v>
      </c>
      <c r="C246" s="4" t="s">
        <v>1469</v>
      </c>
      <c r="D246" s="709">
        <v>-33566.178287999981</v>
      </c>
      <c r="E246" s="248">
        <v>0</v>
      </c>
      <c r="F246" s="345">
        <f t="shared" si="76"/>
        <v>-33566.178287999981</v>
      </c>
      <c r="G246" s="267">
        <v>1</v>
      </c>
      <c r="H246" s="684">
        <f>Allocation!$E$21</f>
        <v>2.983098E-2</v>
      </c>
      <c r="I246" s="345">
        <f t="shared" si="77"/>
        <v>-1001.3119931857617</v>
      </c>
      <c r="K246" s="709">
        <v>-36509.150496000009</v>
      </c>
      <c r="L246" s="360">
        <f t="shared" si="78"/>
        <v>1</v>
      </c>
      <c r="M246" s="360">
        <f t="shared" si="79"/>
        <v>2.983098E-2</v>
      </c>
      <c r="N246" s="345">
        <f t="shared" si="80"/>
        <v>-1089.1037382631664</v>
      </c>
      <c r="P246" s="360"/>
      <c r="S246" s="267"/>
      <c r="T246" s="267"/>
    </row>
    <row r="247" spans="1:20">
      <c r="A247" s="605">
        <f t="shared" si="66"/>
        <v>233</v>
      </c>
      <c r="B247" s="294">
        <v>39800</v>
      </c>
      <c r="C247" s="4" t="s">
        <v>1446</v>
      </c>
      <c r="D247" s="709">
        <v>44045.735828999997</v>
      </c>
      <c r="E247" s="248">
        <v>0</v>
      </c>
      <c r="F247" s="345">
        <f t="shared" si="76"/>
        <v>44045.735828999997</v>
      </c>
      <c r="G247" s="684">
        <f>Allocation!$C$15</f>
        <v>0.1086</v>
      </c>
      <c r="H247" s="684">
        <f>Allocation!$D$15</f>
        <v>0.48899999999999999</v>
      </c>
      <c r="I247" s="345">
        <f t="shared" si="77"/>
        <v>2339.0664194933761</v>
      </c>
      <c r="K247" s="709">
        <v>39378.589779000002</v>
      </c>
      <c r="L247" s="360">
        <f t="shared" si="78"/>
        <v>0.1086</v>
      </c>
      <c r="M247" s="360">
        <f t="shared" si="79"/>
        <v>0.48899999999999999</v>
      </c>
      <c r="N247" s="345">
        <f t="shared" si="80"/>
        <v>2091.2157616497066</v>
      </c>
      <c r="P247" s="360"/>
      <c r="S247" s="267"/>
      <c r="T247" s="267"/>
    </row>
    <row r="248" spans="1:20">
      <c r="A248" s="605">
        <f t="shared" si="66"/>
        <v>234</v>
      </c>
      <c r="B248" s="382">
        <v>39810</v>
      </c>
      <c r="C248" s="4" t="s">
        <v>1423</v>
      </c>
      <c r="D248" s="709">
        <v>294681.54357988387</v>
      </c>
      <c r="E248" s="248">
        <v>0</v>
      </c>
      <c r="F248" s="345">
        <f t="shared" si="76"/>
        <v>294681.54357988387</v>
      </c>
      <c r="G248" s="267">
        <v>1</v>
      </c>
      <c r="H248" s="684">
        <f>Allocation!$E$21</f>
        <v>2.983098E-2</v>
      </c>
      <c r="I248" s="345">
        <f t="shared" si="77"/>
        <v>8790.6392329006449</v>
      </c>
      <c r="K248" s="709">
        <v>267290.62334509089</v>
      </c>
      <c r="L248" s="360">
        <f t="shared" si="78"/>
        <v>1</v>
      </c>
      <c r="M248" s="360">
        <f t="shared" si="79"/>
        <v>2.983098E-2</v>
      </c>
      <c r="N248" s="345">
        <f t="shared" si="80"/>
        <v>7973.5412391949394</v>
      </c>
      <c r="P248" s="360"/>
      <c r="S248" s="267"/>
      <c r="T248" s="267"/>
    </row>
    <row r="249" spans="1:20">
      <c r="A249" s="605">
        <f t="shared" si="66"/>
        <v>235</v>
      </c>
      <c r="B249" s="382">
        <v>39900</v>
      </c>
      <c r="C249" s="4" t="s">
        <v>1454</v>
      </c>
      <c r="D249" s="709">
        <v>-154264.63</v>
      </c>
      <c r="E249" s="248">
        <v>0</v>
      </c>
      <c r="F249" s="345">
        <f t="shared" si="76"/>
        <v>-154264.63</v>
      </c>
      <c r="G249" s="684">
        <f>Allocation!$C$15</f>
        <v>0.1086</v>
      </c>
      <c r="H249" s="684">
        <f>Allocation!$D$15</f>
        <v>0.48899999999999999</v>
      </c>
      <c r="I249" s="345">
        <f t="shared" si="77"/>
        <v>-8192.284882001999</v>
      </c>
      <c r="K249" s="709">
        <v>-154264.62999999995</v>
      </c>
      <c r="L249" s="360">
        <f t="shared" si="78"/>
        <v>0.1086</v>
      </c>
      <c r="M249" s="360">
        <f t="shared" si="79"/>
        <v>0.48899999999999999</v>
      </c>
      <c r="N249" s="345">
        <f t="shared" si="80"/>
        <v>-8192.2848820019972</v>
      </c>
      <c r="P249" s="360"/>
      <c r="S249" s="267"/>
      <c r="T249" s="267"/>
    </row>
    <row r="250" spans="1:20">
      <c r="A250" s="605">
        <f t="shared" si="66"/>
        <v>236</v>
      </c>
      <c r="B250" s="382">
        <v>39901</v>
      </c>
      <c r="C250" s="4" t="s">
        <v>1455</v>
      </c>
      <c r="D250" s="709">
        <v>4216152.7117390018</v>
      </c>
      <c r="E250" s="248">
        <v>0</v>
      </c>
      <c r="F250" s="345">
        <f t="shared" si="76"/>
        <v>4216152.7117390018</v>
      </c>
      <c r="G250" s="684">
        <f>Allocation!$C$15</f>
        <v>0.1086</v>
      </c>
      <c r="H250" s="684">
        <f>Allocation!$D$15</f>
        <v>0.48899999999999999</v>
      </c>
      <c r="I250" s="345">
        <f t="shared" si="77"/>
        <v>223900.47621798437</v>
      </c>
      <c r="K250" s="709">
        <v>3858465.7349770018</v>
      </c>
      <c r="L250" s="360">
        <f t="shared" si="78"/>
        <v>0.1086</v>
      </c>
      <c r="M250" s="360">
        <f t="shared" si="79"/>
        <v>0.48899999999999999</v>
      </c>
      <c r="N250" s="345">
        <f t="shared" si="80"/>
        <v>204905.36624224769</v>
      </c>
      <c r="P250" s="360"/>
      <c r="S250" s="267"/>
      <c r="T250" s="267"/>
    </row>
    <row r="251" spans="1:20">
      <c r="A251" s="605">
        <f t="shared" si="66"/>
        <v>237</v>
      </c>
      <c r="B251" s="382">
        <v>39902</v>
      </c>
      <c r="C251" s="4" t="s">
        <v>1456</v>
      </c>
      <c r="D251" s="709">
        <v>1836405.3487388333</v>
      </c>
      <c r="E251" s="248">
        <v>0</v>
      </c>
      <c r="F251" s="345">
        <f t="shared" si="76"/>
        <v>1836405.3487388333</v>
      </c>
      <c r="G251" s="684">
        <f>Allocation!$C$15</f>
        <v>0.1086</v>
      </c>
      <c r="H251" s="684">
        <f>Allocation!$D$15</f>
        <v>0.48899999999999999</v>
      </c>
      <c r="I251" s="345">
        <f t="shared" si="77"/>
        <v>97523.040606915238</v>
      </c>
      <c r="K251" s="709">
        <v>1836405.348738834</v>
      </c>
      <c r="L251" s="360">
        <f t="shared" si="78"/>
        <v>0.1086</v>
      </c>
      <c r="M251" s="360">
        <f t="shared" si="79"/>
        <v>0.48899999999999999</v>
      </c>
      <c r="N251" s="345">
        <f t="shared" si="80"/>
        <v>97523.040606915281</v>
      </c>
      <c r="P251" s="360"/>
      <c r="S251" s="267"/>
      <c r="T251" s="267"/>
    </row>
    <row r="252" spans="1:20">
      <c r="A252" s="605">
        <f t="shared" si="66"/>
        <v>238</v>
      </c>
      <c r="B252" s="382">
        <v>39903</v>
      </c>
      <c r="C252" s="4" t="s">
        <v>1447</v>
      </c>
      <c r="D252" s="709">
        <v>365790.8463085001</v>
      </c>
      <c r="E252" s="248">
        <v>0</v>
      </c>
      <c r="F252" s="345">
        <f t="shared" si="76"/>
        <v>365790.8463085001</v>
      </c>
      <c r="G252" s="684">
        <f>Allocation!$C$15</f>
        <v>0.1086</v>
      </c>
      <c r="H252" s="684">
        <f>Allocation!$D$15</f>
        <v>0.48899999999999999</v>
      </c>
      <c r="I252" s="345">
        <f t="shared" si="77"/>
        <v>19425.469209551422</v>
      </c>
      <c r="K252" s="709">
        <v>328607.5496245001</v>
      </c>
      <c r="L252" s="360">
        <f t="shared" si="78"/>
        <v>0.1086</v>
      </c>
      <c r="M252" s="360">
        <f t="shared" si="79"/>
        <v>0.48899999999999999</v>
      </c>
      <c r="N252" s="345">
        <f t="shared" si="80"/>
        <v>17450.835365828927</v>
      </c>
      <c r="P252" s="360"/>
      <c r="S252" s="267"/>
      <c r="T252" s="267"/>
    </row>
    <row r="253" spans="1:20">
      <c r="A253" s="605">
        <f t="shared" si="66"/>
        <v>239</v>
      </c>
      <c r="B253" s="382">
        <v>39906</v>
      </c>
      <c r="C253" s="4" t="s">
        <v>1448</v>
      </c>
      <c r="D253" s="709">
        <v>747332.73918300006</v>
      </c>
      <c r="E253" s="248">
        <v>0</v>
      </c>
      <c r="F253" s="345">
        <f t="shared" si="76"/>
        <v>747332.73918300006</v>
      </c>
      <c r="G253" s="684">
        <f>Allocation!$C$15</f>
        <v>0.1086</v>
      </c>
      <c r="H253" s="684">
        <f>Allocation!$D$15</f>
        <v>0.48899999999999999</v>
      </c>
      <c r="I253" s="345">
        <f t="shared" si="77"/>
        <v>39687.404047408891</v>
      </c>
      <c r="K253" s="709">
        <v>580540.60303950019</v>
      </c>
      <c r="L253" s="360">
        <f t="shared" si="78"/>
        <v>0.1086</v>
      </c>
      <c r="M253" s="360">
        <f t="shared" si="79"/>
        <v>0.48899999999999999</v>
      </c>
      <c r="N253" s="345">
        <f t="shared" si="80"/>
        <v>30829.840940653874</v>
      </c>
      <c r="P253" s="360"/>
      <c r="S253" s="267"/>
      <c r="T253" s="267"/>
    </row>
    <row r="254" spans="1:20">
      <c r="A254" s="605">
        <f t="shared" si="66"/>
        <v>240</v>
      </c>
      <c r="B254" s="382">
        <v>39907</v>
      </c>
      <c r="C254" s="4" t="s">
        <v>1449</v>
      </c>
      <c r="D254" s="709">
        <v>-57199.47</v>
      </c>
      <c r="E254" s="248">
        <v>0</v>
      </c>
      <c r="F254" s="345">
        <f t="shared" si="76"/>
        <v>-57199.47</v>
      </c>
      <c r="G254" s="684">
        <f>Allocation!$C$15</f>
        <v>0.1086</v>
      </c>
      <c r="H254" s="684">
        <f>Allocation!$D$15</f>
        <v>0.48899999999999999</v>
      </c>
      <c r="I254" s="345">
        <f t="shared" si="77"/>
        <v>-3037.600734138</v>
      </c>
      <c r="K254" s="709">
        <v>-57199.469999999979</v>
      </c>
      <c r="L254" s="360">
        <f t="shared" si="78"/>
        <v>0.1086</v>
      </c>
      <c r="M254" s="360">
        <f t="shared" si="79"/>
        <v>0.48899999999999999</v>
      </c>
      <c r="N254" s="345">
        <f t="shared" si="80"/>
        <v>-3037.6007341379991</v>
      </c>
      <c r="P254" s="360"/>
      <c r="S254" s="267"/>
      <c r="T254" s="267"/>
    </row>
    <row r="255" spans="1:20">
      <c r="A255" s="605">
        <f t="shared" si="66"/>
        <v>241</v>
      </c>
      <c r="B255" s="382">
        <v>39908</v>
      </c>
      <c r="C255" s="4" t="s">
        <v>1450</v>
      </c>
      <c r="D255" s="709">
        <v>80888094.419172779</v>
      </c>
      <c r="E255" s="248">
        <v>0</v>
      </c>
      <c r="F255" s="345">
        <f t="shared" si="76"/>
        <v>80888094.419172779</v>
      </c>
      <c r="G255" s="684">
        <f>Allocation!$C$15</f>
        <v>0.1086</v>
      </c>
      <c r="H255" s="684">
        <f>Allocation!$D$15</f>
        <v>0.48899999999999999</v>
      </c>
      <c r="I255" s="345">
        <f t="shared" si="77"/>
        <v>4295594.6093679378</v>
      </c>
      <c r="K255" s="709">
        <v>77147188.230905503</v>
      </c>
      <c r="L255" s="360">
        <f t="shared" si="78"/>
        <v>0.1086</v>
      </c>
      <c r="M255" s="360">
        <f t="shared" si="79"/>
        <v>0.48899999999999999</v>
      </c>
      <c r="N255" s="345">
        <f t="shared" si="80"/>
        <v>4096932.2898775293</v>
      </c>
      <c r="P255" s="600"/>
      <c r="S255" s="267"/>
      <c r="T255" s="267"/>
    </row>
    <row r="256" spans="1:20">
      <c r="A256" s="605">
        <f t="shared" si="66"/>
        <v>242</v>
      </c>
      <c r="B256" s="382">
        <v>39910</v>
      </c>
      <c r="C256" s="4" t="s">
        <v>1470</v>
      </c>
      <c r="D256" s="709">
        <v>220079.17710049797</v>
      </c>
      <c r="E256" s="248">
        <v>0</v>
      </c>
      <c r="F256" s="345">
        <f t="shared" si="76"/>
        <v>220079.17710049797</v>
      </c>
      <c r="G256" s="267">
        <v>1</v>
      </c>
      <c r="H256" s="684">
        <f>Allocation!$E$21</f>
        <v>2.983098E-2</v>
      </c>
      <c r="I256" s="345">
        <f t="shared" si="77"/>
        <v>6565.1775305014125</v>
      </c>
      <c r="K256" s="709">
        <v>199513.48240614665</v>
      </c>
      <c r="L256" s="360">
        <f t="shared" si="78"/>
        <v>1</v>
      </c>
      <c r="M256" s="360">
        <f t="shared" si="79"/>
        <v>2.983098E-2</v>
      </c>
      <c r="N256" s="345">
        <f t="shared" si="80"/>
        <v>5951.6827033881127</v>
      </c>
      <c r="P256" s="360"/>
      <c r="S256" s="267"/>
      <c r="T256" s="267"/>
    </row>
    <row r="257" spans="1:20">
      <c r="A257" s="605">
        <f t="shared" si="66"/>
        <v>243</v>
      </c>
      <c r="B257" s="382">
        <v>39916</v>
      </c>
      <c r="C257" s="4" t="s">
        <v>1471</v>
      </c>
      <c r="D257" s="709">
        <v>110008.54223899997</v>
      </c>
      <c r="E257" s="248">
        <v>0</v>
      </c>
      <c r="F257" s="345">
        <f t="shared" si="76"/>
        <v>110008.54223899997</v>
      </c>
      <c r="G257" s="267">
        <v>1</v>
      </c>
      <c r="H257" s="684">
        <f>Allocation!$E$21</f>
        <v>2.983098E-2</v>
      </c>
      <c r="I257" s="345">
        <f t="shared" si="77"/>
        <v>3281.6626233607635</v>
      </c>
      <c r="K257" s="709">
        <v>98415.015103499973</v>
      </c>
      <c r="L257" s="360">
        <f t="shared" si="78"/>
        <v>1</v>
      </c>
      <c r="M257" s="360">
        <f t="shared" si="79"/>
        <v>2.983098E-2</v>
      </c>
      <c r="N257" s="345">
        <f t="shared" si="80"/>
        <v>2935.8163472522056</v>
      </c>
      <c r="P257" s="360"/>
      <c r="S257" s="267"/>
      <c r="T257" s="267"/>
    </row>
    <row r="258" spans="1:20">
      <c r="A258" s="605">
        <f t="shared" si="66"/>
        <v>244</v>
      </c>
      <c r="B258" s="382">
        <v>39917</v>
      </c>
      <c r="C258" s="4" t="s">
        <v>1472</v>
      </c>
      <c r="D258" s="709">
        <v>-26380.916836000019</v>
      </c>
      <c r="E258" s="248">
        <v>0</v>
      </c>
      <c r="F258" s="345">
        <f t="shared" si="76"/>
        <v>-26380.916836000019</v>
      </c>
      <c r="G258" s="267">
        <v>1</v>
      </c>
      <c r="H258" s="684">
        <f>Allocation!$E$21</f>
        <v>2.983098E-2</v>
      </c>
      <c r="I258" s="345">
        <f t="shared" si="77"/>
        <v>-786.96860251637986</v>
      </c>
      <c r="K258" s="709">
        <v>-26573.25086800001</v>
      </c>
      <c r="L258" s="360">
        <f t="shared" si="78"/>
        <v>1</v>
      </c>
      <c r="M258" s="360">
        <f t="shared" si="79"/>
        <v>2.983098E-2</v>
      </c>
      <c r="N258" s="345">
        <f t="shared" si="80"/>
        <v>-792.70611517829093</v>
      </c>
      <c r="P258" s="360"/>
      <c r="S258" s="267"/>
      <c r="T258" s="267"/>
    </row>
    <row r="259" spans="1:20">
      <c r="A259" s="605">
        <f t="shared" si="66"/>
        <v>245</v>
      </c>
      <c r="B259" s="382">
        <v>39918</v>
      </c>
      <c r="C259" s="4" t="s">
        <v>1424</v>
      </c>
      <c r="D259" s="709">
        <v>-9966.41</v>
      </c>
      <c r="E259" s="248">
        <v>0</v>
      </c>
      <c r="F259" s="345">
        <f t="shared" si="76"/>
        <v>-9966.41</v>
      </c>
      <c r="G259" s="267">
        <v>1</v>
      </c>
      <c r="H259" s="684">
        <f>Allocation!$E$21</f>
        <v>2.983098E-2</v>
      </c>
      <c r="I259" s="345">
        <f t="shared" si="77"/>
        <v>-297.30777738180001</v>
      </c>
      <c r="K259" s="709">
        <v>-9966.4100000000017</v>
      </c>
      <c r="L259" s="360">
        <f t="shared" si="78"/>
        <v>1</v>
      </c>
      <c r="M259" s="360">
        <f t="shared" si="79"/>
        <v>2.983098E-2</v>
      </c>
      <c r="N259" s="345">
        <f t="shared" si="80"/>
        <v>-297.30777738180007</v>
      </c>
      <c r="P259" s="360"/>
      <c r="S259" s="267"/>
      <c r="T259" s="267"/>
    </row>
    <row r="260" spans="1:20">
      <c r="A260" s="605">
        <f t="shared" si="66"/>
        <v>246</v>
      </c>
      <c r="B260" s="382">
        <v>39924</v>
      </c>
      <c r="C260" s="4" t="s">
        <v>1425</v>
      </c>
      <c r="D260" s="709">
        <v>0</v>
      </c>
      <c r="E260" s="248">
        <v>0</v>
      </c>
      <c r="F260" s="345">
        <f t="shared" si="76"/>
        <v>0</v>
      </c>
      <c r="G260" s="684">
        <f>Allocation!$C$15</f>
        <v>0.1086</v>
      </c>
      <c r="H260" s="684">
        <f>Allocation!$D$15</f>
        <v>0.48899999999999999</v>
      </c>
      <c r="I260" s="345">
        <f t="shared" si="77"/>
        <v>0</v>
      </c>
      <c r="K260" s="709">
        <v>0</v>
      </c>
      <c r="L260" s="360">
        <f t="shared" si="78"/>
        <v>0.1086</v>
      </c>
      <c r="M260" s="360">
        <f t="shared" si="79"/>
        <v>0.48899999999999999</v>
      </c>
      <c r="N260" s="345">
        <f t="shared" si="80"/>
        <v>0</v>
      </c>
      <c r="P260" s="360"/>
      <c r="S260" s="267"/>
      <c r="T260" s="267"/>
    </row>
    <row r="261" spans="1:20">
      <c r="A261" s="605">
        <f t="shared" si="66"/>
        <v>247</v>
      </c>
      <c r="B261" s="382" t="s">
        <v>1473</v>
      </c>
      <c r="C261" s="4" t="s">
        <v>1101</v>
      </c>
      <c r="D261" s="709">
        <v>0</v>
      </c>
      <c r="E261" s="221">
        <v>0</v>
      </c>
      <c r="F261" s="345">
        <f t="shared" si="76"/>
        <v>0</v>
      </c>
      <c r="G261" s="360">
        <f>$G$232</f>
        <v>0.1086</v>
      </c>
      <c r="H261" s="360">
        <f>$H$232</f>
        <v>0.48899999999999999</v>
      </c>
      <c r="I261" s="711">
        <f t="shared" si="77"/>
        <v>0</v>
      </c>
      <c r="K261" s="709">
        <v>0</v>
      </c>
      <c r="L261" s="360">
        <f t="shared" si="78"/>
        <v>0.1086</v>
      </c>
      <c r="M261" s="360">
        <f t="shared" si="79"/>
        <v>0.48899999999999999</v>
      </c>
      <c r="N261" s="711">
        <f t="shared" si="80"/>
        <v>0</v>
      </c>
      <c r="P261" s="360"/>
      <c r="S261" s="267"/>
      <c r="T261" s="267"/>
    </row>
    <row r="262" spans="1:20">
      <c r="A262" s="605">
        <f t="shared" si="66"/>
        <v>248</v>
      </c>
      <c r="B262" s="1"/>
      <c r="C262" s="4"/>
      <c r="D262" s="562"/>
      <c r="E262" s="339"/>
      <c r="F262" s="339"/>
      <c r="K262" s="339"/>
    </row>
    <row r="263" spans="1:20" ht="15.75" thickBot="1">
      <c r="A263" s="605">
        <f t="shared" si="66"/>
        <v>249</v>
      </c>
      <c r="B263" s="1"/>
      <c r="C263" s="98" t="s">
        <v>1253</v>
      </c>
      <c r="D263" s="715">
        <f>SUM(D232:D262)</f>
        <v>106075234.48363572</v>
      </c>
      <c r="E263" s="715">
        <f>SUM(E232:E262)</f>
        <v>0</v>
      </c>
      <c r="F263" s="715">
        <f>SUM(F232:F262)</f>
        <v>106075234.48363572</v>
      </c>
      <c r="I263" s="715">
        <f>SUM(I232:I262)</f>
        <v>5470829.3484997461</v>
      </c>
      <c r="K263" s="715">
        <f>SUM(K232:K262)</f>
        <v>101099082.57603279</v>
      </c>
      <c r="N263" s="715">
        <f>SUM(N232:N262)</f>
        <v>5213306.3784225713</v>
      </c>
    </row>
    <row r="264" spans="1:20" ht="15.75" thickTop="1">
      <c r="A264" s="605">
        <f t="shared" si="66"/>
        <v>250</v>
      </c>
    </row>
    <row r="265" spans="1:20" ht="30.75" thickBot="1">
      <c r="A265" s="605">
        <f t="shared" si="66"/>
        <v>251</v>
      </c>
      <c r="C265" s="336" t="s">
        <v>1103</v>
      </c>
      <c r="D265" s="715">
        <f>D263+D227+D181+D118</f>
        <v>491124528.55218065</v>
      </c>
      <c r="E265" s="715">
        <f>E263+E227+E181+E118</f>
        <v>0</v>
      </c>
      <c r="F265" s="715">
        <f>F263+F227+F181+F118</f>
        <v>491124528.55218065</v>
      </c>
      <c r="I265" s="715">
        <f>I263+I227+I181+I118</f>
        <v>224697462.22111359</v>
      </c>
      <c r="K265" s="715">
        <f>K263+K227+K181+K118</f>
        <v>465645855.40126193</v>
      </c>
      <c r="N265" s="715">
        <f>N263+N227+N181+N118</f>
        <v>216597285.9736484</v>
      </c>
    </row>
    <row r="266" spans="1:20" ht="15.75" thickTop="1"/>
    <row r="268" spans="1:20">
      <c r="B268" t="s">
        <v>1538</v>
      </c>
    </row>
    <row r="269" spans="1:20">
      <c r="B269" t="s">
        <v>1611</v>
      </c>
    </row>
  </sheetData>
  <mergeCells count="4">
    <mergeCell ref="A1:N1"/>
    <mergeCell ref="A2:N2"/>
    <mergeCell ref="A3:N3"/>
    <mergeCell ref="A4:N4"/>
  </mergeCells>
  <phoneticPr fontId="20" type="noConversion"/>
  <pageMargins left="0.75" right="0.66" top="1" bottom="0.94" header="0.5" footer="0.5"/>
  <pageSetup scale="54" orientation="landscape" r:id="rId1"/>
  <headerFooter alignWithMargins="0">
    <oddFooter>&amp;RSchedule &amp;A
Page &amp;P of &amp;N</oddFooter>
  </headerFooter>
  <rowBreaks count="6" manualBreakCount="6">
    <brk id="47" max="13" man="1"/>
    <brk id="86" max="13" man="1"/>
    <brk id="120" max="13" man="1"/>
    <brk id="153" max="13" man="1"/>
    <brk id="181" max="13" man="1"/>
    <brk id="227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O271"/>
  <sheetViews>
    <sheetView view="pageBreakPreview" zoomScale="85" zoomScaleNormal="100" zoomScaleSheetLayoutView="85" workbookViewId="0">
      <pane xSplit="3" ySplit="12" topLeftCell="D83" activePane="bottomRight" state="frozen"/>
      <selection activeCell="P23" sqref="P23:P157"/>
      <selection pane="topRight" activeCell="P23" sqref="P23:P157"/>
      <selection pane="bottomLeft" activeCell="P23" sqref="P23:P157"/>
      <selection pane="bottomRight" activeCell="E97" sqref="E97"/>
    </sheetView>
  </sheetViews>
  <sheetFormatPr defaultColWidth="8.88671875" defaultRowHeight="15"/>
  <cols>
    <col min="1" max="1" width="4.77734375" customWidth="1"/>
    <col min="2" max="2" width="9.33203125" customWidth="1"/>
    <col min="3" max="3" width="34.33203125" customWidth="1"/>
    <col min="4" max="4" width="14.109375" customWidth="1"/>
    <col min="5" max="5" width="11" style="37" customWidth="1"/>
    <col min="6" max="6" width="11.33203125" style="999" customWidth="1"/>
    <col min="7" max="7" width="11.109375" style="999" customWidth="1"/>
    <col min="8" max="8" width="15.109375" customWidth="1"/>
    <col min="9" max="9" width="3.21875" customWidth="1"/>
    <col min="10" max="10" width="4.33203125" customWidth="1"/>
    <col min="11" max="11" width="11.109375" customWidth="1"/>
    <col min="12" max="12" width="9.6640625" customWidth="1"/>
    <col min="13" max="13" width="13.88671875" customWidth="1"/>
  </cols>
  <sheetData>
    <row r="1" spans="1:13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695"/>
    </row>
    <row r="2" spans="1:13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695"/>
    </row>
    <row r="3" spans="1:13">
      <c r="A3" s="1060" t="s">
        <v>86</v>
      </c>
      <c r="B3" s="1060"/>
      <c r="C3" s="1060"/>
      <c r="D3" s="1060"/>
      <c r="E3" s="1060"/>
      <c r="F3" s="1060"/>
      <c r="G3" s="1060"/>
      <c r="H3" s="1060"/>
      <c r="I3" s="10"/>
    </row>
    <row r="4" spans="1:13">
      <c r="A4" s="1059" t="str">
        <f>'Table of Contents'!A4:C4</f>
        <v>Forecasted Test Period:  Twelve Months Ended March 31, 2026</v>
      </c>
      <c r="B4" s="1059"/>
      <c r="C4" s="1059"/>
      <c r="D4" s="1059"/>
      <c r="E4" s="1059"/>
      <c r="F4" s="1059"/>
      <c r="G4" s="1059"/>
      <c r="H4" s="1059"/>
      <c r="I4" s="695"/>
    </row>
    <row r="5" spans="1:13" ht="15.75">
      <c r="A5" s="25"/>
      <c r="B5" s="25"/>
      <c r="C5" s="25"/>
      <c r="D5" s="330"/>
      <c r="E5" s="332"/>
      <c r="F5" s="38"/>
      <c r="G5" s="38"/>
      <c r="H5" s="1"/>
      <c r="I5" s="1"/>
    </row>
    <row r="6" spans="1:13" ht="15.75">
      <c r="A6" s="699" t="str">
        <f>'B.1 F '!A6</f>
        <v>Data:______Base Period__X___Forecasted Period</v>
      </c>
      <c r="B6" s="1"/>
      <c r="C6" s="1"/>
      <c r="D6" s="1"/>
      <c r="E6" s="38"/>
      <c r="F6" s="38"/>
      <c r="G6" s="37"/>
      <c r="H6" s="476" t="s">
        <v>1333</v>
      </c>
      <c r="M6" s="330"/>
    </row>
    <row r="7" spans="1:13">
      <c r="A7" s="699" t="str">
        <f>'B.1 F '!A7</f>
        <v>Type of Filing:___X____Original________Updated ________Revised</v>
      </c>
      <c r="B7" s="4"/>
      <c r="C7" s="1"/>
      <c r="D7" s="1"/>
      <c r="E7" s="38"/>
      <c r="F7" s="38"/>
      <c r="G7" s="37"/>
      <c r="H7" s="17" t="s">
        <v>671</v>
      </c>
      <c r="I7" s="4"/>
    </row>
    <row r="8" spans="1:13">
      <c r="A8" s="717" t="str">
        <f>'B.1 F '!A8</f>
        <v>Workpaper Reference No(s).</v>
      </c>
      <c r="B8" s="6"/>
      <c r="C8" s="6"/>
      <c r="D8" s="6"/>
      <c r="E8" s="214"/>
      <c r="F8" s="214"/>
      <c r="G8" s="41"/>
      <c r="H8" s="704" t="str">
        <f>'B.2 B'!N8</f>
        <v>Witness: Waller</v>
      </c>
      <c r="I8" s="35"/>
    </row>
    <row r="9" spans="1:13">
      <c r="A9" s="4"/>
      <c r="B9" s="1"/>
      <c r="C9" s="1"/>
      <c r="D9" s="1"/>
      <c r="E9" s="389"/>
      <c r="F9" s="38"/>
      <c r="G9" s="2"/>
      <c r="H9" s="4"/>
      <c r="I9" s="4"/>
    </row>
    <row r="10" spans="1:13">
      <c r="A10" s="4"/>
      <c r="B10" s="1"/>
      <c r="C10" s="1"/>
      <c r="D10" s="38" t="s">
        <v>1256</v>
      </c>
      <c r="E10" s="38" t="s">
        <v>1200</v>
      </c>
      <c r="F10" s="38" t="s">
        <v>12</v>
      </c>
      <c r="G10" s="2" t="s">
        <v>10</v>
      </c>
      <c r="H10" s="4"/>
      <c r="I10" s="4"/>
    </row>
    <row r="11" spans="1:13">
      <c r="A11" s="4" t="s">
        <v>88</v>
      </c>
      <c r="B11" s="2" t="s">
        <v>259</v>
      </c>
      <c r="C11" s="2" t="s">
        <v>208</v>
      </c>
      <c r="D11" s="38" t="s">
        <v>1255</v>
      </c>
      <c r="E11" s="2" t="s">
        <v>261</v>
      </c>
      <c r="F11" s="2" t="s">
        <v>13</v>
      </c>
      <c r="G11" s="2" t="s">
        <v>567</v>
      </c>
      <c r="H11" s="2" t="s">
        <v>11</v>
      </c>
      <c r="I11" s="2"/>
    </row>
    <row r="12" spans="1:13">
      <c r="A12" s="27" t="s">
        <v>94</v>
      </c>
      <c r="B12" s="27" t="s">
        <v>94</v>
      </c>
      <c r="C12" s="27" t="s">
        <v>287</v>
      </c>
      <c r="D12" s="723">
        <f>'B.2 F'!D10</f>
        <v>46112</v>
      </c>
      <c r="E12" s="27" t="s">
        <v>966</v>
      </c>
      <c r="F12" s="27" t="s">
        <v>600</v>
      </c>
      <c r="G12" s="27" t="s">
        <v>600</v>
      </c>
      <c r="H12" s="27" t="s">
        <v>99</v>
      </c>
      <c r="I12" s="2"/>
      <c r="K12" s="57"/>
      <c r="L12" s="57"/>
    </row>
    <row r="13" spans="1:13">
      <c r="A13" s="2"/>
      <c r="B13" s="2"/>
      <c r="C13" s="2"/>
      <c r="D13" s="2"/>
      <c r="E13" s="2"/>
      <c r="F13" s="2"/>
      <c r="G13" s="2"/>
      <c r="H13" s="2"/>
      <c r="I13" s="2"/>
    </row>
    <row r="14" spans="1:13" ht="15.75">
      <c r="B14" s="59" t="s">
        <v>5</v>
      </c>
      <c r="F14" s="37"/>
      <c r="G14" s="37"/>
    </row>
    <row r="15" spans="1:13">
      <c r="A15" s="2">
        <v>1</v>
      </c>
      <c r="B15" s="1"/>
      <c r="C15" s="16" t="s">
        <v>288</v>
      </c>
      <c r="F15" s="37"/>
      <c r="G15" s="37"/>
    </row>
    <row r="16" spans="1:13">
      <c r="A16" s="605">
        <f>A15+1</f>
        <v>2</v>
      </c>
      <c r="B16" s="294">
        <v>30100</v>
      </c>
      <c r="C16" s="4" t="s">
        <v>282</v>
      </c>
      <c r="D16" s="720">
        <v>0</v>
      </c>
      <c r="E16" s="267">
        <v>1</v>
      </c>
      <c r="F16" s="266">
        <v>1</v>
      </c>
      <c r="G16" s="708">
        <f>$F$16</f>
        <v>1</v>
      </c>
      <c r="H16" s="707">
        <f>D16*E16*F16*G16</f>
        <v>0</v>
      </c>
      <c r="I16" s="486"/>
    </row>
    <row r="17" spans="1:8">
      <c r="A17" s="605">
        <f t="shared" ref="A17:A83" si="0">A16+1</f>
        <v>3</v>
      </c>
      <c r="B17" s="294">
        <v>30200</v>
      </c>
      <c r="C17" s="4" t="s">
        <v>147</v>
      </c>
      <c r="D17" s="709">
        <v>0</v>
      </c>
      <c r="E17" s="267">
        <v>1</v>
      </c>
      <c r="F17" s="708">
        <f>$F$16</f>
        <v>1</v>
      </c>
      <c r="G17" s="708">
        <f>$F$16</f>
        <v>1</v>
      </c>
      <c r="H17" s="345">
        <f>D17*E17*F17*G17</f>
        <v>0</v>
      </c>
    </row>
    <row r="18" spans="1:8">
      <c r="A18" s="605">
        <f t="shared" si="0"/>
        <v>4</v>
      </c>
      <c r="B18" s="294"/>
      <c r="C18" s="4"/>
      <c r="D18" s="559"/>
      <c r="E18" s="267"/>
      <c r="F18" s="266"/>
      <c r="G18" s="266"/>
      <c r="H18" s="559"/>
    </row>
    <row r="19" spans="1:8">
      <c r="A19" s="605">
        <f t="shared" si="0"/>
        <v>5</v>
      </c>
      <c r="B19" s="382"/>
      <c r="C19" s="4" t="s">
        <v>1267</v>
      </c>
      <c r="D19" s="707">
        <f>SUM(D16:D18)</f>
        <v>0</v>
      </c>
      <c r="E19" s="267"/>
      <c r="F19" s="266"/>
      <c r="G19" s="266"/>
      <c r="H19" s="707">
        <f>SUM(H16:H18)</f>
        <v>0</v>
      </c>
    </row>
    <row r="20" spans="1:8">
      <c r="A20" s="605">
        <f t="shared" si="0"/>
        <v>6</v>
      </c>
      <c r="B20" s="382"/>
      <c r="C20" s="1"/>
      <c r="D20" s="248"/>
      <c r="E20" s="267"/>
      <c r="F20" s="266"/>
      <c r="G20" s="266"/>
      <c r="H20" s="248"/>
    </row>
    <row r="21" spans="1:8">
      <c r="A21" s="605">
        <f t="shared" si="0"/>
        <v>7</v>
      </c>
      <c r="B21" s="382"/>
      <c r="C21" s="16" t="s">
        <v>148</v>
      </c>
      <c r="D21" s="248"/>
      <c r="E21" s="267"/>
      <c r="F21" s="266"/>
      <c r="G21" s="266"/>
      <c r="H21" s="248"/>
    </row>
    <row r="22" spans="1:8">
      <c r="A22" s="605">
        <f t="shared" si="0"/>
        <v>8</v>
      </c>
      <c r="B22" s="294">
        <v>32540</v>
      </c>
      <c r="C22" s="4" t="s">
        <v>155</v>
      </c>
      <c r="D22" s="720">
        <v>0</v>
      </c>
      <c r="E22" s="267">
        <v>1</v>
      </c>
      <c r="F22" s="708">
        <f t="shared" ref="F22:G24" si="1">$F$16</f>
        <v>1</v>
      </c>
      <c r="G22" s="708">
        <f t="shared" si="1"/>
        <v>1</v>
      </c>
      <c r="H22" s="345">
        <f t="shared" ref="H22:H24" si="2">D22*E22*F22*G22</f>
        <v>0</v>
      </c>
    </row>
    <row r="23" spans="1:8">
      <c r="A23" s="605">
        <f t="shared" si="0"/>
        <v>9</v>
      </c>
      <c r="B23" s="294">
        <v>33202</v>
      </c>
      <c r="C23" s="4" t="s">
        <v>569</v>
      </c>
      <c r="D23" s="709">
        <v>0</v>
      </c>
      <c r="E23" s="267">
        <v>1</v>
      </c>
      <c r="F23" s="708">
        <f t="shared" si="1"/>
        <v>1</v>
      </c>
      <c r="G23" s="708">
        <f t="shared" si="1"/>
        <v>1</v>
      </c>
      <c r="H23" s="345">
        <f t="shared" si="2"/>
        <v>0</v>
      </c>
    </row>
    <row r="24" spans="1:8">
      <c r="A24" s="605">
        <f t="shared" si="0"/>
        <v>10</v>
      </c>
      <c r="B24" s="294">
        <v>33400</v>
      </c>
      <c r="C24" s="4" t="s">
        <v>1078</v>
      </c>
      <c r="D24" s="709">
        <v>0</v>
      </c>
      <c r="E24" s="267">
        <v>1</v>
      </c>
      <c r="F24" s="708">
        <f t="shared" si="1"/>
        <v>1</v>
      </c>
      <c r="G24" s="708">
        <f t="shared" si="1"/>
        <v>1</v>
      </c>
      <c r="H24" s="345">
        <f t="shared" si="2"/>
        <v>0</v>
      </c>
    </row>
    <row r="25" spans="1:8">
      <c r="A25" s="605">
        <f t="shared" si="0"/>
        <v>11</v>
      </c>
      <c r="B25" s="294"/>
      <c r="C25" s="1"/>
      <c r="D25" s="559"/>
      <c r="E25" s="267"/>
      <c r="F25" s="266"/>
      <c r="G25" s="266"/>
      <c r="H25" s="248"/>
    </row>
    <row r="26" spans="1:8">
      <c r="A26" s="605">
        <f t="shared" si="0"/>
        <v>12</v>
      </c>
      <c r="B26" s="294"/>
      <c r="C26" s="1" t="s">
        <v>1266</v>
      </c>
      <c r="D26" s="707">
        <f>SUM(D22:D25)</f>
        <v>0</v>
      </c>
      <c r="E26" s="267"/>
      <c r="F26" s="266"/>
      <c r="G26" s="266"/>
      <c r="H26" s="707">
        <f>SUM(H22:H25)</f>
        <v>0</v>
      </c>
    </row>
    <row r="27" spans="1:8">
      <c r="A27" s="605">
        <f t="shared" si="0"/>
        <v>13</v>
      </c>
      <c r="B27" s="294"/>
      <c r="C27" s="4"/>
      <c r="D27" s="248"/>
      <c r="E27" s="267"/>
      <c r="F27" s="266"/>
      <c r="G27" s="266"/>
      <c r="H27" s="248"/>
    </row>
    <row r="28" spans="1:8">
      <c r="A28" s="605">
        <f t="shared" si="0"/>
        <v>14</v>
      </c>
      <c r="B28" s="294"/>
      <c r="C28" s="16" t="s">
        <v>270</v>
      </c>
      <c r="D28" s="248"/>
      <c r="E28" s="267"/>
      <c r="F28" s="266"/>
      <c r="G28" s="266"/>
      <c r="H28" s="248"/>
    </row>
    <row r="29" spans="1:8">
      <c r="A29" s="605">
        <f t="shared" si="0"/>
        <v>15</v>
      </c>
      <c r="B29" s="294">
        <v>35010</v>
      </c>
      <c r="C29" s="4" t="s">
        <v>283</v>
      </c>
      <c r="D29" s="720">
        <v>0</v>
      </c>
      <c r="E29" s="267">
        <v>1</v>
      </c>
      <c r="F29" s="708">
        <f t="shared" ref="F29:G45" si="3">$F$16</f>
        <v>1</v>
      </c>
      <c r="G29" s="708">
        <f t="shared" si="3"/>
        <v>1</v>
      </c>
      <c r="H29" s="707">
        <f t="shared" ref="H29:H45" si="4">D29*E29*F29*G29</f>
        <v>0</v>
      </c>
    </row>
    <row r="30" spans="1:8">
      <c r="A30" s="605">
        <f t="shared" si="0"/>
        <v>16</v>
      </c>
      <c r="B30" s="294">
        <v>35020</v>
      </c>
      <c r="C30" s="4" t="s">
        <v>762</v>
      </c>
      <c r="D30" s="709">
        <v>31.834743999999997</v>
      </c>
      <c r="E30" s="267">
        <v>1</v>
      </c>
      <c r="F30" s="708">
        <f t="shared" si="3"/>
        <v>1</v>
      </c>
      <c r="G30" s="708">
        <f t="shared" si="3"/>
        <v>1</v>
      </c>
      <c r="H30" s="345">
        <f t="shared" si="4"/>
        <v>31.834743999999997</v>
      </c>
    </row>
    <row r="31" spans="1:8">
      <c r="A31" s="605">
        <f t="shared" si="0"/>
        <v>17</v>
      </c>
      <c r="B31" s="294">
        <v>35100</v>
      </c>
      <c r="C31" s="4" t="s">
        <v>933</v>
      </c>
      <c r="D31" s="709">
        <v>293.82551599999994</v>
      </c>
      <c r="E31" s="267">
        <v>1</v>
      </c>
      <c r="F31" s="708">
        <f t="shared" si="3"/>
        <v>1</v>
      </c>
      <c r="G31" s="708">
        <f t="shared" si="3"/>
        <v>1</v>
      </c>
      <c r="H31" s="345">
        <f t="shared" si="4"/>
        <v>293.82551599999994</v>
      </c>
    </row>
    <row r="32" spans="1:8">
      <c r="A32" s="605">
        <f t="shared" si="0"/>
        <v>18</v>
      </c>
      <c r="B32" s="294">
        <v>35102</v>
      </c>
      <c r="C32" s="4" t="s">
        <v>271</v>
      </c>
      <c r="D32" s="709">
        <v>3062.0612440000004</v>
      </c>
      <c r="E32" s="267">
        <v>1</v>
      </c>
      <c r="F32" s="708">
        <f t="shared" si="3"/>
        <v>1</v>
      </c>
      <c r="G32" s="708">
        <f t="shared" si="3"/>
        <v>1</v>
      </c>
      <c r="H32" s="345">
        <f t="shared" si="4"/>
        <v>3062.0612440000004</v>
      </c>
    </row>
    <row r="33" spans="1:8">
      <c r="A33" s="605">
        <f t="shared" si="0"/>
        <v>19</v>
      </c>
      <c r="B33" s="294">
        <v>35103</v>
      </c>
      <c r="C33" s="4" t="s">
        <v>558</v>
      </c>
      <c r="D33" s="709">
        <v>254.52218000000005</v>
      </c>
      <c r="E33" s="267">
        <v>1</v>
      </c>
      <c r="F33" s="708">
        <f t="shared" si="3"/>
        <v>1</v>
      </c>
      <c r="G33" s="708">
        <f t="shared" si="3"/>
        <v>1</v>
      </c>
      <c r="H33" s="345">
        <f t="shared" si="4"/>
        <v>254.52218000000005</v>
      </c>
    </row>
    <row r="34" spans="1:8">
      <c r="A34" s="605">
        <f t="shared" si="0"/>
        <v>20</v>
      </c>
      <c r="B34" s="294">
        <v>35104</v>
      </c>
      <c r="C34" s="4" t="s">
        <v>559</v>
      </c>
      <c r="D34" s="709">
        <v>1896.7069140000001</v>
      </c>
      <c r="E34" s="267">
        <v>1</v>
      </c>
      <c r="F34" s="708">
        <f t="shared" si="3"/>
        <v>1</v>
      </c>
      <c r="G34" s="708">
        <f t="shared" si="3"/>
        <v>1</v>
      </c>
      <c r="H34" s="345">
        <f t="shared" si="4"/>
        <v>1896.7069140000001</v>
      </c>
    </row>
    <row r="35" spans="1:8">
      <c r="A35" s="605">
        <f t="shared" si="0"/>
        <v>21</v>
      </c>
      <c r="B35" s="294">
        <v>35200</v>
      </c>
      <c r="C35" s="4" t="s">
        <v>419</v>
      </c>
      <c r="D35" s="709">
        <v>241976.73254433335</v>
      </c>
      <c r="E35" s="267">
        <v>1</v>
      </c>
      <c r="F35" s="708">
        <f t="shared" si="3"/>
        <v>1</v>
      </c>
      <c r="G35" s="708">
        <f t="shared" si="3"/>
        <v>1</v>
      </c>
      <c r="H35" s="345">
        <f t="shared" si="4"/>
        <v>241976.73254433335</v>
      </c>
    </row>
    <row r="36" spans="1:8">
      <c r="A36" s="605">
        <f t="shared" si="0"/>
        <v>22</v>
      </c>
      <c r="B36" s="294">
        <v>35201</v>
      </c>
      <c r="C36" s="4" t="s">
        <v>560</v>
      </c>
      <c r="D36" s="709">
        <v>27199.976640000004</v>
      </c>
      <c r="E36" s="267">
        <v>1</v>
      </c>
      <c r="F36" s="708">
        <f t="shared" si="3"/>
        <v>1</v>
      </c>
      <c r="G36" s="708">
        <f t="shared" si="3"/>
        <v>1</v>
      </c>
      <c r="H36" s="345">
        <f t="shared" si="4"/>
        <v>27199.976640000004</v>
      </c>
    </row>
    <row r="37" spans="1:8">
      <c r="A37" s="605">
        <f t="shared" si="0"/>
        <v>23</v>
      </c>
      <c r="B37" s="294">
        <v>35202</v>
      </c>
      <c r="C37" s="4" t="s">
        <v>561</v>
      </c>
      <c r="D37" s="709">
        <v>9209.5553039999995</v>
      </c>
      <c r="E37" s="267">
        <v>1</v>
      </c>
      <c r="F37" s="708">
        <f t="shared" si="3"/>
        <v>1</v>
      </c>
      <c r="G37" s="708">
        <f t="shared" si="3"/>
        <v>1</v>
      </c>
      <c r="H37" s="345">
        <f t="shared" si="4"/>
        <v>9209.5553039999995</v>
      </c>
    </row>
    <row r="38" spans="1:8">
      <c r="A38" s="605">
        <f t="shared" si="0"/>
        <v>24</v>
      </c>
      <c r="B38" s="294">
        <v>35203</v>
      </c>
      <c r="C38" s="4" t="s">
        <v>334</v>
      </c>
      <c r="D38" s="709">
        <v>23727.661440000007</v>
      </c>
      <c r="E38" s="267">
        <v>1</v>
      </c>
      <c r="F38" s="708">
        <f t="shared" si="3"/>
        <v>1</v>
      </c>
      <c r="G38" s="708">
        <f t="shared" si="3"/>
        <v>1</v>
      </c>
      <c r="H38" s="345">
        <f t="shared" si="4"/>
        <v>23727.661440000007</v>
      </c>
    </row>
    <row r="39" spans="1:8">
      <c r="A39" s="605">
        <f t="shared" si="0"/>
        <v>25</v>
      </c>
      <c r="B39" s="294">
        <v>35210</v>
      </c>
      <c r="C39" s="4" t="s">
        <v>562</v>
      </c>
      <c r="D39" s="709">
        <v>999.76850399999978</v>
      </c>
      <c r="E39" s="267">
        <v>1</v>
      </c>
      <c r="F39" s="708">
        <f t="shared" si="3"/>
        <v>1</v>
      </c>
      <c r="G39" s="708">
        <f t="shared" si="3"/>
        <v>1</v>
      </c>
      <c r="H39" s="345">
        <f t="shared" si="4"/>
        <v>999.76850399999978</v>
      </c>
    </row>
    <row r="40" spans="1:8">
      <c r="A40" s="605">
        <f t="shared" si="0"/>
        <v>26</v>
      </c>
      <c r="B40" s="294">
        <v>35211</v>
      </c>
      <c r="C40" s="4" t="s">
        <v>563</v>
      </c>
      <c r="D40" s="709">
        <v>557.06555400000002</v>
      </c>
      <c r="E40" s="267">
        <v>1</v>
      </c>
      <c r="F40" s="708">
        <f t="shared" si="3"/>
        <v>1</v>
      </c>
      <c r="G40" s="708">
        <f t="shared" si="3"/>
        <v>1</v>
      </c>
      <c r="H40" s="345">
        <f t="shared" si="4"/>
        <v>557.06555400000002</v>
      </c>
    </row>
    <row r="41" spans="1:8">
      <c r="A41" s="605">
        <f t="shared" si="0"/>
        <v>27</v>
      </c>
      <c r="B41" s="294">
        <v>35301</v>
      </c>
      <c r="C41" s="1" t="s">
        <v>156</v>
      </c>
      <c r="D41" s="709">
        <v>2209.4146619999997</v>
      </c>
      <c r="E41" s="267">
        <v>1</v>
      </c>
      <c r="F41" s="708">
        <f t="shared" si="3"/>
        <v>1</v>
      </c>
      <c r="G41" s="708">
        <f t="shared" si="3"/>
        <v>1</v>
      </c>
      <c r="H41" s="345">
        <f t="shared" si="4"/>
        <v>2209.4146619999997</v>
      </c>
    </row>
    <row r="42" spans="1:8">
      <c r="A42" s="605">
        <f t="shared" si="0"/>
        <v>28</v>
      </c>
      <c r="B42" s="294">
        <v>35302</v>
      </c>
      <c r="C42" s="4" t="s">
        <v>569</v>
      </c>
      <c r="D42" s="709">
        <v>2637.4181399999998</v>
      </c>
      <c r="E42" s="267">
        <v>1</v>
      </c>
      <c r="F42" s="708">
        <f t="shared" si="3"/>
        <v>1</v>
      </c>
      <c r="G42" s="708">
        <f t="shared" si="3"/>
        <v>1</v>
      </c>
      <c r="H42" s="345">
        <f t="shared" si="4"/>
        <v>2637.4181399999998</v>
      </c>
    </row>
    <row r="43" spans="1:8">
      <c r="A43" s="605">
        <f t="shared" si="0"/>
        <v>29</v>
      </c>
      <c r="B43" s="294">
        <v>35400</v>
      </c>
      <c r="C43" s="4" t="s">
        <v>564</v>
      </c>
      <c r="D43" s="709">
        <v>308926.9772100001</v>
      </c>
      <c r="E43" s="267">
        <v>1</v>
      </c>
      <c r="F43" s="708">
        <f t="shared" si="3"/>
        <v>1</v>
      </c>
      <c r="G43" s="708">
        <f t="shared" si="3"/>
        <v>1</v>
      </c>
      <c r="H43" s="345">
        <f t="shared" si="4"/>
        <v>308926.9772100001</v>
      </c>
    </row>
    <row r="44" spans="1:8">
      <c r="A44" s="605">
        <f t="shared" si="0"/>
        <v>30</v>
      </c>
      <c r="B44" s="294">
        <v>35500</v>
      </c>
      <c r="C44" s="4" t="s">
        <v>956</v>
      </c>
      <c r="D44" s="709">
        <v>5106.6779059999981</v>
      </c>
      <c r="E44" s="267">
        <v>1</v>
      </c>
      <c r="F44" s="708">
        <f t="shared" si="3"/>
        <v>1</v>
      </c>
      <c r="G44" s="708">
        <f t="shared" si="3"/>
        <v>1</v>
      </c>
      <c r="H44" s="345">
        <f t="shared" si="4"/>
        <v>5106.6779059999981</v>
      </c>
    </row>
    <row r="45" spans="1:8">
      <c r="A45" s="605">
        <f t="shared" si="0"/>
        <v>31</v>
      </c>
      <c r="B45" s="294">
        <v>35600</v>
      </c>
      <c r="C45" s="4" t="s">
        <v>1001</v>
      </c>
      <c r="D45" s="709">
        <v>33187.446499999998</v>
      </c>
      <c r="E45" s="267">
        <v>1</v>
      </c>
      <c r="F45" s="708">
        <f t="shared" si="3"/>
        <v>1</v>
      </c>
      <c r="G45" s="708">
        <f t="shared" si="3"/>
        <v>1</v>
      </c>
      <c r="H45" s="711">
        <f t="shared" si="4"/>
        <v>33187.446499999998</v>
      </c>
    </row>
    <row r="46" spans="1:8">
      <c r="A46" s="605">
        <f t="shared" si="0"/>
        <v>32</v>
      </c>
      <c r="B46" s="294"/>
      <c r="C46" s="4"/>
      <c r="D46" s="559"/>
      <c r="E46" s="267"/>
      <c r="F46" s="266"/>
      <c r="G46" s="266"/>
      <c r="H46" s="248"/>
    </row>
    <row r="47" spans="1:8">
      <c r="A47" s="605">
        <f t="shared" si="0"/>
        <v>33</v>
      </c>
      <c r="B47" s="294"/>
      <c r="C47" s="4" t="s">
        <v>1264</v>
      </c>
      <c r="D47" s="707">
        <f>SUM(D29:D46)</f>
        <v>661277.64500233345</v>
      </c>
      <c r="E47" s="267"/>
      <c r="F47" s="266"/>
      <c r="G47" s="266"/>
      <c r="H47" s="707">
        <f>SUM(H29:H46)</f>
        <v>661277.64500233345</v>
      </c>
    </row>
    <row r="48" spans="1:8">
      <c r="A48" s="605">
        <f t="shared" si="0"/>
        <v>34</v>
      </c>
      <c r="B48" s="294"/>
      <c r="C48" s="4"/>
      <c r="D48" s="248"/>
      <c r="E48" s="267"/>
      <c r="F48" s="266"/>
      <c r="G48" s="266"/>
      <c r="H48" s="248"/>
    </row>
    <row r="49" spans="1:8">
      <c r="A49" s="605">
        <f t="shared" si="0"/>
        <v>35</v>
      </c>
      <c r="B49" s="294"/>
      <c r="C49" s="16" t="s">
        <v>957</v>
      </c>
      <c r="D49" s="248"/>
      <c r="E49" s="267"/>
      <c r="F49" s="266"/>
      <c r="G49" s="266"/>
      <c r="H49" s="248"/>
    </row>
    <row r="50" spans="1:8">
      <c r="A50" s="605">
        <f t="shared" si="0"/>
        <v>36</v>
      </c>
      <c r="B50" s="294">
        <v>36510</v>
      </c>
      <c r="C50" s="4" t="s">
        <v>283</v>
      </c>
      <c r="D50" s="720">
        <v>0</v>
      </c>
      <c r="E50" s="267">
        <v>1</v>
      </c>
      <c r="F50" s="708">
        <f t="shared" ref="F50:G58" si="5">$F$16</f>
        <v>1</v>
      </c>
      <c r="G50" s="708">
        <f t="shared" si="5"/>
        <v>1</v>
      </c>
      <c r="H50" s="707">
        <f t="shared" ref="H50:H58" si="6">D50*E50*F50*G50</f>
        <v>0</v>
      </c>
    </row>
    <row r="51" spans="1:8">
      <c r="A51" s="605">
        <f t="shared" si="0"/>
        <v>37</v>
      </c>
      <c r="B51" s="294">
        <v>36520</v>
      </c>
      <c r="C51" s="4" t="s">
        <v>762</v>
      </c>
      <c r="D51" s="709">
        <v>7376.0620000000026</v>
      </c>
      <c r="E51" s="267">
        <v>1</v>
      </c>
      <c r="F51" s="708">
        <f t="shared" si="5"/>
        <v>1</v>
      </c>
      <c r="G51" s="708">
        <f t="shared" si="5"/>
        <v>1</v>
      </c>
      <c r="H51" s="345">
        <f t="shared" si="6"/>
        <v>7376.0620000000026</v>
      </c>
    </row>
    <row r="52" spans="1:8">
      <c r="A52" s="605">
        <f t="shared" si="0"/>
        <v>38</v>
      </c>
      <c r="B52" s="294">
        <v>36602</v>
      </c>
      <c r="C52" s="4" t="s">
        <v>825</v>
      </c>
      <c r="D52" s="709">
        <v>4495.5153860000009</v>
      </c>
      <c r="E52" s="267">
        <v>1</v>
      </c>
      <c r="F52" s="708">
        <f t="shared" si="5"/>
        <v>1</v>
      </c>
      <c r="G52" s="708">
        <f t="shared" si="5"/>
        <v>1</v>
      </c>
      <c r="H52" s="345">
        <f t="shared" si="6"/>
        <v>4495.5153860000009</v>
      </c>
    </row>
    <row r="53" spans="1:8">
      <c r="A53" s="605">
        <f t="shared" si="0"/>
        <v>39</v>
      </c>
      <c r="B53" s="294">
        <v>36603</v>
      </c>
      <c r="C53" s="4" t="s">
        <v>958</v>
      </c>
      <c r="D53" s="709">
        <v>0</v>
      </c>
      <c r="E53" s="267">
        <v>1</v>
      </c>
      <c r="F53" s="708">
        <f t="shared" si="5"/>
        <v>1</v>
      </c>
      <c r="G53" s="708">
        <f t="shared" si="5"/>
        <v>1</v>
      </c>
      <c r="H53" s="345">
        <f t="shared" si="6"/>
        <v>0</v>
      </c>
    </row>
    <row r="54" spans="1:8">
      <c r="A54" s="605">
        <f t="shared" si="0"/>
        <v>40</v>
      </c>
      <c r="B54" s="294">
        <v>36700</v>
      </c>
      <c r="C54" s="4" t="s">
        <v>813</v>
      </c>
      <c r="D54" s="709">
        <v>1478.3907090000002</v>
      </c>
      <c r="E54" s="267">
        <v>1</v>
      </c>
      <c r="F54" s="708">
        <f t="shared" si="5"/>
        <v>1</v>
      </c>
      <c r="G54" s="708">
        <f t="shared" si="5"/>
        <v>1</v>
      </c>
      <c r="H54" s="345">
        <f t="shared" si="6"/>
        <v>1478.3907090000002</v>
      </c>
    </row>
    <row r="55" spans="1:8">
      <c r="A55" s="605">
        <f t="shared" si="0"/>
        <v>41</v>
      </c>
      <c r="B55" s="294">
        <v>36701</v>
      </c>
      <c r="C55" s="4" t="s">
        <v>15</v>
      </c>
      <c r="D55" s="709">
        <v>384011.50869600003</v>
      </c>
      <c r="E55" s="267">
        <v>1</v>
      </c>
      <c r="F55" s="708">
        <f t="shared" si="5"/>
        <v>1</v>
      </c>
      <c r="G55" s="708">
        <f t="shared" si="5"/>
        <v>1</v>
      </c>
      <c r="H55" s="345">
        <f t="shared" si="6"/>
        <v>384011.50869600003</v>
      </c>
    </row>
    <row r="56" spans="1:8">
      <c r="A56" s="605">
        <f t="shared" si="0"/>
        <v>42</v>
      </c>
      <c r="B56" s="294">
        <v>36703</v>
      </c>
      <c r="C56" t="s">
        <v>1494</v>
      </c>
      <c r="D56" s="709">
        <v>0</v>
      </c>
      <c r="E56" s="267">
        <v>1</v>
      </c>
      <c r="F56" s="708">
        <f t="shared" si="5"/>
        <v>1</v>
      </c>
      <c r="G56" s="708">
        <f t="shared" si="5"/>
        <v>1</v>
      </c>
      <c r="H56" s="345">
        <f t="shared" si="6"/>
        <v>0</v>
      </c>
    </row>
    <row r="57" spans="1:8">
      <c r="A57" s="605">
        <f t="shared" si="0"/>
        <v>43</v>
      </c>
      <c r="B57" s="294">
        <v>36900</v>
      </c>
      <c r="C57" s="4" t="s">
        <v>959</v>
      </c>
      <c r="D57" s="709">
        <v>35792.614281000009</v>
      </c>
      <c r="E57" s="267">
        <v>1</v>
      </c>
      <c r="F57" s="708">
        <f t="shared" si="5"/>
        <v>1</v>
      </c>
      <c r="G57" s="708">
        <f t="shared" si="5"/>
        <v>1</v>
      </c>
      <c r="H57" s="345">
        <f t="shared" si="6"/>
        <v>35792.614281000009</v>
      </c>
    </row>
    <row r="58" spans="1:8">
      <c r="A58" s="605">
        <f t="shared" si="0"/>
        <v>44</v>
      </c>
      <c r="B58" s="294">
        <v>36901</v>
      </c>
      <c r="C58" s="4" t="s">
        <v>959</v>
      </c>
      <c r="D58" s="709">
        <v>40624.037291000008</v>
      </c>
      <c r="E58" s="267">
        <v>1</v>
      </c>
      <c r="F58" s="708">
        <f t="shared" si="5"/>
        <v>1</v>
      </c>
      <c r="G58" s="708">
        <f t="shared" si="5"/>
        <v>1</v>
      </c>
      <c r="H58" s="711">
        <f t="shared" si="6"/>
        <v>40624.037291000008</v>
      </c>
    </row>
    <row r="59" spans="1:8">
      <c r="A59" s="605">
        <f t="shared" si="0"/>
        <v>45</v>
      </c>
      <c r="B59" s="294"/>
      <c r="C59" s="4"/>
      <c r="D59" s="559"/>
      <c r="E59" s="267"/>
      <c r="F59" s="266"/>
      <c r="G59" s="266"/>
      <c r="H59" s="248"/>
    </row>
    <row r="60" spans="1:8">
      <c r="A60" s="605">
        <f t="shared" si="0"/>
        <v>46</v>
      </c>
      <c r="B60" s="382"/>
      <c r="C60" s="4" t="s">
        <v>1265</v>
      </c>
      <c r="D60" s="707">
        <f>SUM(D50:D59)</f>
        <v>473778.12836300005</v>
      </c>
      <c r="E60" s="267"/>
      <c r="F60" s="266"/>
      <c r="G60" s="266"/>
      <c r="H60" s="707">
        <f>SUM(H50:H59)</f>
        <v>473778.12836300005</v>
      </c>
    </row>
    <row r="61" spans="1:8">
      <c r="A61" s="605">
        <f t="shared" si="0"/>
        <v>47</v>
      </c>
      <c r="B61" s="382"/>
      <c r="C61" s="1"/>
      <c r="D61" s="248"/>
      <c r="E61" s="267"/>
      <c r="F61" s="266"/>
      <c r="G61" s="266"/>
      <c r="H61" s="248"/>
    </row>
    <row r="62" spans="1:8">
      <c r="A62" s="605">
        <f t="shared" si="0"/>
        <v>48</v>
      </c>
      <c r="B62" s="382"/>
      <c r="C62" s="16" t="s">
        <v>290</v>
      </c>
      <c r="D62" s="248"/>
      <c r="E62" s="267"/>
      <c r="F62" s="266"/>
      <c r="G62" s="266"/>
      <c r="H62" s="248"/>
    </row>
    <row r="63" spans="1:8">
      <c r="A63" s="605">
        <f t="shared" si="0"/>
        <v>49</v>
      </c>
      <c r="B63" s="294">
        <v>37400</v>
      </c>
      <c r="C63" s="4" t="s">
        <v>1105</v>
      </c>
      <c r="D63" s="720">
        <v>0</v>
      </c>
      <c r="E63" s="267">
        <v>1</v>
      </c>
      <c r="F63" s="708">
        <f t="shared" ref="F63:G84" si="7">$F$16</f>
        <v>1</v>
      </c>
      <c r="G63" s="708">
        <f t="shared" si="7"/>
        <v>1</v>
      </c>
      <c r="H63" s="707">
        <f t="shared" ref="H63:H84" si="8">D63*E63*F63*G63</f>
        <v>0</v>
      </c>
    </row>
    <row r="64" spans="1:8">
      <c r="A64" s="605">
        <f t="shared" si="0"/>
        <v>50</v>
      </c>
      <c r="B64" s="294">
        <v>37401</v>
      </c>
      <c r="C64" s="4" t="s">
        <v>283</v>
      </c>
      <c r="D64" s="709">
        <v>0</v>
      </c>
      <c r="E64" s="267">
        <v>1</v>
      </c>
      <c r="F64" s="708">
        <f t="shared" si="7"/>
        <v>1</v>
      </c>
      <c r="G64" s="708">
        <f t="shared" si="7"/>
        <v>1</v>
      </c>
      <c r="H64" s="345">
        <f t="shared" si="8"/>
        <v>0</v>
      </c>
    </row>
    <row r="65" spans="1:8">
      <c r="A65" s="605">
        <f t="shared" si="0"/>
        <v>51</v>
      </c>
      <c r="B65" s="294">
        <v>37402</v>
      </c>
      <c r="C65" s="4" t="s">
        <v>963</v>
      </c>
      <c r="D65" s="709">
        <v>54463.723827000002</v>
      </c>
      <c r="E65" s="267">
        <v>1</v>
      </c>
      <c r="F65" s="708">
        <f t="shared" si="7"/>
        <v>1</v>
      </c>
      <c r="G65" s="708">
        <f t="shared" si="7"/>
        <v>1</v>
      </c>
      <c r="H65" s="345">
        <f t="shared" si="8"/>
        <v>54463.723827000002</v>
      </c>
    </row>
    <row r="66" spans="1:8">
      <c r="A66" s="605">
        <f t="shared" si="0"/>
        <v>52</v>
      </c>
      <c r="B66" s="294">
        <v>37403</v>
      </c>
      <c r="C66" s="4" t="s">
        <v>960</v>
      </c>
      <c r="D66" s="709">
        <v>0</v>
      </c>
      <c r="E66" s="267">
        <v>1</v>
      </c>
      <c r="F66" s="708">
        <f t="shared" si="7"/>
        <v>1</v>
      </c>
      <c r="G66" s="708">
        <f t="shared" si="7"/>
        <v>1</v>
      </c>
      <c r="H66" s="345">
        <f t="shared" si="8"/>
        <v>0</v>
      </c>
    </row>
    <row r="67" spans="1:8">
      <c r="A67" s="605">
        <f t="shared" si="0"/>
        <v>53</v>
      </c>
      <c r="B67" s="294">
        <v>37500</v>
      </c>
      <c r="C67" s="4" t="s">
        <v>825</v>
      </c>
      <c r="D67" s="709">
        <v>4840.8125759999984</v>
      </c>
      <c r="E67" s="267">
        <v>1</v>
      </c>
      <c r="F67" s="708">
        <f t="shared" si="7"/>
        <v>1</v>
      </c>
      <c r="G67" s="708">
        <f t="shared" si="7"/>
        <v>1</v>
      </c>
      <c r="H67" s="345">
        <f t="shared" si="8"/>
        <v>4840.8125759999984</v>
      </c>
    </row>
    <row r="68" spans="1:8">
      <c r="A68" s="605">
        <f t="shared" si="0"/>
        <v>54</v>
      </c>
      <c r="B68" s="294">
        <v>37501</v>
      </c>
      <c r="C68" s="4" t="s">
        <v>961</v>
      </c>
      <c r="D68" s="709">
        <v>1437.3810720000004</v>
      </c>
      <c r="E68" s="267">
        <v>1</v>
      </c>
      <c r="F68" s="708">
        <f t="shared" si="7"/>
        <v>1</v>
      </c>
      <c r="G68" s="708">
        <f t="shared" si="7"/>
        <v>1</v>
      </c>
      <c r="H68" s="345">
        <f t="shared" si="8"/>
        <v>1437.3810720000004</v>
      </c>
    </row>
    <row r="69" spans="1:8">
      <c r="A69" s="605">
        <f t="shared" si="0"/>
        <v>55</v>
      </c>
      <c r="B69" s="294">
        <v>37502</v>
      </c>
      <c r="C69" s="4" t="s">
        <v>963</v>
      </c>
      <c r="D69" s="709">
        <v>666.2043359999999</v>
      </c>
      <c r="E69" s="267">
        <v>1</v>
      </c>
      <c r="F69" s="708">
        <f t="shared" si="7"/>
        <v>1</v>
      </c>
      <c r="G69" s="708">
        <f t="shared" si="7"/>
        <v>1</v>
      </c>
      <c r="H69" s="345">
        <f t="shared" si="8"/>
        <v>666.2043359999999</v>
      </c>
    </row>
    <row r="70" spans="1:8">
      <c r="A70" s="605">
        <f t="shared" si="0"/>
        <v>56</v>
      </c>
      <c r="B70" s="294">
        <v>37503</v>
      </c>
      <c r="C70" s="4" t="s">
        <v>962</v>
      </c>
      <c r="D70" s="709">
        <v>57.67315199999998</v>
      </c>
      <c r="E70" s="267">
        <v>1</v>
      </c>
      <c r="F70" s="708">
        <f t="shared" si="7"/>
        <v>1</v>
      </c>
      <c r="G70" s="708">
        <f t="shared" si="7"/>
        <v>1</v>
      </c>
      <c r="H70" s="345">
        <f t="shared" si="8"/>
        <v>57.67315199999998</v>
      </c>
    </row>
    <row r="71" spans="1:8">
      <c r="A71" s="605">
        <f t="shared" si="0"/>
        <v>57</v>
      </c>
      <c r="B71" s="294">
        <v>37600</v>
      </c>
      <c r="C71" s="4" t="s">
        <v>813</v>
      </c>
      <c r="D71" s="709">
        <v>159291.98034399995</v>
      </c>
      <c r="E71" s="267">
        <v>1</v>
      </c>
      <c r="F71" s="708">
        <f t="shared" si="7"/>
        <v>1</v>
      </c>
      <c r="G71" s="708">
        <f t="shared" si="7"/>
        <v>1</v>
      </c>
      <c r="H71" s="345">
        <f t="shared" si="8"/>
        <v>159291.98034399995</v>
      </c>
    </row>
    <row r="72" spans="1:8">
      <c r="A72" s="605">
        <f t="shared" si="0"/>
        <v>58</v>
      </c>
      <c r="B72" s="294">
        <v>37601</v>
      </c>
      <c r="C72" s="4" t="s">
        <v>15</v>
      </c>
      <c r="D72" s="709">
        <v>3554206.9545690822</v>
      </c>
      <c r="E72" s="267">
        <v>1</v>
      </c>
      <c r="F72" s="708">
        <f t="shared" si="7"/>
        <v>1</v>
      </c>
      <c r="G72" s="708">
        <f t="shared" si="7"/>
        <v>1</v>
      </c>
      <c r="H72" s="345">
        <f t="shared" si="8"/>
        <v>3554206.9545690822</v>
      </c>
    </row>
    <row r="73" spans="1:8">
      <c r="A73" s="605">
        <f t="shared" si="0"/>
        <v>59</v>
      </c>
      <c r="B73" s="294">
        <v>37602</v>
      </c>
      <c r="C73" s="4" t="s">
        <v>814</v>
      </c>
      <c r="D73" s="709">
        <v>3416357.1997054447</v>
      </c>
      <c r="E73" s="267">
        <v>1</v>
      </c>
      <c r="F73" s="708">
        <f t="shared" si="7"/>
        <v>1</v>
      </c>
      <c r="G73" s="708">
        <f t="shared" si="7"/>
        <v>1</v>
      </c>
      <c r="H73" s="345">
        <f t="shared" si="8"/>
        <v>3416357.1997054447</v>
      </c>
    </row>
    <row r="74" spans="1:8">
      <c r="A74" s="605">
        <f t="shared" si="0"/>
        <v>60</v>
      </c>
      <c r="B74" s="294">
        <v>37603</v>
      </c>
      <c r="C74" s="4" t="s">
        <v>1494</v>
      </c>
      <c r="D74" s="709">
        <v>200719.77823478717</v>
      </c>
      <c r="E74" s="267">
        <v>1</v>
      </c>
      <c r="F74" s="708">
        <f t="shared" si="7"/>
        <v>1</v>
      </c>
      <c r="G74" s="708">
        <f t="shared" si="7"/>
        <v>1</v>
      </c>
      <c r="H74" s="345">
        <f t="shared" si="8"/>
        <v>200719.77823478717</v>
      </c>
    </row>
    <row r="75" spans="1:8">
      <c r="A75" s="605">
        <f t="shared" si="0"/>
        <v>61</v>
      </c>
      <c r="B75" s="294">
        <v>37604</v>
      </c>
      <c r="C75" s="4" t="s">
        <v>1495</v>
      </c>
      <c r="D75" s="709">
        <v>339493.96050000004</v>
      </c>
      <c r="E75" s="267">
        <v>1</v>
      </c>
      <c r="F75" s="708">
        <f t="shared" si="7"/>
        <v>1</v>
      </c>
      <c r="G75" s="708">
        <f t="shared" si="7"/>
        <v>1</v>
      </c>
      <c r="H75" s="345">
        <f t="shared" si="8"/>
        <v>339493.96050000004</v>
      </c>
    </row>
    <row r="76" spans="1:8">
      <c r="A76" s="605">
        <f t="shared" si="0"/>
        <v>62</v>
      </c>
      <c r="B76" s="294">
        <v>37800</v>
      </c>
      <c r="C76" s="4" t="s">
        <v>221</v>
      </c>
      <c r="D76" s="709">
        <v>573607.41388065461</v>
      </c>
      <c r="E76" s="267">
        <v>1</v>
      </c>
      <c r="F76" s="708">
        <f t="shared" si="7"/>
        <v>1</v>
      </c>
      <c r="G76" s="708">
        <f t="shared" si="7"/>
        <v>1</v>
      </c>
      <c r="H76" s="345">
        <f t="shared" si="8"/>
        <v>573607.41388065461</v>
      </c>
    </row>
    <row r="77" spans="1:8">
      <c r="A77" s="605">
        <f t="shared" si="0"/>
        <v>63</v>
      </c>
      <c r="B77" s="294">
        <v>37900</v>
      </c>
      <c r="C77" s="4" t="s">
        <v>1148</v>
      </c>
      <c r="D77" s="709">
        <v>214734.78719933334</v>
      </c>
      <c r="E77" s="267">
        <v>1</v>
      </c>
      <c r="F77" s="708">
        <f t="shared" si="7"/>
        <v>1</v>
      </c>
      <c r="G77" s="708">
        <f t="shared" si="7"/>
        <v>1</v>
      </c>
      <c r="H77" s="345">
        <f t="shared" si="8"/>
        <v>214734.78719933334</v>
      </c>
    </row>
    <row r="78" spans="1:8">
      <c r="A78" s="605">
        <f t="shared" si="0"/>
        <v>64</v>
      </c>
      <c r="B78" s="294">
        <v>37905</v>
      </c>
      <c r="C78" s="4" t="s">
        <v>698</v>
      </c>
      <c r="D78" s="709">
        <v>37286.965695000014</v>
      </c>
      <c r="E78" s="267">
        <v>1</v>
      </c>
      <c r="F78" s="708">
        <f t="shared" si="7"/>
        <v>1</v>
      </c>
      <c r="G78" s="708">
        <f t="shared" si="7"/>
        <v>1</v>
      </c>
      <c r="H78" s="345">
        <f t="shared" si="8"/>
        <v>37286.965695000014</v>
      </c>
    </row>
    <row r="79" spans="1:8">
      <c r="A79" s="605">
        <f t="shared" si="0"/>
        <v>65</v>
      </c>
      <c r="B79" s="294">
        <v>38000</v>
      </c>
      <c r="C79" s="4" t="s">
        <v>1013</v>
      </c>
      <c r="D79" s="709">
        <v>4814131.1520873755</v>
      </c>
      <c r="E79" s="267">
        <v>1</v>
      </c>
      <c r="F79" s="708">
        <f t="shared" si="7"/>
        <v>1</v>
      </c>
      <c r="G79" s="708">
        <f t="shared" si="7"/>
        <v>1</v>
      </c>
      <c r="H79" s="345">
        <f t="shared" si="8"/>
        <v>4814131.1520873755</v>
      </c>
    </row>
    <row r="80" spans="1:8">
      <c r="A80" s="605">
        <f t="shared" si="0"/>
        <v>66</v>
      </c>
      <c r="B80" s="294">
        <v>38100</v>
      </c>
      <c r="C80" s="4" t="s">
        <v>815</v>
      </c>
      <c r="D80" s="709">
        <v>2722921.7739484697</v>
      </c>
      <c r="E80" s="267">
        <v>1</v>
      </c>
      <c r="F80" s="708">
        <f t="shared" si="7"/>
        <v>1</v>
      </c>
      <c r="G80" s="708">
        <f t="shared" si="7"/>
        <v>1</v>
      </c>
      <c r="H80" s="345">
        <f t="shared" si="8"/>
        <v>2722921.7739484697</v>
      </c>
    </row>
    <row r="81" spans="1:13">
      <c r="A81" s="605">
        <f t="shared" si="0"/>
        <v>67</v>
      </c>
      <c r="B81" s="294">
        <v>38200</v>
      </c>
      <c r="C81" s="4" t="s">
        <v>420</v>
      </c>
      <c r="D81" s="709">
        <v>2026363.401921236</v>
      </c>
      <c r="E81" s="267">
        <v>1</v>
      </c>
      <c r="F81" s="708">
        <f t="shared" si="7"/>
        <v>1</v>
      </c>
      <c r="G81" s="708">
        <f t="shared" si="7"/>
        <v>1</v>
      </c>
      <c r="H81" s="345">
        <f t="shared" si="8"/>
        <v>2026363.401921236</v>
      </c>
    </row>
    <row r="82" spans="1:13">
      <c r="A82" s="605">
        <f t="shared" si="0"/>
        <v>68</v>
      </c>
      <c r="B82" s="294">
        <v>38300</v>
      </c>
      <c r="C82" s="4" t="s">
        <v>1014</v>
      </c>
      <c r="D82" s="709">
        <v>124799.19010000002</v>
      </c>
      <c r="E82" s="267">
        <v>1</v>
      </c>
      <c r="F82" s="708">
        <f t="shared" si="7"/>
        <v>1</v>
      </c>
      <c r="G82" s="708">
        <f t="shared" si="7"/>
        <v>1</v>
      </c>
      <c r="H82" s="345">
        <f t="shared" si="8"/>
        <v>124799.19010000002</v>
      </c>
    </row>
    <row r="83" spans="1:13">
      <c r="A83" s="605">
        <f t="shared" si="0"/>
        <v>69</v>
      </c>
      <c r="B83" s="294">
        <v>38400</v>
      </c>
      <c r="C83" s="4" t="s">
        <v>421</v>
      </c>
      <c r="D83" s="709">
        <v>12401.484512000003</v>
      </c>
      <c r="E83" s="267">
        <v>1</v>
      </c>
      <c r="F83" s="708">
        <f t="shared" si="7"/>
        <v>1</v>
      </c>
      <c r="G83" s="708">
        <f t="shared" si="7"/>
        <v>1</v>
      </c>
      <c r="H83" s="345">
        <f t="shared" si="8"/>
        <v>12401.484512000003</v>
      </c>
    </row>
    <row r="84" spans="1:13">
      <c r="A84" s="605">
        <f t="shared" ref="A84:A147" si="9">A83+1</f>
        <v>70</v>
      </c>
      <c r="B84" s="294">
        <v>38500</v>
      </c>
      <c r="C84" s="4" t="s">
        <v>422</v>
      </c>
      <c r="D84" s="1003">
        <v>97339.928040000013</v>
      </c>
      <c r="E84" s="267">
        <v>1</v>
      </c>
      <c r="F84" s="708">
        <f t="shared" si="7"/>
        <v>1</v>
      </c>
      <c r="G84" s="708">
        <f t="shared" si="7"/>
        <v>1</v>
      </c>
      <c r="H84" s="711">
        <f t="shared" si="8"/>
        <v>97339.928040000013</v>
      </c>
      <c r="M84" s="385"/>
    </row>
    <row r="85" spans="1:13">
      <c r="A85" s="605">
        <f t="shared" si="9"/>
        <v>71</v>
      </c>
      <c r="B85" s="294"/>
      <c r="C85" s="4"/>
      <c r="D85" s="559"/>
      <c r="E85" s="267"/>
      <c r="F85" s="266"/>
      <c r="G85" s="266"/>
      <c r="H85" s="559"/>
    </row>
    <row r="86" spans="1:13">
      <c r="A86" s="605">
        <f t="shared" si="9"/>
        <v>72</v>
      </c>
      <c r="B86" s="294"/>
      <c r="C86" s="4" t="s">
        <v>1262</v>
      </c>
      <c r="D86" s="707">
        <f>SUM(D63:D85)</f>
        <v>18355121.765700385</v>
      </c>
      <c r="E86" s="267"/>
      <c r="F86" s="266"/>
      <c r="G86" s="266"/>
      <c r="H86" s="707">
        <f>SUM(H63:H85)</f>
        <v>18355121.765700385</v>
      </c>
    </row>
    <row r="87" spans="1:13">
      <c r="A87" s="605">
        <f t="shared" si="9"/>
        <v>73</v>
      </c>
      <c r="B87" s="294"/>
      <c r="C87" s="4"/>
      <c r="D87" s="248"/>
      <c r="E87" s="267"/>
      <c r="F87" s="266"/>
      <c r="G87" s="266"/>
      <c r="H87" s="248"/>
    </row>
    <row r="88" spans="1:13">
      <c r="A88" s="605">
        <f t="shared" si="9"/>
        <v>74</v>
      </c>
      <c r="B88" s="382"/>
      <c r="C88" s="16" t="s">
        <v>292</v>
      </c>
      <c r="D88" s="248"/>
      <c r="E88" s="267"/>
      <c r="F88" s="266"/>
      <c r="G88" s="266"/>
      <c r="H88" s="248"/>
    </row>
    <row r="89" spans="1:13">
      <c r="A89" s="605">
        <f t="shared" si="9"/>
        <v>75</v>
      </c>
      <c r="B89" s="294">
        <v>38900</v>
      </c>
      <c r="C89" s="4" t="s">
        <v>1431</v>
      </c>
      <c r="D89" s="720">
        <v>0</v>
      </c>
      <c r="E89" s="267">
        <v>1</v>
      </c>
      <c r="F89" s="708">
        <f t="shared" ref="F89:G107" si="10">$F$16</f>
        <v>1</v>
      </c>
      <c r="G89" s="708">
        <f t="shared" si="10"/>
        <v>1</v>
      </c>
      <c r="H89" s="707">
        <f t="shared" ref="H89:H114" si="11">D89*E89*F89*G89</f>
        <v>0</v>
      </c>
    </row>
    <row r="90" spans="1:13">
      <c r="A90" s="605">
        <f t="shared" si="9"/>
        <v>76</v>
      </c>
      <c r="B90" s="294">
        <v>39000</v>
      </c>
      <c r="C90" s="4" t="s">
        <v>1432</v>
      </c>
      <c r="D90" s="709">
        <v>225186.09597900006</v>
      </c>
      <c r="E90" s="267">
        <v>1</v>
      </c>
      <c r="F90" s="708">
        <f t="shared" si="10"/>
        <v>1</v>
      </c>
      <c r="G90" s="708">
        <f t="shared" si="10"/>
        <v>1</v>
      </c>
      <c r="H90" s="345">
        <f t="shared" si="11"/>
        <v>225186.09597900006</v>
      </c>
    </row>
    <row r="91" spans="1:13">
      <c r="A91" s="605">
        <f t="shared" si="9"/>
        <v>77</v>
      </c>
      <c r="B91" s="294">
        <v>39002</v>
      </c>
      <c r="C91" s="4" t="s">
        <v>1433</v>
      </c>
      <c r="D91" s="709">
        <v>4206.6908549999998</v>
      </c>
      <c r="E91" s="267">
        <v>1</v>
      </c>
      <c r="F91" s="708">
        <f t="shared" si="10"/>
        <v>1</v>
      </c>
      <c r="G91" s="708">
        <f t="shared" si="10"/>
        <v>1</v>
      </c>
      <c r="H91" s="345">
        <f t="shared" si="11"/>
        <v>4206.6908549999998</v>
      </c>
    </row>
    <row r="92" spans="1:13">
      <c r="A92" s="605">
        <f t="shared" si="9"/>
        <v>78</v>
      </c>
      <c r="B92" s="294">
        <v>39003</v>
      </c>
      <c r="C92" s="4" t="s">
        <v>1434</v>
      </c>
      <c r="D92" s="709">
        <v>21302.215920000002</v>
      </c>
      <c r="E92" s="267">
        <v>1</v>
      </c>
      <c r="F92" s="708">
        <f t="shared" si="10"/>
        <v>1</v>
      </c>
      <c r="G92" s="708">
        <f t="shared" si="10"/>
        <v>1</v>
      </c>
      <c r="H92" s="345">
        <f t="shared" si="11"/>
        <v>21302.215920000002</v>
      </c>
    </row>
    <row r="93" spans="1:13">
      <c r="A93" s="605">
        <f t="shared" si="9"/>
        <v>79</v>
      </c>
      <c r="B93" s="294">
        <v>39004</v>
      </c>
      <c r="C93" s="4" t="s">
        <v>1435</v>
      </c>
      <c r="D93" s="709">
        <v>553.16739800000005</v>
      </c>
      <c r="E93" s="267">
        <v>1</v>
      </c>
      <c r="F93" s="708">
        <f t="shared" si="10"/>
        <v>1</v>
      </c>
      <c r="G93" s="708">
        <f t="shared" si="10"/>
        <v>1</v>
      </c>
      <c r="H93" s="345">
        <f t="shared" si="11"/>
        <v>553.16739800000005</v>
      </c>
    </row>
    <row r="94" spans="1:13">
      <c r="A94" s="605">
        <f t="shared" si="9"/>
        <v>80</v>
      </c>
      <c r="B94" s="294">
        <v>39009</v>
      </c>
      <c r="C94" s="4" t="s">
        <v>1436</v>
      </c>
      <c r="D94" s="709">
        <v>0</v>
      </c>
      <c r="E94" s="267">
        <v>1</v>
      </c>
      <c r="F94" s="708">
        <f t="shared" si="10"/>
        <v>1</v>
      </c>
      <c r="G94" s="708">
        <f t="shared" si="10"/>
        <v>1</v>
      </c>
      <c r="H94" s="345">
        <f t="shared" si="11"/>
        <v>0</v>
      </c>
    </row>
    <row r="95" spans="1:13">
      <c r="A95" s="605">
        <f t="shared" si="9"/>
        <v>81</v>
      </c>
      <c r="B95" s="294">
        <v>39100</v>
      </c>
      <c r="C95" s="4" t="s">
        <v>1437</v>
      </c>
      <c r="D95" s="709">
        <v>90846.930999999997</v>
      </c>
      <c r="E95" s="267">
        <v>1</v>
      </c>
      <c r="F95" s="708">
        <f t="shared" si="10"/>
        <v>1</v>
      </c>
      <c r="G95" s="708">
        <f t="shared" si="10"/>
        <v>1</v>
      </c>
      <c r="H95" s="345">
        <f t="shared" si="11"/>
        <v>90846.930999999997</v>
      </c>
    </row>
    <row r="96" spans="1:13">
      <c r="A96" s="605">
        <f t="shared" si="9"/>
        <v>82</v>
      </c>
      <c r="B96" s="294">
        <v>39103</v>
      </c>
      <c r="C96" s="4" t="s">
        <v>750</v>
      </c>
      <c r="D96" s="709">
        <v>0</v>
      </c>
      <c r="E96" s="267">
        <v>1</v>
      </c>
      <c r="F96" s="708">
        <f t="shared" si="10"/>
        <v>1</v>
      </c>
      <c r="G96" s="708">
        <f t="shared" si="10"/>
        <v>1</v>
      </c>
      <c r="H96" s="345">
        <f t="shared" si="11"/>
        <v>0</v>
      </c>
    </row>
    <row r="97" spans="1:11">
      <c r="A97" s="605">
        <f t="shared" si="9"/>
        <v>83</v>
      </c>
      <c r="B97" s="294">
        <v>39200</v>
      </c>
      <c r="C97" s="4" t="s">
        <v>1438</v>
      </c>
      <c r="D97" s="709">
        <v>8043.3313900000003</v>
      </c>
      <c r="E97" s="682">
        <v>0.31222190451541731</v>
      </c>
      <c r="F97" s="708">
        <f t="shared" si="10"/>
        <v>1</v>
      </c>
      <c r="G97" s="708">
        <f t="shared" si="10"/>
        <v>1</v>
      </c>
      <c r="H97" s="345">
        <f t="shared" si="11"/>
        <v>2511.3042452344389</v>
      </c>
    </row>
    <row r="98" spans="1:11">
      <c r="A98" s="605">
        <f t="shared" si="9"/>
        <v>84</v>
      </c>
      <c r="B98" s="294">
        <v>39202</v>
      </c>
      <c r="C98" s="4" t="s">
        <v>1439</v>
      </c>
      <c r="D98" s="709">
        <v>1628.1855800000001</v>
      </c>
      <c r="E98" s="682">
        <v>0.31222190451541731</v>
      </c>
      <c r="F98" s="708">
        <f t="shared" si="10"/>
        <v>1</v>
      </c>
      <c r="G98" s="708">
        <f t="shared" si="10"/>
        <v>1</v>
      </c>
      <c r="H98" s="345">
        <f t="shared" si="11"/>
        <v>508.35520269213936</v>
      </c>
    </row>
    <row r="99" spans="1:11">
      <c r="A99" s="605">
        <f t="shared" si="9"/>
        <v>85</v>
      </c>
      <c r="B99" s="294">
        <v>39400</v>
      </c>
      <c r="C99" s="4" t="s">
        <v>1440</v>
      </c>
      <c r="D99" s="709">
        <v>449666.06005100947</v>
      </c>
      <c r="E99" s="682">
        <v>0.37663983213160257</v>
      </c>
      <c r="F99" s="708">
        <f t="shared" si="10"/>
        <v>1</v>
      </c>
      <c r="G99" s="708">
        <f t="shared" si="10"/>
        <v>1</v>
      </c>
      <c r="H99" s="345">
        <f t="shared" si="11"/>
        <v>169362.14937289132</v>
      </c>
    </row>
    <row r="100" spans="1:11">
      <c r="A100" s="605">
        <f t="shared" si="9"/>
        <v>86</v>
      </c>
      <c r="B100" s="294">
        <v>39603</v>
      </c>
      <c r="C100" s="4" t="s">
        <v>1441</v>
      </c>
      <c r="D100" s="709">
        <v>0</v>
      </c>
      <c r="E100" s="682">
        <v>0.02</v>
      </c>
      <c r="F100" s="708">
        <f t="shared" si="10"/>
        <v>1</v>
      </c>
      <c r="G100" s="708">
        <f t="shared" si="10"/>
        <v>1</v>
      </c>
      <c r="H100" s="345">
        <f t="shared" si="11"/>
        <v>0</v>
      </c>
    </row>
    <row r="101" spans="1:11">
      <c r="A101" s="605">
        <f t="shared" si="9"/>
        <v>87</v>
      </c>
      <c r="B101" s="294">
        <v>39604</v>
      </c>
      <c r="C101" s="4" t="s">
        <v>1442</v>
      </c>
      <c r="D101" s="709">
        <v>0</v>
      </c>
      <c r="E101" s="682">
        <v>0.02</v>
      </c>
      <c r="F101" s="708">
        <f t="shared" si="10"/>
        <v>1</v>
      </c>
      <c r="G101" s="708">
        <f t="shared" si="10"/>
        <v>1</v>
      </c>
      <c r="H101" s="345">
        <f t="shared" si="11"/>
        <v>0</v>
      </c>
      <c r="K101" s="375"/>
    </row>
    <row r="102" spans="1:11">
      <c r="A102" s="605">
        <f t="shared" si="9"/>
        <v>88</v>
      </c>
      <c r="B102" s="294">
        <v>39605</v>
      </c>
      <c r="C102" s="4" t="s">
        <v>1443</v>
      </c>
      <c r="D102" s="709">
        <v>0</v>
      </c>
      <c r="E102" s="682">
        <v>0.02</v>
      </c>
      <c r="F102" s="708">
        <f t="shared" si="10"/>
        <v>1</v>
      </c>
      <c r="G102" s="708">
        <f t="shared" si="10"/>
        <v>1</v>
      </c>
      <c r="H102" s="345">
        <f t="shared" si="11"/>
        <v>0</v>
      </c>
      <c r="K102" s="375"/>
    </row>
    <row r="103" spans="1:11">
      <c r="A103" s="605">
        <f t="shared" si="9"/>
        <v>89</v>
      </c>
      <c r="B103" s="294">
        <v>39700</v>
      </c>
      <c r="C103" s="4" t="s">
        <v>1444</v>
      </c>
      <c r="D103" s="709">
        <v>28943.645256999993</v>
      </c>
      <c r="E103" s="267">
        <v>1</v>
      </c>
      <c r="F103" s="708">
        <f t="shared" si="10"/>
        <v>1</v>
      </c>
      <c r="G103" s="708">
        <f t="shared" si="10"/>
        <v>1</v>
      </c>
      <c r="H103" s="345">
        <f t="shared" si="11"/>
        <v>28943.645256999993</v>
      </c>
      <c r="K103" s="375"/>
    </row>
    <row r="104" spans="1:11">
      <c r="A104" s="605">
        <f t="shared" si="9"/>
        <v>90</v>
      </c>
      <c r="B104" s="382">
        <v>39701</v>
      </c>
      <c r="C104" s="4" t="s">
        <v>1405</v>
      </c>
      <c r="D104" s="709">
        <v>0</v>
      </c>
      <c r="E104" s="267">
        <v>1</v>
      </c>
      <c r="F104" s="708">
        <f t="shared" si="10"/>
        <v>1</v>
      </c>
      <c r="G104" s="708">
        <f t="shared" si="10"/>
        <v>1</v>
      </c>
      <c r="H104" s="345">
        <f t="shared" si="11"/>
        <v>0</v>
      </c>
      <c r="K104" s="375"/>
    </row>
    <row r="105" spans="1:11">
      <c r="A105" s="605">
        <f t="shared" si="9"/>
        <v>91</v>
      </c>
      <c r="B105" s="382">
        <v>39702</v>
      </c>
      <c r="C105" s="1" t="s">
        <v>1405</v>
      </c>
      <c r="D105" s="709">
        <v>0</v>
      </c>
      <c r="E105" s="267">
        <v>1</v>
      </c>
      <c r="F105" s="708">
        <f t="shared" si="10"/>
        <v>1</v>
      </c>
      <c r="G105" s="708">
        <f t="shared" si="10"/>
        <v>1</v>
      </c>
      <c r="H105" s="345">
        <f t="shared" si="11"/>
        <v>0</v>
      </c>
      <c r="K105" s="375"/>
    </row>
    <row r="106" spans="1:11">
      <c r="A106" s="605">
        <f t="shared" si="9"/>
        <v>92</v>
      </c>
      <c r="B106" s="382">
        <v>39705</v>
      </c>
      <c r="C106" s="4" t="s">
        <v>1445</v>
      </c>
      <c r="D106" s="709">
        <v>0</v>
      </c>
      <c r="E106" s="267">
        <v>1</v>
      </c>
      <c r="F106" s="708">
        <f t="shared" si="10"/>
        <v>1</v>
      </c>
      <c r="G106" s="708">
        <f t="shared" si="10"/>
        <v>1</v>
      </c>
      <c r="H106" s="345">
        <f t="shared" si="11"/>
        <v>0</v>
      </c>
    </row>
    <row r="107" spans="1:11">
      <c r="A107" s="605">
        <f t="shared" si="9"/>
        <v>93</v>
      </c>
      <c r="B107" s="382">
        <v>39800</v>
      </c>
      <c r="C107" s="4" t="s">
        <v>1446</v>
      </c>
      <c r="D107" s="709">
        <v>199380.24575298766</v>
      </c>
      <c r="E107" s="267">
        <v>1</v>
      </c>
      <c r="F107" s="708">
        <f t="shared" si="10"/>
        <v>1</v>
      </c>
      <c r="G107" s="708">
        <f t="shared" si="10"/>
        <v>1</v>
      </c>
      <c r="H107" s="345">
        <f t="shared" si="11"/>
        <v>199380.24575298766</v>
      </c>
    </row>
    <row r="108" spans="1:11">
      <c r="A108" s="605">
        <f t="shared" si="9"/>
        <v>94</v>
      </c>
      <c r="B108" s="382">
        <v>39901</v>
      </c>
      <c r="C108" s="4" t="s">
        <v>1406</v>
      </c>
      <c r="D108" s="709">
        <v>0</v>
      </c>
      <c r="E108" s="267">
        <v>1</v>
      </c>
      <c r="F108" s="708">
        <f t="shared" ref="F108:G114" si="12">$F$16</f>
        <v>1</v>
      </c>
      <c r="G108" s="708">
        <f t="shared" si="12"/>
        <v>1</v>
      </c>
      <c r="H108" s="345">
        <f t="shared" si="11"/>
        <v>0</v>
      </c>
    </row>
    <row r="109" spans="1:11">
      <c r="A109" s="605">
        <f t="shared" si="9"/>
        <v>95</v>
      </c>
      <c r="B109" s="382">
        <v>39902</v>
      </c>
      <c r="C109" s="4" t="s">
        <v>1407</v>
      </c>
      <c r="D109" s="709">
        <v>0</v>
      </c>
      <c r="E109" s="267">
        <v>1</v>
      </c>
      <c r="F109" s="708">
        <f t="shared" si="12"/>
        <v>1</v>
      </c>
      <c r="G109" s="708">
        <f t="shared" si="12"/>
        <v>1</v>
      </c>
      <c r="H109" s="345">
        <f t="shared" si="11"/>
        <v>0</v>
      </c>
    </row>
    <row r="110" spans="1:11">
      <c r="A110" s="605">
        <f t="shared" si="9"/>
        <v>96</v>
      </c>
      <c r="B110" s="382">
        <v>39903</v>
      </c>
      <c r="C110" s="4" t="s">
        <v>1447</v>
      </c>
      <c r="D110" s="709">
        <v>0</v>
      </c>
      <c r="E110" s="267">
        <v>1</v>
      </c>
      <c r="F110" s="708">
        <f t="shared" si="12"/>
        <v>1</v>
      </c>
      <c r="G110" s="708">
        <f t="shared" si="12"/>
        <v>1</v>
      </c>
      <c r="H110" s="345">
        <f t="shared" si="11"/>
        <v>0</v>
      </c>
    </row>
    <row r="111" spans="1:11">
      <c r="A111" s="605">
        <f t="shared" si="9"/>
        <v>97</v>
      </c>
      <c r="B111" s="382">
        <v>39906</v>
      </c>
      <c r="C111" s="4" t="s">
        <v>1448</v>
      </c>
      <c r="D111" s="709">
        <v>11055.451041666669</v>
      </c>
      <c r="E111" s="267">
        <v>1</v>
      </c>
      <c r="F111" s="708">
        <f t="shared" si="12"/>
        <v>1</v>
      </c>
      <c r="G111" s="708">
        <f t="shared" si="12"/>
        <v>1</v>
      </c>
      <c r="H111" s="345">
        <f t="shared" si="11"/>
        <v>11055.451041666669</v>
      </c>
    </row>
    <row r="112" spans="1:11">
      <c r="A112" s="605">
        <f t="shared" si="9"/>
        <v>98</v>
      </c>
      <c r="B112" s="382">
        <v>39907</v>
      </c>
      <c r="C112" s="4" t="s">
        <v>1449</v>
      </c>
      <c r="D112" s="709">
        <v>0</v>
      </c>
      <c r="E112" s="267">
        <v>1</v>
      </c>
      <c r="F112" s="708">
        <f t="shared" si="12"/>
        <v>1</v>
      </c>
      <c r="G112" s="708">
        <f t="shared" si="12"/>
        <v>1</v>
      </c>
      <c r="H112" s="345">
        <f t="shared" si="11"/>
        <v>0</v>
      </c>
    </row>
    <row r="113" spans="1:14">
      <c r="A113" s="605">
        <f t="shared" si="9"/>
        <v>99</v>
      </c>
      <c r="B113" s="382">
        <v>39908</v>
      </c>
      <c r="C113" s="4" t="s">
        <v>1450</v>
      </c>
      <c r="D113" s="709">
        <v>0</v>
      </c>
      <c r="E113" s="267">
        <v>1</v>
      </c>
      <c r="F113" s="708">
        <f t="shared" si="12"/>
        <v>1</v>
      </c>
      <c r="G113" s="708">
        <f t="shared" si="12"/>
        <v>1</v>
      </c>
      <c r="H113" s="345">
        <f t="shared" si="11"/>
        <v>0</v>
      </c>
    </row>
    <row r="114" spans="1:14" s="45" customFormat="1" ht="15.75">
      <c r="A114" s="842">
        <f t="shared" si="9"/>
        <v>100</v>
      </c>
      <c r="B114" s="1016"/>
      <c r="C114" s="48" t="s">
        <v>1473</v>
      </c>
      <c r="D114" s="1015">
        <v>0</v>
      </c>
      <c r="E114" s="1017">
        <v>1</v>
      </c>
      <c r="F114" s="1018">
        <f t="shared" si="12"/>
        <v>1</v>
      </c>
      <c r="G114" s="1018">
        <f t="shared" si="12"/>
        <v>1</v>
      </c>
      <c r="H114" s="1019">
        <f t="shared" si="11"/>
        <v>0</v>
      </c>
      <c r="J114" s="330"/>
      <c r="K114" s="430"/>
    </row>
    <row r="115" spans="1:14">
      <c r="A115" s="605">
        <f>A114+1</f>
        <v>101</v>
      </c>
      <c r="B115" s="382"/>
      <c r="C115" s="4"/>
      <c r="D115" s="559"/>
      <c r="E115" s="384"/>
      <c r="F115" s="37"/>
      <c r="G115" s="37"/>
      <c r="H115" s="559"/>
    </row>
    <row r="116" spans="1:14">
      <c r="A116" s="605">
        <f t="shared" si="9"/>
        <v>102</v>
      </c>
      <c r="B116" s="228"/>
      <c r="C116" s="4" t="s">
        <v>1261</v>
      </c>
      <c r="D116" s="707">
        <f>SUM(D89:D115)</f>
        <v>1040812.0202246639</v>
      </c>
      <c r="E116" s="383"/>
      <c r="F116" s="37"/>
      <c r="G116" s="37"/>
      <c r="H116" s="707">
        <f>SUM(H89:H115)</f>
        <v>753856.25202447234</v>
      </c>
    </row>
    <row r="117" spans="1:14">
      <c r="A117" s="605">
        <f t="shared" si="9"/>
        <v>103</v>
      </c>
      <c r="B117" s="228"/>
      <c r="C117" s="4"/>
      <c r="D117" s="248"/>
      <c r="E117" s="384"/>
      <c r="F117" s="37"/>
      <c r="G117" s="37"/>
      <c r="H117" s="248"/>
    </row>
    <row r="118" spans="1:14">
      <c r="A118" s="605">
        <f t="shared" si="9"/>
        <v>104</v>
      </c>
      <c r="B118" s="228"/>
      <c r="C118" s="4" t="s">
        <v>1258</v>
      </c>
      <c r="D118" s="707">
        <f>D116+D86+D60+D47+D26+D19</f>
        <v>20530989.559290379</v>
      </c>
      <c r="E118" s="383"/>
      <c r="F118" s="37"/>
      <c r="G118" s="37"/>
      <c r="H118" s="707">
        <f>H116+H86+H60+H47+H26+H19</f>
        <v>20244033.79109019</v>
      </c>
      <c r="M118" s="329"/>
      <c r="N118" s="329"/>
    </row>
    <row r="119" spans="1:14">
      <c r="A119" s="605">
        <f t="shared" si="9"/>
        <v>105</v>
      </c>
      <c r="B119" s="228"/>
      <c r="C119" s="4"/>
      <c r="D119" s="248"/>
      <c r="F119" s="37"/>
      <c r="G119" s="37"/>
    </row>
    <row r="120" spans="1:14">
      <c r="A120" s="605">
        <f t="shared" si="9"/>
        <v>106</v>
      </c>
      <c r="B120" s="228"/>
      <c r="C120" s="1"/>
      <c r="D120" s="248"/>
      <c r="F120" s="37"/>
      <c r="G120" s="37"/>
    </row>
    <row r="121" spans="1:14">
      <c r="A121" s="605">
        <f t="shared" si="9"/>
        <v>107</v>
      </c>
      <c r="B121" s="545"/>
      <c r="D121" s="248"/>
      <c r="F121" s="37"/>
      <c r="G121" s="37"/>
    </row>
    <row r="122" spans="1:14" ht="15.75">
      <c r="A122" s="605">
        <f t="shared" si="9"/>
        <v>108</v>
      </c>
      <c r="B122" s="550" t="s">
        <v>6</v>
      </c>
      <c r="D122" s="248"/>
      <c r="F122" s="37"/>
      <c r="G122" s="37"/>
    </row>
    <row r="123" spans="1:14">
      <c r="A123" s="605">
        <f t="shared" si="9"/>
        <v>109</v>
      </c>
      <c r="B123" s="545"/>
      <c r="D123" s="248"/>
      <c r="F123" s="37"/>
      <c r="G123" s="37"/>
    </row>
    <row r="124" spans="1:14">
      <c r="A124" s="605">
        <f t="shared" si="9"/>
        <v>110</v>
      </c>
      <c r="B124" s="228"/>
      <c r="C124" s="16" t="s">
        <v>288</v>
      </c>
      <c r="D124" s="248"/>
      <c r="F124" s="37"/>
      <c r="G124" s="37"/>
    </row>
    <row r="125" spans="1:14">
      <c r="A125" s="605">
        <f t="shared" si="9"/>
        <v>111</v>
      </c>
      <c r="B125" s="294">
        <v>30100</v>
      </c>
      <c r="C125" s="4" t="s">
        <v>282</v>
      </c>
      <c r="D125" s="720">
        <v>0</v>
      </c>
      <c r="E125" s="267">
        <v>1</v>
      </c>
      <c r="F125" s="708">
        <f>$F$16</f>
        <v>1</v>
      </c>
      <c r="G125" s="684">
        <f>Allocation!$D$17</f>
        <v>0.48899999999999999</v>
      </c>
      <c r="H125" s="707">
        <f>D125*E125*F125*G125</f>
        <v>0</v>
      </c>
    </row>
    <row r="126" spans="1:14">
      <c r="A126" s="605">
        <f t="shared" si="9"/>
        <v>112</v>
      </c>
      <c r="B126" s="294">
        <v>30300</v>
      </c>
      <c r="C126" s="4" t="s">
        <v>515</v>
      </c>
      <c r="D126" s="709">
        <v>0</v>
      </c>
      <c r="E126" s="267">
        <v>1</v>
      </c>
      <c r="F126" s="708">
        <f>$F$16</f>
        <v>1</v>
      </c>
      <c r="G126" s="360">
        <f>$G$125</f>
        <v>0.48899999999999999</v>
      </c>
      <c r="H126" s="711">
        <f>D126*E126*F126*G126</f>
        <v>0</v>
      </c>
    </row>
    <row r="127" spans="1:14">
      <c r="A127" s="605">
        <f t="shared" si="9"/>
        <v>113</v>
      </c>
      <c r="B127" s="294"/>
      <c r="C127" s="4"/>
      <c r="D127" s="339"/>
      <c r="F127" s="37"/>
      <c r="G127" s="37"/>
    </row>
    <row r="128" spans="1:14">
      <c r="A128" s="605">
        <f t="shared" si="9"/>
        <v>114</v>
      </c>
      <c r="B128" s="382"/>
      <c r="C128" s="4" t="s">
        <v>1263</v>
      </c>
      <c r="D128" s="707">
        <f>SUM(D125:D127)</f>
        <v>0</v>
      </c>
      <c r="E128" s="383"/>
      <c r="F128" s="266"/>
      <c r="G128" s="266"/>
      <c r="H128" s="707">
        <f>SUM(H125:H127)</f>
        <v>0</v>
      </c>
    </row>
    <row r="129" spans="1:15">
      <c r="A129" s="605">
        <f t="shared" si="9"/>
        <v>115</v>
      </c>
      <c r="B129" s="561"/>
      <c r="F129" s="37"/>
      <c r="G129" s="37"/>
    </row>
    <row r="130" spans="1:15">
      <c r="A130" s="605">
        <f t="shared" si="9"/>
        <v>116</v>
      </c>
      <c r="B130" s="382"/>
      <c r="C130" s="16" t="s">
        <v>290</v>
      </c>
      <c r="F130" s="37"/>
      <c r="G130" s="37"/>
    </row>
    <row r="131" spans="1:15">
      <c r="A131" s="605">
        <f t="shared" si="9"/>
        <v>117</v>
      </c>
      <c r="B131" s="294">
        <v>37400</v>
      </c>
      <c r="C131" s="4" t="s">
        <v>1105</v>
      </c>
      <c r="D131" s="203">
        <v>0</v>
      </c>
      <c r="E131" s="267">
        <v>1</v>
      </c>
      <c r="F131" s="708">
        <f t="shared" ref="F131:F151" si="13">$F$16</f>
        <v>1</v>
      </c>
      <c r="G131" s="360">
        <f t="shared" ref="G131:G151" si="14">$G$125</f>
        <v>0.48899999999999999</v>
      </c>
      <c r="H131" s="707">
        <f>D131*E131*F131*G131</f>
        <v>0</v>
      </c>
    </row>
    <row r="132" spans="1:15">
      <c r="A132" s="605">
        <f t="shared" si="9"/>
        <v>118</v>
      </c>
      <c r="B132" s="294">
        <v>35010</v>
      </c>
      <c r="C132" s="4" t="s">
        <v>283</v>
      </c>
      <c r="D132" s="248">
        <v>0</v>
      </c>
      <c r="E132" s="267">
        <v>1</v>
      </c>
      <c r="F132" s="708">
        <f t="shared" si="13"/>
        <v>1</v>
      </c>
      <c r="G132" s="360">
        <f t="shared" si="14"/>
        <v>0.48899999999999999</v>
      </c>
      <c r="H132" s="345">
        <f t="shared" ref="H132:H151" si="15">D132*E132*F132*G132</f>
        <v>0</v>
      </c>
    </row>
    <row r="133" spans="1:15">
      <c r="A133" s="605">
        <f t="shared" si="9"/>
        <v>119</v>
      </c>
      <c r="B133" s="294">
        <v>37402</v>
      </c>
      <c r="C133" s="4" t="s">
        <v>963</v>
      </c>
      <c r="D133" s="248">
        <v>0</v>
      </c>
      <c r="E133" s="267">
        <v>1</v>
      </c>
      <c r="F133" s="708">
        <f t="shared" si="13"/>
        <v>1</v>
      </c>
      <c r="G133" s="360">
        <f t="shared" si="14"/>
        <v>0.48899999999999999</v>
      </c>
      <c r="H133" s="345">
        <f t="shared" si="15"/>
        <v>0</v>
      </c>
    </row>
    <row r="134" spans="1:15">
      <c r="A134" s="605">
        <f t="shared" si="9"/>
        <v>120</v>
      </c>
      <c r="B134" s="294">
        <v>37403</v>
      </c>
      <c r="C134" s="4" t="s">
        <v>960</v>
      </c>
      <c r="D134" s="248">
        <v>0</v>
      </c>
      <c r="E134" s="267">
        <v>1</v>
      </c>
      <c r="F134" s="708">
        <f t="shared" si="13"/>
        <v>1</v>
      </c>
      <c r="G134" s="360">
        <f t="shared" si="14"/>
        <v>0.48899999999999999</v>
      </c>
      <c r="H134" s="345">
        <f t="shared" si="15"/>
        <v>0</v>
      </c>
      <c r="O134" s="4"/>
    </row>
    <row r="135" spans="1:15">
      <c r="A135" s="605">
        <f t="shared" si="9"/>
        <v>121</v>
      </c>
      <c r="B135" s="294">
        <v>36602</v>
      </c>
      <c r="C135" s="4" t="s">
        <v>825</v>
      </c>
      <c r="D135" s="248">
        <v>0</v>
      </c>
      <c r="E135" s="267">
        <v>1</v>
      </c>
      <c r="F135" s="708">
        <f t="shared" si="13"/>
        <v>1</v>
      </c>
      <c r="G135" s="360">
        <f t="shared" si="14"/>
        <v>0.48899999999999999</v>
      </c>
      <c r="H135" s="345">
        <f t="shared" si="15"/>
        <v>0</v>
      </c>
    </row>
    <row r="136" spans="1:15">
      <c r="A136" s="605">
        <f t="shared" si="9"/>
        <v>122</v>
      </c>
      <c r="B136" s="294">
        <v>37501</v>
      </c>
      <c r="C136" s="4" t="s">
        <v>961</v>
      </c>
      <c r="D136" s="248">
        <v>0</v>
      </c>
      <c r="E136" s="267">
        <v>1</v>
      </c>
      <c r="F136" s="708">
        <f t="shared" si="13"/>
        <v>1</v>
      </c>
      <c r="G136" s="360">
        <f t="shared" si="14"/>
        <v>0.48899999999999999</v>
      </c>
      <c r="H136" s="345">
        <f t="shared" si="15"/>
        <v>0</v>
      </c>
      <c r="O136" s="294"/>
    </row>
    <row r="137" spans="1:15">
      <c r="A137" s="605">
        <f t="shared" si="9"/>
        <v>123</v>
      </c>
      <c r="B137" s="294">
        <v>37402</v>
      </c>
      <c r="C137" s="4" t="s">
        <v>963</v>
      </c>
      <c r="D137" s="248">
        <v>0</v>
      </c>
      <c r="E137" s="267">
        <v>1</v>
      </c>
      <c r="F137" s="708">
        <f t="shared" si="13"/>
        <v>1</v>
      </c>
      <c r="G137" s="360">
        <f t="shared" si="14"/>
        <v>0.48899999999999999</v>
      </c>
      <c r="H137" s="345">
        <f t="shared" si="15"/>
        <v>0</v>
      </c>
    </row>
    <row r="138" spans="1:15">
      <c r="A138" s="605">
        <f t="shared" si="9"/>
        <v>124</v>
      </c>
      <c r="B138" s="294">
        <v>37503</v>
      </c>
      <c r="C138" s="4" t="s">
        <v>962</v>
      </c>
      <c r="D138" s="248">
        <v>0</v>
      </c>
      <c r="E138" s="267">
        <v>1</v>
      </c>
      <c r="F138" s="708">
        <f t="shared" si="13"/>
        <v>1</v>
      </c>
      <c r="G138" s="360">
        <f t="shared" si="14"/>
        <v>0.48899999999999999</v>
      </c>
      <c r="H138" s="345">
        <f t="shared" si="15"/>
        <v>0</v>
      </c>
      <c r="O138" s="294"/>
    </row>
    <row r="139" spans="1:15">
      <c r="A139" s="605">
        <f t="shared" si="9"/>
        <v>125</v>
      </c>
      <c r="B139" s="294">
        <v>36700</v>
      </c>
      <c r="C139" s="4" t="s">
        <v>813</v>
      </c>
      <c r="D139" s="248">
        <v>0</v>
      </c>
      <c r="E139" s="267">
        <v>1</v>
      </c>
      <c r="F139" s="708">
        <f t="shared" si="13"/>
        <v>1</v>
      </c>
      <c r="G139" s="360">
        <f t="shared" si="14"/>
        <v>0.48899999999999999</v>
      </c>
      <c r="H139" s="345">
        <f t="shared" si="15"/>
        <v>0</v>
      </c>
    </row>
    <row r="140" spans="1:15">
      <c r="A140" s="605">
        <f t="shared" si="9"/>
        <v>126</v>
      </c>
      <c r="B140" s="294">
        <v>36701</v>
      </c>
      <c r="C140" s="4" t="s">
        <v>15</v>
      </c>
      <c r="D140" s="248">
        <v>0</v>
      </c>
      <c r="E140" s="267">
        <v>1</v>
      </c>
      <c r="F140" s="708">
        <f t="shared" si="13"/>
        <v>1</v>
      </c>
      <c r="G140" s="360">
        <f t="shared" si="14"/>
        <v>0.48899999999999999</v>
      </c>
      <c r="H140" s="345">
        <f t="shared" si="15"/>
        <v>0</v>
      </c>
    </row>
    <row r="141" spans="1:15">
      <c r="A141" s="605">
        <f t="shared" si="9"/>
        <v>127</v>
      </c>
      <c r="B141" s="294">
        <v>37602</v>
      </c>
      <c r="C141" s="4" t="s">
        <v>814</v>
      </c>
      <c r="D141" s="248">
        <v>0</v>
      </c>
      <c r="E141" s="267">
        <v>1</v>
      </c>
      <c r="F141" s="708">
        <f t="shared" si="13"/>
        <v>1</v>
      </c>
      <c r="G141" s="360">
        <f t="shared" si="14"/>
        <v>0.48899999999999999</v>
      </c>
      <c r="H141" s="345">
        <f t="shared" si="15"/>
        <v>0</v>
      </c>
    </row>
    <row r="142" spans="1:15">
      <c r="A142" s="605">
        <f t="shared" si="9"/>
        <v>128</v>
      </c>
      <c r="B142" s="294">
        <v>37800</v>
      </c>
      <c r="C142" s="4" t="s">
        <v>221</v>
      </c>
      <c r="D142" s="248">
        <v>0</v>
      </c>
      <c r="E142" s="267">
        <v>1</v>
      </c>
      <c r="F142" s="708">
        <f t="shared" si="13"/>
        <v>1</v>
      </c>
      <c r="G142" s="360">
        <f t="shared" si="14"/>
        <v>0.48899999999999999</v>
      </c>
      <c r="H142" s="345">
        <f t="shared" si="15"/>
        <v>0</v>
      </c>
      <c r="M142" s="388"/>
      <c r="N142" s="386"/>
    </row>
    <row r="143" spans="1:15">
      <c r="A143" s="605">
        <f t="shared" si="9"/>
        <v>129</v>
      </c>
      <c r="B143" s="294">
        <v>37900</v>
      </c>
      <c r="C143" s="4" t="s">
        <v>1148</v>
      </c>
      <c r="D143" s="248">
        <v>0</v>
      </c>
      <c r="E143" s="267">
        <v>1</v>
      </c>
      <c r="F143" s="708">
        <f t="shared" si="13"/>
        <v>1</v>
      </c>
      <c r="G143" s="360">
        <f t="shared" si="14"/>
        <v>0.48899999999999999</v>
      </c>
      <c r="H143" s="345">
        <f t="shared" si="15"/>
        <v>0</v>
      </c>
    </row>
    <row r="144" spans="1:15">
      <c r="A144" s="605">
        <f t="shared" si="9"/>
        <v>130</v>
      </c>
      <c r="B144" s="294">
        <v>37905</v>
      </c>
      <c r="C144" s="4" t="s">
        <v>698</v>
      </c>
      <c r="D144" s="248">
        <v>0</v>
      </c>
      <c r="E144" s="267">
        <v>1</v>
      </c>
      <c r="F144" s="708">
        <f t="shared" si="13"/>
        <v>1</v>
      </c>
      <c r="G144" s="360">
        <f t="shared" si="14"/>
        <v>0.48899999999999999</v>
      </c>
      <c r="H144" s="345">
        <f t="shared" si="15"/>
        <v>0</v>
      </c>
      <c r="M144" s="385"/>
      <c r="N144" s="387"/>
    </row>
    <row r="145" spans="1:14">
      <c r="A145" s="605">
        <f t="shared" si="9"/>
        <v>131</v>
      </c>
      <c r="B145" s="294">
        <v>38000</v>
      </c>
      <c r="C145" s="4" t="s">
        <v>1013</v>
      </c>
      <c r="D145" s="248">
        <v>0</v>
      </c>
      <c r="E145" s="267">
        <v>1</v>
      </c>
      <c r="F145" s="708">
        <f t="shared" si="13"/>
        <v>1</v>
      </c>
      <c r="G145" s="360">
        <f t="shared" si="14"/>
        <v>0.48899999999999999</v>
      </c>
      <c r="H145" s="345">
        <f t="shared" si="15"/>
        <v>0</v>
      </c>
    </row>
    <row r="146" spans="1:14">
      <c r="A146" s="605">
        <f t="shared" si="9"/>
        <v>132</v>
      </c>
      <c r="B146" s="294">
        <v>38100</v>
      </c>
      <c r="C146" s="4" t="s">
        <v>815</v>
      </c>
      <c r="D146" s="248">
        <v>0</v>
      </c>
      <c r="E146" s="267">
        <v>1</v>
      </c>
      <c r="F146" s="708">
        <f t="shared" si="13"/>
        <v>1</v>
      </c>
      <c r="G146" s="360">
        <f t="shared" si="14"/>
        <v>0.48899999999999999</v>
      </c>
      <c r="H146" s="345">
        <f t="shared" si="15"/>
        <v>0</v>
      </c>
      <c r="M146" s="385"/>
      <c r="N146" s="386"/>
    </row>
    <row r="147" spans="1:14">
      <c r="A147" s="605">
        <f t="shared" si="9"/>
        <v>133</v>
      </c>
      <c r="B147" s="294">
        <v>38200</v>
      </c>
      <c r="C147" s="4" t="s">
        <v>420</v>
      </c>
      <c r="D147" s="248">
        <v>0</v>
      </c>
      <c r="E147" s="267">
        <v>1</v>
      </c>
      <c r="F147" s="708">
        <f t="shared" si="13"/>
        <v>1</v>
      </c>
      <c r="G147" s="360">
        <f t="shared" si="14"/>
        <v>0.48899999999999999</v>
      </c>
      <c r="H147" s="345">
        <f t="shared" si="15"/>
        <v>0</v>
      </c>
    </row>
    <row r="148" spans="1:14">
      <c r="A148" s="605">
        <f t="shared" ref="A148:A211" si="16">A147+1</f>
        <v>134</v>
      </c>
      <c r="B148" s="294">
        <v>38300</v>
      </c>
      <c r="C148" s="4" t="s">
        <v>1014</v>
      </c>
      <c r="D148" s="248">
        <v>0</v>
      </c>
      <c r="E148" s="267">
        <v>1</v>
      </c>
      <c r="F148" s="708">
        <f t="shared" si="13"/>
        <v>1</v>
      </c>
      <c r="G148" s="360">
        <f t="shared" si="14"/>
        <v>0.48899999999999999</v>
      </c>
      <c r="H148" s="345">
        <f t="shared" si="15"/>
        <v>0</v>
      </c>
      <c r="M148" s="385"/>
      <c r="N148" s="386"/>
    </row>
    <row r="149" spans="1:14">
      <c r="A149" s="605">
        <f t="shared" si="16"/>
        <v>135</v>
      </c>
      <c r="B149" s="294">
        <v>38400</v>
      </c>
      <c r="C149" s="4" t="s">
        <v>421</v>
      </c>
      <c r="D149" s="248">
        <v>0</v>
      </c>
      <c r="E149" s="267">
        <v>1</v>
      </c>
      <c r="F149" s="708">
        <f t="shared" si="13"/>
        <v>1</v>
      </c>
      <c r="G149" s="360">
        <f t="shared" si="14"/>
        <v>0.48899999999999999</v>
      </c>
      <c r="H149" s="345">
        <f t="shared" si="15"/>
        <v>0</v>
      </c>
    </row>
    <row r="150" spans="1:14">
      <c r="A150" s="605">
        <f t="shared" si="16"/>
        <v>136</v>
      </c>
      <c r="B150" s="294">
        <v>38500</v>
      </c>
      <c r="C150" s="4" t="s">
        <v>422</v>
      </c>
      <c r="D150" s="248">
        <v>0</v>
      </c>
      <c r="E150" s="267">
        <v>1</v>
      </c>
      <c r="F150" s="708">
        <f t="shared" si="13"/>
        <v>1</v>
      </c>
      <c r="G150" s="360">
        <f t="shared" si="14"/>
        <v>0.48899999999999999</v>
      </c>
      <c r="H150" s="345">
        <f t="shared" si="15"/>
        <v>0</v>
      </c>
    </row>
    <row r="151" spans="1:14">
      <c r="A151" s="605">
        <f t="shared" si="16"/>
        <v>137</v>
      </c>
      <c r="B151" s="294">
        <v>38600</v>
      </c>
      <c r="C151" s="4" t="s">
        <v>101</v>
      </c>
      <c r="D151" s="549">
        <v>0</v>
      </c>
      <c r="E151" s="267">
        <v>1</v>
      </c>
      <c r="F151" s="708">
        <f t="shared" si="13"/>
        <v>1</v>
      </c>
      <c r="G151" s="360">
        <f t="shared" si="14"/>
        <v>0.48899999999999999</v>
      </c>
      <c r="H151" s="711">
        <f t="shared" si="15"/>
        <v>0</v>
      </c>
    </row>
    <row r="152" spans="1:14">
      <c r="A152" s="605">
        <f t="shared" si="16"/>
        <v>138</v>
      </c>
      <c r="B152" s="294"/>
      <c r="C152" s="4"/>
      <c r="F152" s="37"/>
      <c r="G152" s="37"/>
    </row>
    <row r="153" spans="1:14">
      <c r="A153" s="605">
        <f t="shared" si="16"/>
        <v>139</v>
      </c>
      <c r="B153" s="294"/>
      <c r="C153" s="4" t="s">
        <v>1262</v>
      </c>
      <c r="D153" s="707">
        <f>SUM(D131:D152)</f>
        <v>0</v>
      </c>
      <c r="E153" s="383"/>
      <c r="F153" s="37"/>
      <c r="G153" s="37"/>
      <c r="H153" s="707">
        <f>SUM(H131:H152)</f>
        <v>0</v>
      </c>
    </row>
    <row r="154" spans="1:14">
      <c r="A154" s="605">
        <f t="shared" si="16"/>
        <v>140</v>
      </c>
      <c r="B154" s="294"/>
      <c r="C154" s="4"/>
      <c r="F154" s="37"/>
      <c r="G154" s="37"/>
    </row>
    <row r="155" spans="1:14">
      <c r="A155" s="605">
        <f t="shared" si="16"/>
        <v>141</v>
      </c>
      <c r="B155" s="382"/>
      <c r="C155" s="16" t="s">
        <v>292</v>
      </c>
      <c r="F155" s="37"/>
      <c r="G155" s="37"/>
    </row>
    <row r="156" spans="1:14">
      <c r="A156" s="605">
        <f t="shared" si="16"/>
        <v>142</v>
      </c>
      <c r="B156" s="294">
        <v>39001</v>
      </c>
      <c r="C156" s="4" t="s">
        <v>1451</v>
      </c>
      <c r="D156" s="720">
        <v>7890.8948799999989</v>
      </c>
      <c r="E156" s="267">
        <v>1</v>
      </c>
      <c r="F156" s="708">
        <f t="shared" ref="F156:F176" si="17">$F$16</f>
        <v>1</v>
      </c>
      <c r="G156" s="360">
        <f t="shared" ref="G156:G176" si="18">$G$125</f>
        <v>0.48899999999999999</v>
      </c>
      <c r="H156" s="707">
        <f t="shared" ref="H156:H176" si="19">D156*E156*F156*G156</f>
        <v>3858.6475963199996</v>
      </c>
      <c r="N156" s="267"/>
    </row>
    <row r="157" spans="1:14">
      <c r="A157" s="605">
        <f t="shared" si="16"/>
        <v>143</v>
      </c>
      <c r="B157" s="294">
        <v>39004</v>
      </c>
      <c r="C157" s="4" t="s">
        <v>1435</v>
      </c>
      <c r="D157" s="709">
        <v>312.29337299999997</v>
      </c>
      <c r="E157" s="267">
        <v>1</v>
      </c>
      <c r="F157" s="708">
        <f t="shared" si="17"/>
        <v>1</v>
      </c>
      <c r="G157" s="360">
        <f t="shared" si="18"/>
        <v>0.48899999999999999</v>
      </c>
      <c r="H157" s="345">
        <f t="shared" si="19"/>
        <v>152.71145939699997</v>
      </c>
      <c r="N157" s="267"/>
    </row>
    <row r="158" spans="1:14">
      <c r="A158" s="605">
        <f t="shared" si="16"/>
        <v>144</v>
      </c>
      <c r="B158" s="294">
        <v>39009</v>
      </c>
      <c r="C158" s="4" t="s">
        <v>1436</v>
      </c>
      <c r="D158" s="709">
        <v>0</v>
      </c>
      <c r="E158" s="267">
        <v>1</v>
      </c>
      <c r="F158" s="708">
        <f t="shared" si="17"/>
        <v>1</v>
      </c>
      <c r="G158" s="360">
        <f t="shared" si="18"/>
        <v>0.48899999999999999</v>
      </c>
      <c r="H158" s="345">
        <f t="shared" si="19"/>
        <v>0</v>
      </c>
      <c r="N158" s="267"/>
    </row>
    <row r="159" spans="1:14">
      <c r="A159" s="605">
        <f t="shared" si="16"/>
        <v>145</v>
      </c>
      <c r="B159" s="294">
        <v>39100</v>
      </c>
      <c r="C159" s="4" t="s">
        <v>1437</v>
      </c>
      <c r="D159" s="709">
        <v>1731.465899</v>
      </c>
      <c r="E159" s="267">
        <v>1</v>
      </c>
      <c r="F159" s="708">
        <f t="shared" si="17"/>
        <v>1</v>
      </c>
      <c r="G159" s="360">
        <f t="shared" si="18"/>
        <v>0.48899999999999999</v>
      </c>
      <c r="H159" s="345">
        <f t="shared" si="19"/>
        <v>846.68682461100002</v>
      </c>
      <c r="N159" s="267"/>
    </row>
    <row r="160" spans="1:14">
      <c r="A160" s="605">
        <f t="shared" si="16"/>
        <v>146</v>
      </c>
      <c r="B160" s="294">
        <v>39101</v>
      </c>
      <c r="C160" s="4" t="s">
        <v>1408</v>
      </c>
      <c r="D160" s="709">
        <v>0</v>
      </c>
      <c r="E160" s="267">
        <v>1</v>
      </c>
      <c r="F160" s="708">
        <f t="shared" si="17"/>
        <v>1</v>
      </c>
      <c r="G160" s="360">
        <f t="shared" si="18"/>
        <v>0.48899999999999999</v>
      </c>
      <c r="H160" s="345">
        <f t="shared" si="19"/>
        <v>0</v>
      </c>
      <c r="K160" s="375"/>
      <c r="N160" s="267"/>
    </row>
    <row r="161" spans="1:14">
      <c r="A161" s="605">
        <f t="shared" si="16"/>
        <v>147</v>
      </c>
      <c r="B161" s="294">
        <v>39103</v>
      </c>
      <c r="C161" s="4" t="s">
        <v>750</v>
      </c>
      <c r="D161" s="709">
        <v>0</v>
      </c>
      <c r="E161" s="267">
        <v>1</v>
      </c>
      <c r="F161" s="708">
        <f t="shared" si="17"/>
        <v>1</v>
      </c>
      <c r="G161" s="360">
        <f t="shared" si="18"/>
        <v>0.48899999999999999</v>
      </c>
      <c r="H161" s="345">
        <f t="shared" si="19"/>
        <v>0</v>
      </c>
      <c r="K161" s="375"/>
      <c r="N161" s="267"/>
    </row>
    <row r="162" spans="1:14">
      <c r="A162" s="605">
        <f t="shared" si="16"/>
        <v>148</v>
      </c>
      <c r="B162" s="294">
        <v>39200</v>
      </c>
      <c r="C162" s="4" t="s">
        <v>1452</v>
      </c>
      <c r="D162" s="709">
        <v>373.57082100000019</v>
      </c>
      <c r="E162" s="1008">
        <v>0.331118615276075</v>
      </c>
      <c r="F162" s="708">
        <f t="shared" si="17"/>
        <v>1</v>
      </c>
      <c r="G162" s="360">
        <f t="shared" si="18"/>
        <v>0.48899999999999999</v>
      </c>
      <c r="H162" s="345">
        <f t="shared" si="19"/>
        <v>60.487467696005538</v>
      </c>
      <c r="K162" s="375"/>
      <c r="N162" s="267"/>
    </row>
    <row r="163" spans="1:14">
      <c r="A163" s="605">
        <f t="shared" si="16"/>
        <v>149</v>
      </c>
      <c r="B163" s="294">
        <v>39300</v>
      </c>
      <c r="C163" s="4" t="s">
        <v>622</v>
      </c>
      <c r="D163" s="709">
        <v>0</v>
      </c>
      <c r="E163" s="267">
        <v>1</v>
      </c>
      <c r="F163" s="708">
        <f t="shared" si="17"/>
        <v>1</v>
      </c>
      <c r="G163" s="360">
        <f t="shared" si="18"/>
        <v>0.48899999999999999</v>
      </c>
      <c r="H163" s="345">
        <f t="shared" si="19"/>
        <v>0</v>
      </c>
      <c r="K163" s="375"/>
      <c r="N163" s="267"/>
    </row>
    <row r="164" spans="1:14">
      <c r="A164" s="605">
        <f t="shared" si="16"/>
        <v>150</v>
      </c>
      <c r="B164" s="294">
        <v>39400</v>
      </c>
      <c r="C164" s="4" t="s">
        <v>1440</v>
      </c>
      <c r="D164" s="709">
        <v>6712.8498779999982</v>
      </c>
      <c r="E164" s="1008">
        <v>0.41743684283511839</v>
      </c>
      <c r="F164" s="708">
        <f t="shared" si="17"/>
        <v>1</v>
      </c>
      <c r="G164" s="360">
        <f t="shared" si="18"/>
        <v>0.48899999999999999</v>
      </c>
      <c r="H164" s="345">
        <f t="shared" si="19"/>
        <v>1370.2713302947316</v>
      </c>
      <c r="K164" s="375"/>
      <c r="N164" s="267"/>
    </row>
    <row r="165" spans="1:14">
      <c r="A165" s="605">
        <f t="shared" si="16"/>
        <v>151</v>
      </c>
      <c r="B165" s="294">
        <v>39600</v>
      </c>
      <c r="C165" s="4" t="s">
        <v>1453</v>
      </c>
      <c r="D165" s="709">
        <v>985.76607999999976</v>
      </c>
      <c r="E165" s="1008">
        <v>1.9953446269235564E-2</v>
      </c>
      <c r="F165" s="708">
        <f t="shared" si="17"/>
        <v>1</v>
      </c>
      <c r="G165" s="360">
        <f t="shared" si="18"/>
        <v>0.48899999999999999</v>
      </c>
      <c r="H165" s="345">
        <f t="shared" si="19"/>
        <v>9.6183515200330163</v>
      </c>
      <c r="K165" s="375"/>
      <c r="N165" s="267"/>
    </row>
    <row r="166" spans="1:14">
      <c r="A166" s="605">
        <f t="shared" si="16"/>
        <v>152</v>
      </c>
      <c r="B166" s="294">
        <v>39700</v>
      </c>
      <c r="C166" s="4" t="s">
        <v>1444</v>
      </c>
      <c r="D166" s="709">
        <v>0</v>
      </c>
      <c r="E166" s="267">
        <v>1</v>
      </c>
      <c r="F166" s="708">
        <f t="shared" si="17"/>
        <v>1</v>
      </c>
      <c r="G166" s="360">
        <f t="shared" si="18"/>
        <v>0.48899999999999999</v>
      </c>
      <c r="H166" s="345">
        <f t="shared" si="19"/>
        <v>0</v>
      </c>
      <c r="K166" s="375"/>
      <c r="N166" s="267"/>
    </row>
    <row r="167" spans="1:14">
      <c r="A167" s="605">
        <f t="shared" si="16"/>
        <v>153</v>
      </c>
      <c r="B167" s="294">
        <v>39701</v>
      </c>
      <c r="C167" s="4" t="s">
        <v>1405</v>
      </c>
      <c r="D167" s="709">
        <v>0</v>
      </c>
      <c r="E167" s="267">
        <v>1</v>
      </c>
      <c r="F167" s="708">
        <f t="shared" si="17"/>
        <v>1</v>
      </c>
      <c r="G167" s="360">
        <f t="shared" si="18"/>
        <v>0.48899999999999999</v>
      </c>
      <c r="H167" s="345">
        <f t="shared" si="19"/>
        <v>0</v>
      </c>
      <c r="K167" s="375"/>
      <c r="N167" s="267"/>
    </row>
    <row r="168" spans="1:14">
      <c r="A168" s="605">
        <f t="shared" si="16"/>
        <v>154</v>
      </c>
      <c r="B168" s="382">
        <v>39702</v>
      </c>
      <c r="C168" s="4" t="s">
        <v>1405</v>
      </c>
      <c r="D168" s="709">
        <v>0</v>
      </c>
      <c r="E168" s="267">
        <v>1</v>
      </c>
      <c r="F168" s="708">
        <f t="shared" si="17"/>
        <v>1</v>
      </c>
      <c r="G168" s="360">
        <f t="shared" si="18"/>
        <v>0.48899999999999999</v>
      </c>
      <c r="H168" s="345">
        <f t="shared" si="19"/>
        <v>0</v>
      </c>
      <c r="N168" s="267"/>
    </row>
    <row r="169" spans="1:14">
      <c r="A169" s="605">
        <f t="shared" si="16"/>
        <v>155</v>
      </c>
      <c r="B169" s="382">
        <v>39800</v>
      </c>
      <c r="C169" s="4" t="s">
        <v>1446</v>
      </c>
      <c r="D169" s="709">
        <v>0</v>
      </c>
      <c r="E169" s="267">
        <v>1</v>
      </c>
      <c r="F169" s="708">
        <f t="shared" si="17"/>
        <v>1</v>
      </c>
      <c r="G169" s="360">
        <f t="shared" si="18"/>
        <v>0.48899999999999999</v>
      </c>
      <c r="H169" s="345">
        <f t="shared" si="19"/>
        <v>0</v>
      </c>
      <c r="N169" s="267"/>
    </row>
    <row r="170" spans="1:14">
      <c r="A170" s="605">
        <f t="shared" si="16"/>
        <v>156</v>
      </c>
      <c r="B170" s="382">
        <v>39900</v>
      </c>
      <c r="C170" s="4" t="s">
        <v>1454</v>
      </c>
      <c r="D170" s="709">
        <v>0</v>
      </c>
      <c r="E170" s="267">
        <v>1</v>
      </c>
      <c r="F170" s="708">
        <f t="shared" si="17"/>
        <v>1</v>
      </c>
      <c r="G170" s="360">
        <f t="shared" si="18"/>
        <v>0.48899999999999999</v>
      </c>
      <c r="H170" s="345">
        <f t="shared" si="19"/>
        <v>0</v>
      </c>
      <c r="N170" s="267"/>
    </row>
    <row r="171" spans="1:14">
      <c r="A171" s="605">
        <f t="shared" si="16"/>
        <v>157</v>
      </c>
      <c r="B171" s="382">
        <v>39901</v>
      </c>
      <c r="C171" s="4" t="s">
        <v>1455</v>
      </c>
      <c r="D171" s="709">
        <v>0</v>
      </c>
      <c r="E171" s="267">
        <v>1</v>
      </c>
      <c r="F171" s="708">
        <f t="shared" si="17"/>
        <v>1</v>
      </c>
      <c r="G171" s="360">
        <f t="shared" si="18"/>
        <v>0.48899999999999999</v>
      </c>
      <c r="H171" s="345">
        <f t="shared" si="19"/>
        <v>0</v>
      </c>
      <c r="N171" s="267"/>
    </row>
    <row r="172" spans="1:14">
      <c r="A172" s="605">
        <f t="shared" si="16"/>
        <v>158</v>
      </c>
      <c r="B172" s="382">
        <v>39902</v>
      </c>
      <c r="C172" s="4" t="s">
        <v>1456</v>
      </c>
      <c r="D172" s="709">
        <v>0</v>
      </c>
      <c r="E172" s="267">
        <v>1</v>
      </c>
      <c r="F172" s="708">
        <f t="shared" si="17"/>
        <v>1</v>
      </c>
      <c r="G172" s="360">
        <f t="shared" si="18"/>
        <v>0.48899999999999999</v>
      </c>
      <c r="H172" s="345">
        <f t="shared" si="19"/>
        <v>0</v>
      </c>
      <c r="N172" s="267"/>
    </row>
    <row r="173" spans="1:14">
      <c r="A173" s="605">
        <f t="shared" si="16"/>
        <v>159</v>
      </c>
      <c r="B173" s="382">
        <v>39903</v>
      </c>
      <c r="C173" s="4" t="s">
        <v>1447</v>
      </c>
      <c r="D173" s="709">
        <v>3106.4817560000006</v>
      </c>
      <c r="E173" s="267">
        <v>1</v>
      </c>
      <c r="F173" s="708">
        <f t="shared" si="17"/>
        <v>1</v>
      </c>
      <c r="G173" s="360">
        <f t="shared" si="18"/>
        <v>0.48899999999999999</v>
      </c>
      <c r="H173" s="345">
        <f t="shared" si="19"/>
        <v>1519.0695786840004</v>
      </c>
      <c r="N173" s="267"/>
    </row>
    <row r="174" spans="1:14">
      <c r="A174" s="605">
        <f t="shared" si="16"/>
        <v>160</v>
      </c>
      <c r="B174" s="382">
        <v>39906</v>
      </c>
      <c r="C174" s="4" t="s">
        <v>1448</v>
      </c>
      <c r="D174" s="709">
        <v>0</v>
      </c>
      <c r="E174" s="267">
        <v>1</v>
      </c>
      <c r="F174" s="708">
        <f t="shared" si="17"/>
        <v>1</v>
      </c>
      <c r="G174" s="360">
        <f t="shared" si="18"/>
        <v>0.48899999999999999</v>
      </c>
      <c r="H174" s="345">
        <f t="shared" si="19"/>
        <v>0</v>
      </c>
      <c r="N174" s="267"/>
    </row>
    <row r="175" spans="1:14">
      <c r="A175" s="605">
        <f t="shared" si="16"/>
        <v>161</v>
      </c>
      <c r="B175" s="382">
        <v>39907</v>
      </c>
      <c r="C175" s="4" t="s">
        <v>1449</v>
      </c>
      <c r="D175" s="709">
        <v>0</v>
      </c>
      <c r="E175" s="267">
        <v>1</v>
      </c>
      <c r="F175" s="708">
        <f t="shared" si="17"/>
        <v>1</v>
      </c>
      <c r="G175" s="360">
        <f t="shared" si="18"/>
        <v>0.48899999999999999</v>
      </c>
      <c r="H175" s="345">
        <f t="shared" si="19"/>
        <v>0</v>
      </c>
      <c r="N175" s="267"/>
    </row>
    <row r="176" spans="1:14">
      <c r="A176" s="605">
        <f t="shared" si="16"/>
        <v>162</v>
      </c>
      <c r="B176" s="382">
        <v>39908</v>
      </c>
      <c r="C176" s="4" t="s">
        <v>1450</v>
      </c>
      <c r="D176" s="709">
        <v>0</v>
      </c>
      <c r="E176" s="267">
        <v>1</v>
      </c>
      <c r="F176" s="708">
        <f t="shared" si="17"/>
        <v>1</v>
      </c>
      <c r="G176" s="360">
        <f t="shared" si="18"/>
        <v>0.48899999999999999</v>
      </c>
      <c r="H176" s="345">
        <f t="shared" si="19"/>
        <v>0</v>
      </c>
      <c r="N176" s="267"/>
    </row>
    <row r="177" spans="1:14">
      <c r="A177" s="605">
        <f t="shared" si="16"/>
        <v>163</v>
      </c>
      <c r="B177" s="382"/>
      <c r="C177" s="4"/>
      <c r="D177" s="248"/>
      <c r="E177" s="267"/>
      <c r="F177" s="266"/>
      <c r="G177" s="267"/>
      <c r="H177" s="248"/>
    </row>
    <row r="178" spans="1:14">
      <c r="A178" s="605">
        <f t="shared" si="16"/>
        <v>164</v>
      </c>
      <c r="B178" s="228"/>
      <c r="C178" s="4"/>
      <c r="D178" s="339"/>
      <c r="F178" s="37"/>
      <c r="G178" s="37"/>
      <c r="H178" s="339"/>
    </row>
    <row r="179" spans="1:14">
      <c r="A179" s="605">
        <f t="shared" si="16"/>
        <v>165</v>
      </c>
      <c r="B179" s="228"/>
      <c r="C179" s="4" t="s">
        <v>1261</v>
      </c>
      <c r="D179" s="707">
        <f>SUM(D156:D177)</f>
        <v>21113.322687</v>
      </c>
      <c r="E179" s="563"/>
      <c r="F179" s="37"/>
      <c r="G179" s="37"/>
      <c r="H179" s="707">
        <f>SUM(H156:H177)</f>
        <v>7817.4926085227698</v>
      </c>
    </row>
    <row r="180" spans="1:14">
      <c r="A180" s="605">
        <f t="shared" si="16"/>
        <v>166</v>
      </c>
      <c r="B180" s="228"/>
      <c r="C180" s="4"/>
      <c r="F180" s="37"/>
      <c r="G180" s="37"/>
    </row>
    <row r="181" spans="1:14" ht="15.75" thickBot="1">
      <c r="A181" s="605">
        <f t="shared" si="16"/>
        <v>167</v>
      </c>
      <c r="B181" s="228"/>
      <c r="C181" s="4" t="s">
        <v>1257</v>
      </c>
      <c r="D181" s="712">
        <f>D128+D153+D179</f>
        <v>21113.322687</v>
      </c>
      <c r="E181" s="563"/>
      <c r="F181" s="37"/>
      <c r="G181" s="37"/>
      <c r="H181" s="712">
        <f>H128+H153+H179</f>
        <v>7817.4926085227698</v>
      </c>
    </row>
    <row r="182" spans="1:14" ht="15.75" thickTop="1">
      <c r="A182" s="605">
        <f t="shared" si="16"/>
        <v>168</v>
      </c>
      <c r="B182" s="545"/>
      <c r="D182" s="248"/>
      <c r="F182" s="37"/>
      <c r="G182" s="37"/>
    </row>
    <row r="183" spans="1:14" ht="15.75">
      <c r="A183" s="605">
        <f t="shared" si="16"/>
        <v>169</v>
      </c>
      <c r="B183" s="550" t="s">
        <v>7</v>
      </c>
      <c r="D183" s="248"/>
      <c r="F183" s="37"/>
      <c r="G183" s="37"/>
    </row>
    <row r="184" spans="1:14">
      <c r="A184" s="605">
        <f t="shared" si="16"/>
        <v>170</v>
      </c>
      <c r="D184" s="248"/>
      <c r="F184" s="37"/>
      <c r="G184" s="37"/>
    </row>
    <row r="185" spans="1:14">
      <c r="A185" s="605">
        <f t="shared" si="16"/>
        <v>171</v>
      </c>
      <c r="B185" s="228"/>
      <c r="C185" s="16" t="s">
        <v>292</v>
      </c>
      <c r="D185" s="248"/>
      <c r="F185" s="37"/>
      <c r="G185" s="37"/>
    </row>
    <row r="186" spans="1:14">
      <c r="A186" s="605">
        <f t="shared" si="16"/>
        <v>172</v>
      </c>
      <c r="B186" s="294">
        <v>39000</v>
      </c>
      <c r="C186" s="4" t="s">
        <v>1432</v>
      </c>
      <c r="D186" s="720">
        <v>134333.95244032523</v>
      </c>
      <c r="E186" s="266">
        <v>1</v>
      </c>
      <c r="F186" s="684">
        <f>Allocation!$C$14</f>
        <v>8.8999999999999996E-2</v>
      </c>
      <c r="G186" s="684">
        <f>Allocation!$D$14</f>
        <v>0.48899999999999999</v>
      </c>
      <c r="H186" s="707">
        <f>D186*E186*F186*G186</f>
        <v>5846.3479441553936</v>
      </c>
      <c r="N186" s="267"/>
    </row>
    <row r="187" spans="1:14">
      <c r="A187" s="605">
        <f t="shared" si="16"/>
        <v>173</v>
      </c>
      <c r="B187" s="294">
        <v>39005</v>
      </c>
      <c r="C187" s="4" t="s">
        <v>1457</v>
      </c>
      <c r="D187" s="709">
        <v>354261.88377999997</v>
      </c>
      <c r="E187" s="266">
        <v>1</v>
      </c>
      <c r="F187" s="267">
        <v>1</v>
      </c>
      <c r="G187" s="684">
        <f>Allocation!$I$20</f>
        <v>1.503839E-2</v>
      </c>
      <c r="H187" s="345">
        <f t="shared" ref="H187:H221" si="20">D187*E187*F187*G187</f>
        <v>5327.5283704183139</v>
      </c>
      <c r="N187" s="267"/>
    </row>
    <row r="188" spans="1:14">
      <c r="A188" s="605">
        <f t="shared" si="16"/>
        <v>174</v>
      </c>
      <c r="B188" s="294">
        <v>39009</v>
      </c>
      <c r="C188" s="4" t="s">
        <v>1436</v>
      </c>
      <c r="D188" s="709">
        <v>626231.40556958143</v>
      </c>
      <c r="E188" s="266">
        <v>1</v>
      </c>
      <c r="F188" s="360">
        <f t="shared" ref="F188:F201" si="21">$F$186</f>
        <v>8.8999999999999996E-2</v>
      </c>
      <c r="G188" s="360">
        <f t="shared" ref="G188:G201" si="22">$G$186</f>
        <v>0.48899999999999999</v>
      </c>
      <c r="H188" s="345">
        <f t="shared" si="20"/>
        <v>27254.217001793753</v>
      </c>
      <c r="N188" s="267"/>
    </row>
    <row r="189" spans="1:14">
      <c r="A189" s="605">
        <f t="shared" si="16"/>
        <v>175</v>
      </c>
      <c r="B189" s="294">
        <v>39020</v>
      </c>
      <c r="C189" s="4" t="s">
        <v>1409</v>
      </c>
      <c r="D189" s="709">
        <v>586.26492400000006</v>
      </c>
      <c r="E189" s="266">
        <v>1</v>
      </c>
      <c r="F189" s="267">
        <v>1</v>
      </c>
      <c r="G189" s="684">
        <f>Allocation!$E$22</f>
        <v>5.5924710000000002E-2</v>
      </c>
      <c r="H189" s="345">
        <f t="shared" si="20"/>
        <v>32.786695857872047</v>
      </c>
      <c r="N189" s="267"/>
    </row>
    <row r="190" spans="1:14">
      <c r="A190" s="605">
        <f t="shared" si="16"/>
        <v>176</v>
      </c>
      <c r="B190" s="294">
        <v>39029</v>
      </c>
      <c r="C190" s="4" t="s">
        <v>1410</v>
      </c>
      <c r="D190" s="709">
        <v>2425.1157860000003</v>
      </c>
      <c r="E190" s="266">
        <v>1</v>
      </c>
      <c r="F190" s="267">
        <v>1</v>
      </c>
      <c r="G190" s="684">
        <f>Allocation!$E$22</f>
        <v>5.5924710000000002E-2</v>
      </c>
      <c r="H190" s="345">
        <f t="shared" si="20"/>
        <v>135.62389704847209</v>
      </c>
      <c r="N190" s="267"/>
    </row>
    <row r="191" spans="1:14">
      <c r="A191" s="605">
        <f t="shared" si="16"/>
        <v>177</v>
      </c>
      <c r="B191" s="294">
        <v>39100</v>
      </c>
      <c r="C191" s="4" t="s">
        <v>1437</v>
      </c>
      <c r="D191" s="709">
        <v>513720.15302035509</v>
      </c>
      <c r="E191" s="266">
        <v>1</v>
      </c>
      <c r="F191" s="360">
        <f t="shared" si="21"/>
        <v>8.8999999999999996E-2</v>
      </c>
      <c r="G191" s="360">
        <f t="shared" si="22"/>
        <v>0.48899999999999999</v>
      </c>
      <c r="H191" s="345">
        <f t="shared" si="20"/>
        <v>22357.614779598873</v>
      </c>
      <c r="N191" s="267"/>
    </row>
    <row r="192" spans="1:14">
      <c r="A192" s="605">
        <f t="shared" si="16"/>
        <v>178</v>
      </c>
      <c r="B192" s="294">
        <v>39102</v>
      </c>
      <c r="C192" s="4" t="s">
        <v>1458</v>
      </c>
      <c r="D192" s="709">
        <v>0</v>
      </c>
      <c r="E192" s="266">
        <v>1</v>
      </c>
      <c r="F192" s="360">
        <f t="shared" si="21"/>
        <v>8.8999999999999996E-2</v>
      </c>
      <c r="G192" s="360">
        <f t="shared" si="22"/>
        <v>0.48899999999999999</v>
      </c>
      <c r="H192" s="345">
        <f t="shared" si="20"/>
        <v>0</v>
      </c>
      <c r="N192" s="267"/>
    </row>
    <row r="193" spans="1:14">
      <c r="A193" s="605">
        <f t="shared" si="16"/>
        <v>179</v>
      </c>
      <c r="B193" s="294">
        <v>39103</v>
      </c>
      <c r="C193" s="4" t="s">
        <v>1250</v>
      </c>
      <c r="D193" s="709">
        <v>0</v>
      </c>
      <c r="E193" s="266">
        <v>1</v>
      </c>
      <c r="F193" s="360">
        <f t="shared" si="21"/>
        <v>8.8999999999999996E-2</v>
      </c>
      <c r="G193" s="360">
        <f t="shared" si="22"/>
        <v>0.48899999999999999</v>
      </c>
      <c r="H193" s="345">
        <f t="shared" si="20"/>
        <v>0</v>
      </c>
      <c r="N193" s="267"/>
    </row>
    <row r="194" spans="1:14">
      <c r="A194" s="605">
        <f t="shared" si="16"/>
        <v>180</v>
      </c>
      <c r="B194" s="294">
        <v>39104</v>
      </c>
      <c r="C194" s="4" t="s">
        <v>1459</v>
      </c>
      <c r="D194" s="709">
        <v>4517.9194919999991</v>
      </c>
      <c r="E194" s="266">
        <v>1</v>
      </c>
      <c r="F194" s="267">
        <v>1</v>
      </c>
      <c r="G194" s="684">
        <f>Allocation!$I$20</f>
        <v>1.503839E-2</v>
      </c>
      <c r="H194" s="345">
        <f t="shared" si="20"/>
        <v>67.942235309297871</v>
      </c>
      <c r="N194" s="267"/>
    </row>
    <row r="195" spans="1:14">
      <c r="A195" s="605">
        <f t="shared" si="16"/>
        <v>181</v>
      </c>
      <c r="B195" s="294">
        <v>39120</v>
      </c>
      <c r="C195" s="4" t="s">
        <v>1411</v>
      </c>
      <c r="D195" s="709">
        <v>19582.008792000001</v>
      </c>
      <c r="E195" s="266">
        <v>1</v>
      </c>
      <c r="F195" s="267">
        <v>1</v>
      </c>
      <c r="G195" s="684">
        <f>Allocation!$E$22</f>
        <v>5.5924710000000002E-2</v>
      </c>
      <c r="H195" s="345">
        <f t="shared" si="20"/>
        <v>1095.1181629100504</v>
      </c>
      <c r="N195" s="267"/>
    </row>
    <row r="196" spans="1:14">
      <c r="A196" s="605">
        <f t="shared" si="16"/>
        <v>182</v>
      </c>
      <c r="B196" s="294">
        <v>39200</v>
      </c>
      <c r="C196" s="4" t="s">
        <v>1438</v>
      </c>
      <c r="D196" s="709">
        <v>20784.685365000008</v>
      </c>
      <c r="E196" s="266">
        <v>1</v>
      </c>
      <c r="F196" s="360">
        <f t="shared" si="21"/>
        <v>8.8999999999999996E-2</v>
      </c>
      <c r="G196" s="360">
        <f t="shared" si="22"/>
        <v>0.48899999999999999</v>
      </c>
      <c r="H196" s="345">
        <f t="shared" si="20"/>
        <v>904.57029177016534</v>
      </c>
      <c r="N196" s="267"/>
    </row>
    <row r="197" spans="1:14">
      <c r="A197" s="605">
        <f t="shared" si="16"/>
        <v>183</v>
      </c>
      <c r="B197" s="294">
        <v>39300</v>
      </c>
      <c r="C197" s="4" t="s">
        <v>1460</v>
      </c>
      <c r="D197" s="709">
        <v>0</v>
      </c>
      <c r="E197" s="266">
        <v>1</v>
      </c>
      <c r="F197" s="360">
        <f t="shared" si="21"/>
        <v>8.8999999999999996E-2</v>
      </c>
      <c r="G197" s="360">
        <f t="shared" si="22"/>
        <v>0.48899999999999999</v>
      </c>
      <c r="H197" s="345">
        <f t="shared" si="20"/>
        <v>0</v>
      </c>
      <c r="N197" s="267"/>
    </row>
    <row r="198" spans="1:14">
      <c r="A198" s="605">
        <f t="shared" si="16"/>
        <v>184</v>
      </c>
      <c r="B198" s="294">
        <v>39400</v>
      </c>
      <c r="C198" s="4" t="s">
        <v>1440</v>
      </c>
      <c r="D198" s="709">
        <v>3748.6608920000012</v>
      </c>
      <c r="E198" s="266">
        <v>1</v>
      </c>
      <c r="F198" s="360">
        <f t="shared" si="21"/>
        <v>8.8999999999999996E-2</v>
      </c>
      <c r="G198" s="360">
        <f t="shared" si="22"/>
        <v>0.48899999999999999</v>
      </c>
      <c r="H198" s="345">
        <f t="shared" si="20"/>
        <v>163.14547068073205</v>
      </c>
      <c r="N198" s="267"/>
    </row>
    <row r="199" spans="1:14">
      <c r="A199" s="605">
        <f t="shared" si="16"/>
        <v>185</v>
      </c>
      <c r="B199" s="294">
        <v>39420</v>
      </c>
      <c r="C199" s="4" t="s">
        <v>1412</v>
      </c>
      <c r="D199" s="709">
        <v>0</v>
      </c>
      <c r="E199" s="266">
        <v>1</v>
      </c>
      <c r="F199" s="267">
        <v>1</v>
      </c>
      <c r="G199" s="684">
        <f>Allocation!$E$22</f>
        <v>5.5924710000000002E-2</v>
      </c>
      <c r="H199" s="345">
        <f t="shared" si="20"/>
        <v>0</v>
      </c>
      <c r="N199" s="267"/>
    </row>
    <row r="200" spans="1:14">
      <c r="A200" s="605">
        <f t="shared" si="16"/>
        <v>186</v>
      </c>
      <c r="B200" s="294">
        <v>39500</v>
      </c>
      <c r="C200" s="4" t="s">
        <v>1461</v>
      </c>
      <c r="D200" s="709">
        <v>0</v>
      </c>
      <c r="E200" s="266">
        <v>1</v>
      </c>
      <c r="F200" s="360">
        <f t="shared" si="21"/>
        <v>8.8999999999999996E-2</v>
      </c>
      <c r="G200" s="360">
        <f t="shared" si="22"/>
        <v>0.48899999999999999</v>
      </c>
      <c r="H200" s="345">
        <f t="shared" si="20"/>
        <v>0</v>
      </c>
      <c r="N200" s="267"/>
    </row>
    <row r="201" spans="1:14">
      <c r="A201" s="605">
        <f t="shared" si="16"/>
        <v>187</v>
      </c>
      <c r="B201" s="294">
        <v>39700</v>
      </c>
      <c r="C201" s="4" t="s">
        <v>1444</v>
      </c>
      <c r="D201" s="709">
        <v>43118.538578735985</v>
      </c>
      <c r="E201" s="266">
        <v>1</v>
      </c>
      <c r="F201" s="360">
        <f t="shared" si="21"/>
        <v>8.8999999999999996E-2</v>
      </c>
      <c r="G201" s="360">
        <f t="shared" si="22"/>
        <v>0.48899999999999999</v>
      </c>
      <c r="H201" s="345">
        <f t="shared" si="20"/>
        <v>1876.5619174851686</v>
      </c>
      <c r="N201" s="267"/>
    </row>
    <row r="202" spans="1:14">
      <c r="A202" s="605">
        <f t="shared" si="16"/>
        <v>188</v>
      </c>
      <c r="B202" s="294">
        <v>39720</v>
      </c>
      <c r="C202" s="4" t="s">
        <v>1413</v>
      </c>
      <c r="D202" s="709">
        <v>4909.4519100000016</v>
      </c>
      <c r="E202" s="266">
        <v>1</v>
      </c>
      <c r="F202" s="267">
        <v>1</v>
      </c>
      <c r="G202" s="684">
        <f>Allocation!$E$22</f>
        <v>5.5924710000000002E-2</v>
      </c>
      <c r="H202" s="345">
        <f t="shared" si="20"/>
        <v>274.55967432569622</v>
      </c>
      <c r="N202" s="267"/>
    </row>
    <row r="203" spans="1:14">
      <c r="A203" s="605">
        <f t="shared" si="16"/>
        <v>189</v>
      </c>
      <c r="B203" s="294">
        <v>39800</v>
      </c>
      <c r="C203" s="4" t="s">
        <v>1446</v>
      </c>
      <c r="D203" s="709">
        <v>7555.1693000000014</v>
      </c>
      <c r="E203" s="266">
        <v>1</v>
      </c>
      <c r="F203" s="360">
        <f t="shared" ref="F203:F218" si="23">$F$186</f>
        <v>8.8999999999999996E-2</v>
      </c>
      <c r="G203" s="360">
        <f t="shared" ref="G203:G218" si="24">$G$186</f>
        <v>0.48899999999999999</v>
      </c>
      <c r="H203" s="345">
        <f t="shared" si="20"/>
        <v>328.80852310530008</v>
      </c>
      <c r="N203" s="267"/>
    </row>
    <row r="204" spans="1:14">
      <c r="A204" s="605">
        <f t="shared" si="16"/>
        <v>190</v>
      </c>
      <c r="B204" s="294">
        <v>39820</v>
      </c>
      <c r="C204" s="4" t="s">
        <v>1414</v>
      </c>
      <c r="D204" s="709">
        <v>740.72040000000015</v>
      </c>
      <c r="E204" s="266">
        <v>1</v>
      </c>
      <c r="F204" s="267">
        <v>1</v>
      </c>
      <c r="G204" s="684">
        <f>Allocation!$E$22</f>
        <v>5.5924710000000002E-2</v>
      </c>
      <c r="H204" s="345">
        <f t="shared" si="20"/>
        <v>41.42457356108401</v>
      </c>
      <c r="N204" s="267"/>
    </row>
    <row r="205" spans="1:14">
      <c r="A205" s="605">
        <f t="shared" si="16"/>
        <v>191</v>
      </c>
      <c r="B205" s="294">
        <v>39900</v>
      </c>
      <c r="C205" s="4" t="s">
        <v>1462</v>
      </c>
      <c r="D205" s="709">
        <v>0</v>
      </c>
      <c r="E205" s="266">
        <v>1</v>
      </c>
      <c r="F205" s="360">
        <f t="shared" si="23"/>
        <v>8.8999999999999996E-2</v>
      </c>
      <c r="G205" s="360">
        <f t="shared" si="24"/>
        <v>0.48899999999999999</v>
      </c>
      <c r="H205" s="345">
        <f t="shared" si="20"/>
        <v>0</v>
      </c>
      <c r="N205" s="267"/>
    </row>
    <row r="206" spans="1:14">
      <c r="A206" s="605">
        <f t="shared" si="16"/>
        <v>192</v>
      </c>
      <c r="B206" s="294">
        <v>39901</v>
      </c>
      <c r="C206" t="s">
        <v>1455</v>
      </c>
      <c r="D206" s="709">
        <v>4838747.0875992738</v>
      </c>
      <c r="E206" s="266">
        <v>1</v>
      </c>
      <c r="F206" s="360">
        <f t="shared" si="23"/>
        <v>8.8999999999999996E-2</v>
      </c>
      <c r="G206" s="360">
        <f t="shared" si="24"/>
        <v>0.48899999999999999</v>
      </c>
      <c r="H206" s="345">
        <f t="shared" si="20"/>
        <v>210587.11199940796</v>
      </c>
      <c r="N206" s="267"/>
    </row>
    <row r="207" spans="1:14">
      <c r="A207" s="605">
        <f t="shared" si="16"/>
        <v>193</v>
      </c>
      <c r="B207" s="294">
        <v>39902</v>
      </c>
      <c r="C207" s="4" t="s">
        <v>1456</v>
      </c>
      <c r="D207" s="709">
        <v>4113532.0414106026</v>
      </c>
      <c r="E207" s="266">
        <v>1</v>
      </c>
      <c r="F207" s="360">
        <f t="shared" si="23"/>
        <v>8.8999999999999996E-2</v>
      </c>
      <c r="G207" s="360">
        <f t="shared" si="24"/>
        <v>0.48899999999999999</v>
      </c>
      <c r="H207" s="345">
        <f t="shared" si="20"/>
        <v>179025.02797423082</v>
      </c>
      <c r="N207" s="267"/>
    </row>
    <row r="208" spans="1:14">
      <c r="A208" s="605">
        <f t="shared" si="16"/>
        <v>194</v>
      </c>
      <c r="B208" s="294">
        <v>39903</v>
      </c>
      <c r="C208" s="4" t="s">
        <v>1447</v>
      </c>
      <c r="D208" s="709">
        <v>551360.51048958325</v>
      </c>
      <c r="E208" s="266">
        <v>1</v>
      </c>
      <c r="F208" s="360">
        <f t="shared" si="23"/>
        <v>8.8999999999999996E-2</v>
      </c>
      <c r="G208" s="360">
        <f t="shared" si="24"/>
        <v>0.48899999999999999</v>
      </c>
      <c r="H208" s="345">
        <f t="shared" si="20"/>
        <v>23995.760777017153</v>
      </c>
      <c r="N208" s="267"/>
    </row>
    <row r="209" spans="1:14">
      <c r="A209" s="605">
        <f t="shared" si="16"/>
        <v>195</v>
      </c>
      <c r="B209" s="294">
        <v>39904</v>
      </c>
      <c r="C209" s="4" t="s">
        <v>1463</v>
      </c>
      <c r="D209" s="709">
        <v>0</v>
      </c>
      <c r="E209" s="266">
        <v>1</v>
      </c>
      <c r="F209" s="360">
        <f t="shared" si="23"/>
        <v>8.8999999999999996E-2</v>
      </c>
      <c r="G209" s="360">
        <f t="shared" si="24"/>
        <v>0.48899999999999999</v>
      </c>
      <c r="H209" s="345">
        <f t="shared" si="20"/>
        <v>0</v>
      </c>
      <c r="N209" s="267"/>
    </row>
    <row r="210" spans="1:14">
      <c r="A210" s="605">
        <f t="shared" si="16"/>
        <v>196</v>
      </c>
      <c r="B210" s="294">
        <v>39905</v>
      </c>
      <c r="C210" s="4" t="s">
        <v>1464</v>
      </c>
      <c r="D210" s="709">
        <v>0</v>
      </c>
      <c r="E210" s="266">
        <v>1</v>
      </c>
      <c r="F210" s="360">
        <f t="shared" si="23"/>
        <v>8.8999999999999996E-2</v>
      </c>
      <c r="G210" s="360">
        <f t="shared" si="24"/>
        <v>0.48899999999999999</v>
      </c>
      <c r="H210" s="345">
        <f t="shared" si="20"/>
        <v>0</v>
      </c>
      <c r="N210" s="267"/>
    </row>
    <row r="211" spans="1:14">
      <c r="A211" s="605">
        <f t="shared" si="16"/>
        <v>197</v>
      </c>
      <c r="B211" s="382">
        <v>39906</v>
      </c>
      <c r="C211" s="4" t="s">
        <v>1448</v>
      </c>
      <c r="D211" s="709">
        <v>902667.15640505764</v>
      </c>
      <c r="E211" s="266">
        <v>1</v>
      </c>
      <c r="F211" s="360">
        <f t="shared" si="23"/>
        <v>8.8999999999999996E-2</v>
      </c>
      <c r="G211" s="360">
        <f t="shared" si="24"/>
        <v>0.48899999999999999</v>
      </c>
      <c r="H211" s="345">
        <f t="shared" si="20"/>
        <v>39284.977313904514</v>
      </c>
      <c r="N211" s="267"/>
    </row>
    <row r="212" spans="1:14">
      <c r="A212" s="605">
        <f t="shared" ref="A212:A267" si="25">A211+1</f>
        <v>198</v>
      </c>
      <c r="B212" s="382">
        <v>39907</v>
      </c>
      <c r="C212" s="4" t="s">
        <v>1449</v>
      </c>
      <c r="D212" s="709">
        <v>9646.0579820000003</v>
      </c>
      <c r="E212" s="266">
        <v>1</v>
      </c>
      <c r="F212" s="360">
        <f t="shared" si="23"/>
        <v>8.8999999999999996E-2</v>
      </c>
      <c r="G212" s="360">
        <f t="shared" si="24"/>
        <v>0.48899999999999999</v>
      </c>
      <c r="H212" s="345">
        <f t="shared" si="20"/>
        <v>419.80608943462198</v>
      </c>
      <c r="N212" s="267"/>
    </row>
    <row r="213" spans="1:14">
      <c r="A213" s="605">
        <f t="shared" si="25"/>
        <v>199</v>
      </c>
      <c r="B213" s="382">
        <v>39908</v>
      </c>
      <c r="C213" s="4" t="s">
        <v>1450</v>
      </c>
      <c r="D213" s="709">
        <v>7527803.7062369427</v>
      </c>
      <c r="E213" s="266">
        <v>1</v>
      </c>
      <c r="F213" s="360">
        <f t="shared" si="23"/>
        <v>8.8999999999999996E-2</v>
      </c>
      <c r="G213" s="360">
        <f t="shared" si="24"/>
        <v>0.48899999999999999</v>
      </c>
      <c r="H213" s="345">
        <f t="shared" si="20"/>
        <v>327617.54509913793</v>
      </c>
      <c r="N213" s="267"/>
    </row>
    <row r="214" spans="1:14">
      <c r="A214" s="605">
        <f t="shared" si="25"/>
        <v>200</v>
      </c>
      <c r="B214" s="382">
        <v>39909</v>
      </c>
      <c r="C214" s="4" t="s">
        <v>1465</v>
      </c>
      <c r="D214" s="709">
        <v>0</v>
      </c>
      <c r="E214" s="266">
        <v>1</v>
      </c>
      <c r="F214" s="360">
        <f t="shared" si="23"/>
        <v>8.8999999999999996E-2</v>
      </c>
      <c r="G214" s="360">
        <f t="shared" si="24"/>
        <v>0.48899999999999999</v>
      </c>
      <c r="H214" s="345">
        <f t="shared" si="20"/>
        <v>0</v>
      </c>
      <c r="N214" s="267"/>
    </row>
    <row r="215" spans="1:14">
      <c r="A215" s="605">
        <f t="shared" si="25"/>
        <v>201</v>
      </c>
      <c r="B215" s="382">
        <v>39921</v>
      </c>
      <c r="C215" s="4" t="s">
        <v>1415</v>
      </c>
      <c r="D215" s="709">
        <v>2053802.8289180449</v>
      </c>
      <c r="E215" s="266">
        <v>1</v>
      </c>
      <c r="F215" s="267">
        <v>1</v>
      </c>
      <c r="G215" s="684">
        <f>Allocation!$E$22</f>
        <v>5.5924710000000002E-2</v>
      </c>
      <c r="H215" s="345">
        <f t="shared" si="20"/>
        <v>114858.32760442128</v>
      </c>
      <c r="N215" s="267"/>
    </row>
    <row r="216" spans="1:14">
      <c r="A216" s="605">
        <f t="shared" si="25"/>
        <v>202</v>
      </c>
      <c r="B216" s="382">
        <v>39922</v>
      </c>
      <c r="C216" s="4" t="s">
        <v>1416</v>
      </c>
      <c r="D216" s="709">
        <v>547978.40879999998</v>
      </c>
      <c r="E216" s="266">
        <v>1</v>
      </c>
      <c r="F216" s="267">
        <v>1</v>
      </c>
      <c r="G216" s="684">
        <f>Allocation!$E$22</f>
        <v>5.5924710000000002E-2</v>
      </c>
      <c r="H216" s="345">
        <f t="shared" si="20"/>
        <v>30645.533598401449</v>
      </c>
      <c r="N216" s="267"/>
    </row>
    <row r="217" spans="1:14">
      <c r="A217" s="605">
        <f t="shared" si="25"/>
        <v>203</v>
      </c>
      <c r="B217" s="382">
        <v>39923</v>
      </c>
      <c r="C217" s="4" t="s">
        <v>1417</v>
      </c>
      <c r="D217" s="709">
        <v>143242.45521754754</v>
      </c>
      <c r="E217" s="266">
        <v>1</v>
      </c>
      <c r="F217" s="267">
        <v>1</v>
      </c>
      <c r="G217" s="684">
        <f>Allocation!$E$22</f>
        <v>5.5924710000000002E-2</v>
      </c>
      <c r="H217" s="345">
        <f t="shared" si="20"/>
        <v>8010.7927677293337</v>
      </c>
      <c r="N217" s="267"/>
    </row>
    <row r="218" spans="1:14">
      <c r="A218" s="605">
        <f t="shared" si="25"/>
        <v>204</v>
      </c>
      <c r="B218" s="382">
        <v>39924</v>
      </c>
      <c r="C218" s="4" t="s">
        <v>1311</v>
      </c>
      <c r="D218" s="709">
        <v>0</v>
      </c>
      <c r="E218" s="266">
        <v>1</v>
      </c>
      <c r="F218" s="360">
        <f t="shared" si="23"/>
        <v>8.8999999999999996E-2</v>
      </c>
      <c r="G218" s="360">
        <f t="shared" si="24"/>
        <v>0.48899999999999999</v>
      </c>
      <c r="H218" s="345">
        <f t="shared" si="20"/>
        <v>0</v>
      </c>
      <c r="N218" s="267"/>
    </row>
    <row r="219" spans="1:14">
      <c r="A219" s="605">
        <f t="shared" si="25"/>
        <v>205</v>
      </c>
      <c r="B219" s="382">
        <v>39926</v>
      </c>
      <c r="C219" s="4" t="s">
        <v>1426</v>
      </c>
      <c r="D219" s="709">
        <v>29203.919278000005</v>
      </c>
      <c r="E219" s="266">
        <v>1</v>
      </c>
      <c r="F219" s="267">
        <v>1</v>
      </c>
      <c r="G219" s="684">
        <f>Allocation!$E$22</f>
        <v>5.5924710000000002E-2</v>
      </c>
      <c r="H219" s="345">
        <f t="shared" si="20"/>
        <v>1633.2207164855597</v>
      </c>
      <c r="N219" s="267"/>
    </row>
    <row r="220" spans="1:14">
      <c r="A220" s="605">
        <f t="shared" si="25"/>
        <v>206</v>
      </c>
      <c r="B220" s="382">
        <v>39928</v>
      </c>
      <c r="C220" s="4" t="s">
        <v>1427</v>
      </c>
      <c r="D220" s="709">
        <v>2050626.6084150004</v>
      </c>
      <c r="E220" s="266">
        <v>1</v>
      </c>
      <c r="F220" s="267">
        <v>1</v>
      </c>
      <c r="G220" s="684">
        <f>Allocation!$E$22</f>
        <v>5.5924710000000002E-2</v>
      </c>
      <c r="H220" s="345">
        <f t="shared" si="20"/>
        <v>114680.69839389247</v>
      </c>
      <c r="N220" s="267"/>
    </row>
    <row r="221" spans="1:14">
      <c r="A221" s="605">
        <f t="shared" si="25"/>
        <v>207</v>
      </c>
      <c r="B221" s="382">
        <v>39931</v>
      </c>
      <c r="C221" s="4" t="s">
        <v>1428</v>
      </c>
      <c r="D221" s="709">
        <v>37633.952825999993</v>
      </c>
      <c r="E221" s="266">
        <v>1</v>
      </c>
      <c r="F221" s="267">
        <v>1</v>
      </c>
      <c r="G221" s="684">
        <f>Allocation!$E$23</f>
        <v>3.5999389999999999E-2</v>
      </c>
      <c r="H221" s="345">
        <f t="shared" si="20"/>
        <v>1354.7993450247759</v>
      </c>
      <c r="N221" s="267"/>
    </row>
    <row r="222" spans="1:14">
      <c r="A222" s="605">
        <f t="shared" si="25"/>
        <v>208</v>
      </c>
      <c r="B222" s="382">
        <v>39932</v>
      </c>
      <c r="C222" s="4" t="s">
        <v>1429</v>
      </c>
      <c r="D222" s="709">
        <v>79175.577609999993</v>
      </c>
      <c r="E222" s="266">
        <v>1</v>
      </c>
      <c r="F222" s="267">
        <v>1</v>
      </c>
      <c r="G222" s="684">
        <f>Allocation!$E$23</f>
        <v>3.5999389999999999E-2</v>
      </c>
      <c r="H222" s="345">
        <f t="shared" ref="H222:H224" si="26">D222*E222*F222*G222</f>
        <v>2850.2724968576576</v>
      </c>
      <c r="N222" s="267"/>
    </row>
    <row r="223" spans="1:14">
      <c r="A223" s="605">
        <f t="shared" si="25"/>
        <v>209</v>
      </c>
      <c r="B223" s="382">
        <v>39938</v>
      </c>
      <c r="C223" s="4" t="s">
        <v>1430</v>
      </c>
      <c r="D223" s="709">
        <v>1463826.4446959998</v>
      </c>
      <c r="E223" s="266">
        <v>1</v>
      </c>
      <c r="F223" s="267">
        <v>1</v>
      </c>
      <c r="G223" s="684">
        <f>Allocation!$E$23</f>
        <v>3.5999389999999999E-2</v>
      </c>
      <c r="H223" s="345">
        <f t="shared" si="26"/>
        <v>52696.859074924731</v>
      </c>
      <c r="N223" s="267"/>
    </row>
    <row r="224" spans="1:14" ht="18">
      <c r="A224" s="605">
        <f t="shared" si="25"/>
        <v>210</v>
      </c>
      <c r="B224" s="382" t="s">
        <v>1618</v>
      </c>
      <c r="C224" s="53" t="s">
        <v>1655</v>
      </c>
      <c r="D224" s="36">
        <v>-185587.99999999997</v>
      </c>
      <c r="E224" s="266">
        <v>1</v>
      </c>
      <c r="F224" s="360">
        <f t="shared" ref="F224" si="27">$F$186</f>
        <v>8.8999999999999996E-2</v>
      </c>
      <c r="G224" s="360">
        <f t="shared" ref="G224" si="28">$G$186</f>
        <v>0.48899999999999999</v>
      </c>
      <c r="H224" s="1047">
        <f t="shared" si="26"/>
        <v>-8076.9753479999972</v>
      </c>
    </row>
    <row r="225" spans="1:14">
      <c r="A225" s="605">
        <f t="shared" si="25"/>
        <v>211</v>
      </c>
      <c r="B225" s="228"/>
      <c r="C225" s="4"/>
      <c r="F225" s="37"/>
      <c r="G225" s="37"/>
    </row>
    <row r="226" spans="1:14" ht="15.75" thickBot="1">
      <c r="A226" s="605">
        <f t="shared" si="25"/>
        <v>212</v>
      </c>
      <c r="B226" s="228"/>
      <c r="C226" s="4" t="s">
        <v>1259</v>
      </c>
      <c r="D226" s="712">
        <f>SUM(D186:D224)</f>
        <v>25900174.686134048</v>
      </c>
      <c r="E226" s="563"/>
      <c r="F226" s="37"/>
      <c r="G226" s="37"/>
      <c r="H226" s="712">
        <f>SUM(H186:H224)</f>
        <v>1165290.0074408907</v>
      </c>
      <c r="M226" s="329"/>
      <c r="N226" s="329"/>
    </row>
    <row r="227" spans="1:14" ht="15.75" thickTop="1">
      <c r="A227" s="605">
        <f t="shared" si="25"/>
        <v>213</v>
      </c>
      <c r="B227" s="545"/>
      <c r="D227" s="248"/>
      <c r="F227" s="37"/>
      <c r="G227" s="37"/>
    </row>
    <row r="228" spans="1:14" ht="15.75">
      <c r="A228" s="605">
        <f t="shared" si="25"/>
        <v>214</v>
      </c>
      <c r="B228" s="550" t="s">
        <v>8</v>
      </c>
      <c r="D228" s="248"/>
      <c r="F228" s="37"/>
      <c r="G228" s="37"/>
    </row>
    <row r="229" spans="1:14">
      <c r="A229" s="605">
        <f t="shared" si="25"/>
        <v>215</v>
      </c>
      <c r="B229" s="545"/>
      <c r="D229" s="248"/>
      <c r="F229" s="37"/>
      <c r="G229" s="37"/>
      <c r="K229" s="329"/>
    </row>
    <row r="230" spans="1:14">
      <c r="A230" s="605">
        <f t="shared" si="25"/>
        <v>216</v>
      </c>
      <c r="B230" s="228"/>
      <c r="C230" s="16" t="s">
        <v>292</v>
      </c>
      <c r="D230" s="248"/>
      <c r="F230" s="37"/>
      <c r="G230" s="37"/>
    </row>
    <row r="231" spans="1:14">
      <c r="A231" s="605">
        <f t="shared" si="25"/>
        <v>217</v>
      </c>
      <c r="B231" s="294">
        <v>38900</v>
      </c>
      <c r="C231" s="4" t="s">
        <v>1466</v>
      </c>
      <c r="D231" s="720">
        <v>0</v>
      </c>
      <c r="E231" s="266">
        <v>1</v>
      </c>
      <c r="F231" s="684">
        <f>Allocation!$C$15</f>
        <v>0.1086</v>
      </c>
      <c r="G231" s="684">
        <f>Allocation!$D$15</f>
        <v>0.48899999999999999</v>
      </c>
      <c r="H231" s="707">
        <f>D231*E231*F231*G231</f>
        <v>0</v>
      </c>
      <c r="J231" s="243"/>
      <c r="N231" s="267"/>
    </row>
    <row r="232" spans="1:14">
      <c r="A232" s="605">
        <f t="shared" si="25"/>
        <v>218</v>
      </c>
      <c r="B232" s="294">
        <v>38910</v>
      </c>
      <c r="C232" s="4" t="s">
        <v>1467</v>
      </c>
      <c r="D232" s="709">
        <v>0</v>
      </c>
      <c r="E232" s="342">
        <v>1</v>
      </c>
      <c r="F232" s="267">
        <v>1</v>
      </c>
      <c r="G232" s="684">
        <f>Allocation!$E$21</f>
        <v>2.983098E-2</v>
      </c>
      <c r="H232" s="345">
        <f t="shared" ref="H232:H259" si="29">D232*E232*F232*G232</f>
        <v>0</v>
      </c>
      <c r="N232" s="267"/>
    </row>
    <row r="233" spans="1:14">
      <c r="A233" s="605">
        <f t="shared" si="25"/>
        <v>219</v>
      </c>
      <c r="B233" s="294">
        <v>39000</v>
      </c>
      <c r="C233" s="4" t="s">
        <v>1432</v>
      </c>
      <c r="D233" s="709">
        <v>323349.72661066521</v>
      </c>
      <c r="E233" s="342">
        <v>1</v>
      </c>
      <c r="F233" s="684">
        <f>Allocation!$C$15</f>
        <v>0.1086</v>
      </c>
      <c r="G233" s="684">
        <f>Allocation!$D$15</f>
        <v>0.48899999999999999</v>
      </c>
      <c r="H233" s="345">
        <f t="shared" si="29"/>
        <v>17171.616571550021</v>
      </c>
      <c r="N233" s="267"/>
    </row>
    <row r="234" spans="1:14">
      <c r="A234" s="605">
        <f t="shared" si="25"/>
        <v>220</v>
      </c>
      <c r="B234" s="294">
        <v>39009</v>
      </c>
      <c r="C234" s="4" t="s">
        <v>1436</v>
      </c>
      <c r="D234" s="709">
        <v>140457.477224</v>
      </c>
      <c r="E234" s="342">
        <v>1</v>
      </c>
      <c r="F234" s="684">
        <f>Allocation!$C$15</f>
        <v>0.1086</v>
      </c>
      <c r="G234" s="684">
        <f>Allocation!$D$15</f>
        <v>0.48899999999999999</v>
      </c>
      <c r="H234" s="345">
        <f t="shared" si="29"/>
        <v>7459.0505109714104</v>
      </c>
      <c r="N234" s="267"/>
    </row>
    <row r="235" spans="1:14">
      <c r="A235" s="605">
        <f t="shared" si="25"/>
        <v>221</v>
      </c>
      <c r="B235" s="294">
        <v>39010</v>
      </c>
      <c r="C235" s="4" t="s">
        <v>1468</v>
      </c>
      <c r="D235" s="709">
        <v>299658.72354600002</v>
      </c>
      <c r="E235" s="342">
        <v>1</v>
      </c>
      <c r="F235" s="267">
        <v>1</v>
      </c>
      <c r="G235" s="684">
        <f>Allocation!$E$21</f>
        <v>2.983098E-2</v>
      </c>
      <c r="H235" s="345">
        <f t="shared" si="29"/>
        <v>8939.1133889262564</v>
      </c>
      <c r="N235" s="267"/>
    </row>
    <row r="236" spans="1:14">
      <c r="A236" s="605">
        <f t="shared" si="25"/>
        <v>222</v>
      </c>
      <c r="B236" s="294">
        <v>39100</v>
      </c>
      <c r="C236" s="4" t="s">
        <v>1437</v>
      </c>
      <c r="D236" s="709">
        <v>173644.40307599996</v>
      </c>
      <c r="E236" s="342">
        <v>1</v>
      </c>
      <c r="F236" s="684">
        <f>Allocation!$C$15</f>
        <v>0.1086</v>
      </c>
      <c r="G236" s="684">
        <f>Allocation!$D$15</f>
        <v>0.48899999999999999</v>
      </c>
      <c r="H236" s="345">
        <f t="shared" si="29"/>
        <v>9221.4554831122077</v>
      </c>
      <c r="N236" s="267"/>
    </row>
    <row r="237" spans="1:14">
      <c r="A237" s="605">
        <f t="shared" si="25"/>
        <v>223</v>
      </c>
      <c r="B237" s="294">
        <v>39101</v>
      </c>
      <c r="C237" s="4" t="s">
        <v>1408</v>
      </c>
      <c r="D237" s="709">
        <v>0</v>
      </c>
      <c r="E237" s="342">
        <v>1</v>
      </c>
      <c r="F237" s="684">
        <f>Allocation!$C$15</f>
        <v>0.1086</v>
      </c>
      <c r="G237" s="684">
        <f>Allocation!$D$15</f>
        <v>0.48899999999999999</v>
      </c>
      <c r="H237" s="345">
        <f t="shared" si="29"/>
        <v>0</v>
      </c>
      <c r="N237" s="267"/>
    </row>
    <row r="238" spans="1:14">
      <c r="A238" s="605">
        <f t="shared" si="25"/>
        <v>224</v>
      </c>
      <c r="B238" s="294">
        <v>39102</v>
      </c>
      <c r="C238" s="4" t="s">
        <v>1418</v>
      </c>
      <c r="D238" s="709">
        <v>0</v>
      </c>
      <c r="E238" s="342">
        <v>1</v>
      </c>
      <c r="F238" s="684">
        <f>Allocation!$C$15</f>
        <v>0.1086</v>
      </c>
      <c r="G238" s="684">
        <f>Allocation!$D$15</f>
        <v>0.48899999999999999</v>
      </c>
      <c r="H238" s="345">
        <f t="shared" si="29"/>
        <v>0</v>
      </c>
      <c r="N238" s="267"/>
    </row>
    <row r="239" spans="1:14">
      <c r="A239" s="605">
        <f t="shared" si="25"/>
        <v>225</v>
      </c>
      <c r="B239" s="294">
        <v>39103</v>
      </c>
      <c r="C239" s="4" t="s">
        <v>1250</v>
      </c>
      <c r="D239" s="709">
        <v>0</v>
      </c>
      <c r="E239" s="342">
        <v>1</v>
      </c>
      <c r="F239" s="684">
        <f>Allocation!$C$15</f>
        <v>0.1086</v>
      </c>
      <c r="G239" s="684">
        <f>Allocation!$D$15</f>
        <v>0.48899999999999999</v>
      </c>
      <c r="H239" s="345">
        <f t="shared" si="29"/>
        <v>0</v>
      </c>
      <c r="N239" s="267"/>
    </row>
    <row r="240" spans="1:14">
      <c r="A240" s="605">
        <f t="shared" si="25"/>
        <v>226</v>
      </c>
      <c r="B240" s="294">
        <v>39110</v>
      </c>
      <c r="C240" s="4" t="s">
        <v>1419</v>
      </c>
      <c r="D240" s="709">
        <v>62887.077278162396</v>
      </c>
      <c r="E240" s="342">
        <v>1</v>
      </c>
      <c r="F240" s="267">
        <v>1</v>
      </c>
      <c r="G240" s="684">
        <f>Allocation!$E$21</f>
        <v>2.983098E-2</v>
      </c>
      <c r="H240" s="345">
        <f t="shared" si="29"/>
        <v>1875.9831445433169</v>
      </c>
      <c r="N240" s="267"/>
    </row>
    <row r="241" spans="1:14">
      <c r="A241" s="605">
        <f t="shared" si="25"/>
        <v>227</v>
      </c>
      <c r="B241" s="294">
        <v>39210</v>
      </c>
      <c r="C241" s="4" t="s">
        <v>1420</v>
      </c>
      <c r="D241" s="709">
        <v>0</v>
      </c>
      <c r="E241" s="342">
        <v>1</v>
      </c>
      <c r="F241" s="267">
        <v>1</v>
      </c>
      <c r="G241" s="684">
        <f>Allocation!$E$21</f>
        <v>2.983098E-2</v>
      </c>
      <c r="H241" s="345">
        <f t="shared" si="29"/>
        <v>0</v>
      </c>
      <c r="N241" s="267"/>
    </row>
    <row r="242" spans="1:14">
      <c r="A242" s="605">
        <f t="shared" si="25"/>
        <v>228</v>
      </c>
      <c r="B242" s="294">
        <v>39410</v>
      </c>
      <c r="C242" s="4" t="s">
        <v>1421</v>
      </c>
      <c r="D242" s="709">
        <v>88805.799194005318</v>
      </c>
      <c r="E242" s="342">
        <v>1</v>
      </c>
      <c r="F242" s="267">
        <v>1</v>
      </c>
      <c r="G242" s="684">
        <f>Allocation!$E$21</f>
        <v>2.983098E-2</v>
      </c>
      <c r="H242" s="345">
        <f t="shared" si="29"/>
        <v>2649.1640196403887</v>
      </c>
      <c r="N242" s="267"/>
    </row>
    <row r="243" spans="1:14">
      <c r="A243" s="605">
        <f t="shared" si="25"/>
        <v>229</v>
      </c>
      <c r="B243" s="294">
        <v>39510</v>
      </c>
      <c r="C243" s="4" t="s">
        <v>1422</v>
      </c>
      <c r="D243" s="709">
        <v>0</v>
      </c>
      <c r="E243" s="342">
        <v>1</v>
      </c>
      <c r="F243" s="267">
        <v>1</v>
      </c>
      <c r="G243" s="684">
        <f>Allocation!$E$21</f>
        <v>2.983098E-2</v>
      </c>
      <c r="H243" s="345">
        <f t="shared" si="29"/>
        <v>0</v>
      </c>
      <c r="N243" s="267"/>
    </row>
    <row r="244" spans="1:14">
      <c r="A244" s="605">
        <f t="shared" si="25"/>
        <v>230</v>
      </c>
      <c r="B244" s="294">
        <v>39700</v>
      </c>
      <c r="C244" s="4" t="s">
        <v>1444</v>
      </c>
      <c r="D244" s="709">
        <v>121291.62477400001</v>
      </c>
      <c r="E244" s="342">
        <v>1</v>
      </c>
      <c r="F244" s="684">
        <f>Allocation!$C$15</f>
        <v>0.1086</v>
      </c>
      <c r="G244" s="684">
        <f>Allocation!$D$15</f>
        <v>0.48899999999999999</v>
      </c>
      <c r="H244" s="345">
        <f t="shared" si="29"/>
        <v>6441.2402502731802</v>
      </c>
      <c r="N244" s="267"/>
    </row>
    <row r="245" spans="1:14">
      <c r="A245" s="605">
        <f t="shared" si="25"/>
        <v>231</v>
      </c>
      <c r="B245" s="294">
        <v>39710</v>
      </c>
      <c r="C245" s="4" t="s">
        <v>1469</v>
      </c>
      <c r="D245" s="709">
        <v>5885.9444159999994</v>
      </c>
      <c r="E245" s="342">
        <v>1</v>
      </c>
      <c r="F245" s="267">
        <v>1</v>
      </c>
      <c r="G245" s="684">
        <f>Allocation!$E$21</f>
        <v>2.983098E-2</v>
      </c>
      <c r="H245" s="345">
        <f t="shared" si="29"/>
        <v>175.58349015480766</v>
      </c>
      <c r="N245" s="267"/>
    </row>
    <row r="246" spans="1:14">
      <c r="A246" s="605">
        <f t="shared" si="25"/>
        <v>232</v>
      </c>
      <c r="B246" s="294">
        <v>39800</v>
      </c>
      <c r="C246" s="4" t="s">
        <v>1446</v>
      </c>
      <c r="D246" s="709">
        <v>9334.2921000000006</v>
      </c>
      <c r="E246" s="342">
        <v>1</v>
      </c>
      <c r="F246" s="684">
        <f>Allocation!$C$15</f>
        <v>0.1086</v>
      </c>
      <c r="G246" s="684">
        <f>Allocation!$D$15</f>
        <v>0.48899999999999999</v>
      </c>
      <c r="H246" s="345">
        <f t="shared" si="29"/>
        <v>495.70131568734001</v>
      </c>
      <c r="N246" s="267"/>
    </row>
    <row r="247" spans="1:14">
      <c r="A247" s="605">
        <f t="shared" si="25"/>
        <v>233</v>
      </c>
      <c r="B247" s="382">
        <v>39810</v>
      </c>
      <c r="C247" s="4" t="s">
        <v>1423</v>
      </c>
      <c r="D247" s="709">
        <v>53554.614538339025</v>
      </c>
      <c r="E247" s="342">
        <v>1</v>
      </c>
      <c r="F247" s="267">
        <v>1</v>
      </c>
      <c r="G247" s="684">
        <f>Allocation!$E$21</f>
        <v>2.983098E-2</v>
      </c>
      <c r="H247" s="345">
        <f t="shared" si="29"/>
        <v>1597.5866352009007</v>
      </c>
      <c r="N247" s="267"/>
    </row>
    <row r="248" spans="1:14">
      <c r="A248" s="605">
        <f t="shared" si="25"/>
        <v>234</v>
      </c>
      <c r="B248" s="382">
        <v>39900</v>
      </c>
      <c r="C248" s="4" t="s">
        <v>1454</v>
      </c>
      <c r="D248" s="709">
        <v>0</v>
      </c>
      <c r="E248" s="342">
        <v>1</v>
      </c>
      <c r="F248" s="684">
        <f>Allocation!$C$15</f>
        <v>0.1086</v>
      </c>
      <c r="G248" s="684">
        <f>Allocation!$D$15</f>
        <v>0.48899999999999999</v>
      </c>
      <c r="H248" s="345">
        <f t="shared" si="29"/>
        <v>0</v>
      </c>
      <c r="N248" s="267"/>
    </row>
    <row r="249" spans="1:14">
      <c r="A249" s="605">
        <f t="shared" si="25"/>
        <v>235</v>
      </c>
      <c r="B249" s="382">
        <v>39901</v>
      </c>
      <c r="C249" s="4" t="s">
        <v>1455</v>
      </c>
      <c r="D249" s="709">
        <v>715373.95352399966</v>
      </c>
      <c r="E249" s="342">
        <v>1</v>
      </c>
      <c r="F249" s="684">
        <f>Allocation!$C$15</f>
        <v>0.1086</v>
      </c>
      <c r="G249" s="684">
        <f>Allocation!$D$15</f>
        <v>0.48899999999999999</v>
      </c>
      <c r="H249" s="345">
        <f t="shared" si="29"/>
        <v>37990.219951473417</v>
      </c>
      <c r="N249" s="267"/>
    </row>
    <row r="250" spans="1:14">
      <c r="A250" s="605">
        <f t="shared" si="25"/>
        <v>236</v>
      </c>
      <c r="B250" s="382">
        <v>39902</v>
      </c>
      <c r="C250" s="4" t="s">
        <v>1456</v>
      </c>
      <c r="D250" s="709">
        <v>0</v>
      </c>
      <c r="E250" s="342">
        <v>1</v>
      </c>
      <c r="F250" s="684">
        <f>Allocation!$C$15</f>
        <v>0.1086</v>
      </c>
      <c r="G250" s="684">
        <f>Allocation!$D$15</f>
        <v>0.48899999999999999</v>
      </c>
      <c r="H250" s="345">
        <f t="shared" si="29"/>
        <v>0</v>
      </c>
      <c r="N250" s="267"/>
    </row>
    <row r="251" spans="1:14">
      <c r="A251" s="605">
        <f t="shared" si="25"/>
        <v>237</v>
      </c>
      <c r="B251" s="382">
        <v>39903</v>
      </c>
      <c r="C251" s="4" t="s">
        <v>1447</v>
      </c>
      <c r="D251" s="709">
        <v>74366.593368000002</v>
      </c>
      <c r="E251" s="342">
        <v>1</v>
      </c>
      <c r="F251" s="684">
        <f>Allocation!$C$15</f>
        <v>0.1086</v>
      </c>
      <c r="G251" s="684">
        <f>Allocation!$D$15</f>
        <v>0.48899999999999999</v>
      </c>
      <c r="H251" s="345">
        <f t="shared" si="29"/>
        <v>3949.2676874449871</v>
      </c>
      <c r="N251" s="267"/>
    </row>
    <row r="252" spans="1:14">
      <c r="A252" s="605">
        <f t="shared" si="25"/>
        <v>238</v>
      </c>
      <c r="B252" s="382">
        <v>39906</v>
      </c>
      <c r="C252" s="4" t="s">
        <v>1448</v>
      </c>
      <c r="D252" s="709">
        <v>333584.27228699997</v>
      </c>
      <c r="E252" s="342">
        <v>1</v>
      </c>
      <c r="F252" s="684">
        <f>Allocation!$C$15</f>
        <v>0.1086</v>
      </c>
      <c r="G252" s="684">
        <f>Allocation!$D$15</f>
        <v>0.48899999999999999</v>
      </c>
      <c r="H252" s="345">
        <f t="shared" si="29"/>
        <v>17715.126213510048</v>
      </c>
      <c r="N252" s="267"/>
    </row>
    <row r="253" spans="1:14">
      <c r="A253" s="605">
        <f t="shared" si="25"/>
        <v>239</v>
      </c>
      <c r="B253" s="382">
        <v>39907</v>
      </c>
      <c r="C253" s="4" t="s">
        <v>1449</v>
      </c>
      <c r="D253" s="709">
        <v>0</v>
      </c>
      <c r="E253" s="342">
        <v>1</v>
      </c>
      <c r="F253" s="684">
        <f>Allocation!$C$15</f>
        <v>0.1086</v>
      </c>
      <c r="G253" s="684">
        <f>Allocation!$D$15</f>
        <v>0.48899999999999999</v>
      </c>
      <c r="H253" s="345">
        <f t="shared" si="29"/>
        <v>0</v>
      </c>
      <c r="N253" s="267"/>
    </row>
    <row r="254" spans="1:14">
      <c r="A254" s="605">
        <f t="shared" si="25"/>
        <v>240</v>
      </c>
      <c r="B254" s="382">
        <v>39908</v>
      </c>
      <c r="C254" s="4" t="s">
        <v>1450</v>
      </c>
      <c r="D254" s="709">
        <v>7462508.3823281899</v>
      </c>
      <c r="E254" s="342">
        <v>1</v>
      </c>
      <c r="F254" s="684">
        <f>Allocation!$C$15</f>
        <v>0.1086</v>
      </c>
      <c r="G254" s="684">
        <f>Allocation!$D$15</f>
        <v>0.48899999999999999</v>
      </c>
      <c r="H254" s="345">
        <f t="shared" si="29"/>
        <v>396299.49264689145</v>
      </c>
      <c r="N254" s="267"/>
    </row>
    <row r="255" spans="1:14">
      <c r="A255" s="605">
        <f t="shared" si="25"/>
        <v>241</v>
      </c>
      <c r="B255" s="382">
        <v>39910</v>
      </c>
      <c r="C255" s="4" t="s">
        <v>1470</v>
      </c>
      <c r="D255" s="709">
        <v>39753.568583582608</v>
      </c>
      <c r="E255" s="342">
        <v>1</v>
      </c>
      <c r="F255" s="267">
        <v>1</v>
      </c>
      <c r="G255" s="684">
        <f>Allocation!$E$21</f>
        <v>2.983098E-2</v>
      </c>
      <c r="H255" s="345">
        <f t="shared" si="29"/>
        <v>1185.8879093454811</v>
      </c>
      <c r="N255" s="267"/>
    </row>
    <row r="256" spans="1:14">
      <c r="A256" s="605">
        <f t="shared" si="25"/>
        <v>242</v>
      </c>
      <c r="B256" s="382">
        <v>39916</v>
      </c>
      <c r="C256" s="4" t="s">
        <v>1471</v>
      </c>
      <c r="D256" s="709">
        <v>23187.054271000005</v>
      </c>
      <c r="E256" s="342">
        <v>1</v>
      </c>
      <c r="F256" s="267">
        <v>1</v>
      </c>
      <c r="G256" s="684">
        <f>Allocation!$E$21</f>
        <v>2.983098E-2</v>
      </c>
      <c r="H256" s="345">
        <f t="shared" si="29"/>
        <v>691.69255221711569</v>
      </c>
      <c r="N256" s="267"/>
    </row>
    <row r="257" spans="1:14">
      <c r="A257" s="605">
        <f t="shared" si="25"/>
        <v>243</v>
      </c>
      <c r="B257" s="382">
        <v>39917</v>
      </c>
      <c r="C257" s="4" t="s">
        <v>1472</v>
      </c>
      <c r="D257" s="709">
        <v>384.66806400000002</v>
      </c>
      <c r="E257" s="342">
        <v>1</v>
      </c>
      <c r="F257" s="267">
        <v>1</v>
      </c>
      <c r="G257" s="684">
        <f>Allocation!$E$21</f>
        <v>2.983098E-2</v>
      </c>
      <c r="H257" s="345">
        <f t="shared" si="29"/>
        <v>11.47502532382272</v>
      </c>
      <c r="N257" s="267"/>
    </row>
    <row r="258" spans="1:14">
      <c r="A258" s="605">
        <f t="shared" si="25"/>
        <v>244</v>
      </c>
      <c r="B258" s="382">
        <v>39918</v>
      </c>
      <c r="C258" s="4" t="s">
        <v>1424</v>
      </c>
      <c r="D258" s="709">
        <v>0</v>
      </c>
      <c r="E258" s="342">
        <v>1</v>
      </c>
      <c r="F258" s="267">
        <v>1</v>
      </c>
      <c r="G258" s="684">
        <f>Allocation!$E$21</f>
        <v>2.983098E-2</v>
      </c>
      <c r="H258" s="345">
        <f t="shared" si="29"/>
        <v>0</v>
      </c>
      <c r="N258" s="267"/>
    </row>
    <row r="259" spans="1:14">
      <c r="A259" s="605">
        <f t="shared" si="25"/>
        <v>245</v>
      </c>
      <c r="B259" s="382">
        <v>39924</v>
      </c>
      <c r="C259" s="4" t="s">
        <v>1425</v>
      </c>
      <c r="D259" s="709">
        <v>0</v>
      </c>
      <c r="E259" s="342">
        <v>1</v>
      </c>
      <c r="F259" s="684">
        <f>Allocation!$C$15</f>
        <v>0.1086</v>
      </c>
      <c r="G259" s="684">
        <f>Allocation!$D$15</f>
        <v>0.48899999999999999</v>
      </c>
      <c r="H259" s="345">
        <f t="shared" si="29"/>
        <v>0</v>
      </c>
      <c r="N259" s="267"/>
    </row>
    <row r="260" spans="1:14">
      <c r="A260" s="605">
        <f t="shared" si="25"/>
        <v>246</v>
      </c>
      <c r="B260" s="382"/>
      <c r="C260" s="4"/>
      <c r="D260" s="549"/>
      <c r="E260" s="564"/>
      <c r="F260" s="267"/>
      <c r="G260" s="267"/>
      <c r="H260" s="549"/>
    </row>
    <row r="261" spans="1:14">
      <c r="A261" s="605">
        <f t="shared" si="25"/>
        <v>247</v>
      </c>
      <c r="B261" s="1"/>
      <c r="C261" s="4"/>
      <c r="D261" s="248"/>
      <c r="F261" s="37"/>
      <c r="G261" s="37"/>
    </row>
    <row r="262" spans="1:14" ht="15.75" thickBot="1">
      <c r="A262" s="605">
        <f t="shared" si="25"/>
        <v>248</v>
      </c>
      <c r="B262" s="1"/>
      <c r="C262" s="4" t="s">
        <v>1260</v>
      </c>
      <c r="D262" s="715">
        <f>SUM(D231:D261)</f>
        <v>9928028.1751829442</v>
      </c>
      <c r="E262" s="563"/>
      <c r="F262" s="37"/>
      <c r="G262" s="37"/>
      <c r="H262" s="715">
        <f>SUM(H231:H261)</f>
        <v>513869.65679626615</v>
      </c>
    </row>
    <row r="263" spans="1:14" ht="15.75" thickTop="1">
      <c r="A263" s="605">
        <f t="shared" si="25"/>
        <v>249</v>
      </c>
      <c r="F263" s="37"/>
      <c r="G263" s="37"/>
    </row>
    <row r="264" spans="1:14" ht="30.75" thickBot="1">
      <c r="A264" s="605">
        <f t="shared" si="25"/>
        <v>250</v>
      </c>
      <c r="C264" s="336" t="s">
        <v>1103</v>
      </c>
      <c r="D264" s="715">
        <f>D262+D226+D181+D118</f>
        <v>56380305.743294373</v>
      </c>
      <c r="E264" s="563"/>
      <c r="F264" s="37"/>
      <c r="G264" s="37"/>
      <c r="H264" s="715">
        <f>H262+H226+H181+H118</f>
        <v>21931010.947935872</v>
      </c>
    </row>
    <row r="265" spans="1:14" ht="15.75" thickTop="1">
      <c r="A265" s="605">
        <f t="shared" si="25"/>
        <v>251</v>
      </c>
      <c r="C265" s="336"/>
      <c r="D265" s="713"/>
      <c r="E265" s="563"/>
      <c r="F265" s="37"/>
      <c r="G265" s="37"/>
      <c r="H265" s="713"/>
    </row>
    <row r="266" spans="1:14">
      <c r="A266" s="605">
        <f t="shared" si="25"/>
        <v>252</v>
      </c>
      <c r="B266" s="1063" t="s">
        <v>1656</v>
      </c>
      <c r="C266" s="1063"/>
      <c r="D266" s="1063"/>
      <c r="E266" s="1063"/>
      <c r="F266" s="1063"/>
      <c r="G266" s="1063"/>
      <c r="H266" s="1063"/>
    </row>
    <row r="267" spans="1:14">
      <c r="A267" s="605">
        <f t="shared" si="25"/>
        <v>253</v>
      </c>
      <c r="B267" s="1063"/>
      <c r="C267" s="1063"/>
      <c r="D267" s="1063"/>
      <c r="E267" s="1063"/>
      <c r="F267" s="1063"/>
      <c r="G267" s="1063"/>
      <c r="H267" s="1063"/>
    </row>
    <row r="268" spans="1:14">
      <c r="B268" s="1048"/>
      <c r="C268" s="1048"/>
      <c r="D268" s="1048"/>
      <c r="E268" s="1048"/>
      <c r="F268" s="1048"/>
      <c r="G268" s="1048"/>
      <c r="H268" s="1048"/>
    </row>
    <row r="269" spans="1:14">
      <c r="B269" s="1048"/>
      <c r="C269" s="1048"/>
      <c r="D269" s="1048"/>
      <c r="E269" s="1048"/>
      <c r="F269" s="1048"/>
      <c r="G269" s="1048"/>
      <c r="H269" s="1048"/>
    </row>
    <row r="270" spans="1:14">
      <c r="C270" t="s">
        <v>657</v>
      </c>
      <c r="D270" s="243"/>
    </row>
    <row r="271" spans="1:14">
      <c r="C271" t="s">
        <v>1611</v>
      </c>
    </row>
  </sheetData>
  <mergeCells count="5">
    <mergeCell ref="B266:H267"/>
    <mergeCell ref="A1:H1"/>
    <mergeCell ref="A2:H2"/>
    <mergeCell ref="A3:H3"/>
    <mergeCell ref="A4:H4"/>
  </mergeCells>
  <phoneticPr fontId="20" type="noConversion"/>
  <printOptions horizontalCentered="1"/>
  <pageMargins left="0.75" right="0.49" top="0.78" bottom="1" header="0.5" footer="0.33"/>
  <pageSetup scale="44" fitToHeight="15" orientation="landscape" r:id="rId1"/>
  <headerFooter alignWithMargins="0">
    <oddFooter>&amp;RSchedule &amp;A
Page &amp;P of &amp;N</oddFooter>
  </headerFooter>
  <rowBreaks count="5" manualBreakCount="5">
    <brk id="61" max="7" man="1"/>
    <brk id="120" max="7" man="1"/>
    <brk id="181" max="16383" man="1"/>
    <brk id="226" max="16383" man="1"/>
    <brk id="270" max="16383" man="1"/>
  </rowBreaks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A1:E33"/>
  <sheetViews>
    <sheetView view="pageBreakPreview" zoomScale="80" zoomScaleNormal="100" zoomScaleSheetLayoutView="80" workbookViewId="0">
      <selection activeCell="E9" sqref="E9"/>
    </sheetView>
  </sheetViews>
  <sheetFormatPr defaultColWidth="8.44140625" defaultRowHeight="15"/>
  <cols>
    <col min="1" max="1" width="6.6640625" style="30" customWidth="1"/>
    <col min="2" max="2" width="30.6640625" style="30" customWidth="1"/>
    <col min="3" max="3" width="24.6640625" style="30" customWidth="1"/>
    <col min="4" max="4" width="17" style="30" customWidth="1"/>
    <col min="5" max="5" width="22" style="30" customWidth="1"/>
    <col min="6" max="6" width="11.88671875" style="30" customWidth="1"/>
    <col min="7" max="16384" width="8.44140625" style="30"/>
  </cols>
  <sheetData>
    <row r="1" spans="1:5" s="1" customFormat="1">
      <c r="A1" s="1059" t="str">
        <f>'Table of Contents'!A1:C1</f>
        <v>Atmos Energy Corporation, Kentucky/Mid-States Division</v>
      </c>
      <c r="B1" s="1059"/>
      <c r="C1" s="1059"/>
      <c r="D1" s="1059"/>
      <c r="E1" s="1059"/>
    </row>
    <row r="2" spans="1:5" s="1" customFormat="1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</row>
    <row r="3" spans="1:5" s="1" customFormat="1">
      <c r="A3" s="1060" t="s">
        <v>410</v>
      </c>
      <c r="B3" s="1060"/>
      <c r="C3" s="1060"/>
      <c r="D3" s="1060"/>
      <c r="E3" s="1060"/>
    </row>
    <row r="4" spans="1:5" s="1" customFormat="1">
      <c r="A4" s="1059" t="str">
        <f>'B.1 B'!A4</f>
        <v>Base Period: Twelve Months Ended December 31, 2024</v>
      </c>
      <c r="B4" s="1059"/>
      <c r="C4" s="1059"/>
      <c r="D4" s="1059"/>
      <c r="E4" s="1059"/>
    </row>
    <row r="5" spans="1:5" s="1" customFormat="1"/>
    <row r="6" spans="1:5" s="1" customFormat="1">
      <c r="A6" s="699" t="str">
        <f>'B.1 B'!A6</f>
        <v>Data:__X___Base Period______Forecasted Period</v>
      </c>
      <c r="E6" s="84" t="s">
        <v>1334</v>
      </c>
    </row>
    <row r="7" spans="1:5" s="1" customFormat="1">
      <c r="A7" s="699" t="str">
        <f>'B.1 B'!A7</f>
        <v>Type of Filing:___X____Original________Updated ________Revised</v>
      </c>
      <c r="B7" s="4"/>
      <c r="E7" s="17" t="s">
        <v>674</v>
      </c>
    </row>
    <row r="8" spans="1:5" s="1" customFormat="1">
      <c r="A8" s="717" t="str">
        <f>'B.1 B'!A8</f>
        <v>Workpaper Reference No(s).</v>
      </c>
      <c r="B8" s="6"/>
      <c r="C8" s="6"/>
      <c r="D8" s="6"/>
      <c r="E8" s="635" t="s">
        <v>1664</v>
      </c>
    </row>
    <row r="9" spans="1:5" s="1" customFormat="1">
      <c r="C9" s="2" t="s">
        <v>672</v>
      </c>
    </row>
    <row r="10" spans="1:5" s="1" customFormat="1">
      <c r="A10" s="2" t="s">
        <v>88</v>
      </c>
      <c r="B10" s="4" t="s">
        <v>755</v>
      </c>
      <c r="C10" s="2" t="s">
        <v>673</v>
      </c>
      <c r="D10" s="2" t="s">
        <v>90</v>
      </c>
      <c r="E10" s="2" t="s">
        <v>91</v>
      </c>
    </row>
    <row r="11" spans="1:5" s="1" customFormat="1">
      <c r="A11" s="9" t="s">
        <v>94</v>
      </c>
      <c r="B11" s="5" t="s">
        <v>1147</v>
      </c>
      <c r="C11" s="9" t="s">
        <v>533</v>
      </c>
      <c r="D11" s="9" t="s">
        <v>501</v>
      </c>
      <c r="E11" s="9" t="s">
        <v>97</v>
      </c>
    </row>
    <row r="12" spans="1:5" s="1" customFormat="1">
      <c r="E12" s="2"/>
    </row>
    <row r="14" spans="1:5" s="1" customFormat="1">
      <c r="A14" s="2" t="s">
        <v>1056</v>
      </c>
      <c r="B14" s="4" t="s">
        <v>754</v>
      </c>
      <c r="C14" s="4" t="s">
        <v>1509</v>
      </c>
      <c r="D14" s="2"/>
      <c r="E14" s="1026">
        <f>'Table of Contents'!C27</f>
        <v>-1984345</v>
      </c>
    </row>
    <row r="15" spans="1:5" s="1" customFormat="1">
      <c r="D15" s="11"/>
      <c r="E15" s="10"/>
    </row>
    <row r="16" spans="1:5" s="1" customFormat="1">
      <c r="A16" s="2">
        <v>2</v>
      </c>
      <c r="B16" s="4" t="s">
        <v>761</v>
      </c>
      <c r="C16" s="4" t="s">
        <v>78</v>
      </c>
      <c r="D16" s="2" t="s">
        <v>77</v>
      </c>
      <c r="E16" s="700">
        <f>'B.4.1 B'!K21</f>
        <v>533486.61512812076</v>
      </c>
    </row>
    <row r="17" spans="1:5" s="1" customFormat="1">
      <c r="D17" s="11"/>
      <c r="E17" s="206"/>
    </row>
    <row r="18" spans="1:5" s="1" customFormat="1">
      <c r="A18" s="2">
        <v>3</v>
      </c>
      <c r="B18" s="4" t="s">
        <v>1048</v>
      </c>
      <c r="C18" s="4" t="s">
        <v>78</v>
      </c>
      <c r="D18" s="2" t="s">
        <v>77</v>
      </c>
      <c r="E18" s="700">
        <f>'B.4.1 B'!K28</f>
        <v>17289464.946991775</v>
      </c>
    </row>
    <row r="19" spans="1:5" s="1" customFormat="1">
      <c r="D19" s="11"/>
      <c r="E19" s="206"/>
    </row>
    <row r="20" spans="1:5" s="1" customFormat="1">
      <c r="A20" s="2">
        <v>4</v>
      </c>
      <c r="B20" s="4" t="s">
        <v>760</v>
      </c>
      <c r="C20" s="4" t="s">
        <v>78</v>
      </c>
      <c r="D20" s="2" t="s">
        <v>77</v>
      </c>
      <c r="E20" s="725">
        <f>'B.4.1 B'!K35</f>
        <v>0</v>
      </c>
    </row>
    <row r="21" spans="1:5" s="1" customFormat="1">
      <c r="D21" s="11"/>
      <c r="E21" s="10"/>
    </row>
    <row r="22" spans="1:5" ht="15.75" thickBot="1">
      <c r="A22" s="2">
        <v>5</v>
      </c>
      <c r="B22" s="4" t="s">
        <v>464</v>
      </c>
      <c r="C22" s="1"/>
      <c r="D22" s="1"/>
      <c r="E22" s="703">
        <f>SUM(E14:E20)</f>
        <v>15838606.562119896</v>
      </c>
    </row>
    <row r="23" spans="1:5" ht="15.75" thickTop="1">
      <c r="D23" s="125"/>
      <c r="E23" s="103"/>
    </row>
    <row r="24" spans="1:5">
      <c r="E24" s="103"/>
    </row>
    <row r="25" spans="1:5">
      <c r="D25" s="125"/>
      <c r="E25" s="103"/>
    </row>
    <row r="26" spans="1:5">
      <c r="E26" s="103"/>
    </row>
    <row r="27" spans="1:5">
      <c r="D27" s="125"/>
      <c r="E27" s="103"/>
    </row>
    <row r="28" spans="1:5">
      <c r="E28" s="103"/>
    </row>
    <row r="29" spans="1:5">
      <c r="D29" s="125"/>
      <c r="E29" s="103"/>
    </row>
    <row r="30" spans="1:5">
      <c r="E30" s="103"/>
    </row>
    <row r="31" spans="1:5">
      <c r="E31" s="103"/>
    </row>
    <row r="32" spans="1:5">
      <c r="E32" s="103"/>
    </row>
    <row r="33" spans="5:5">
      <c r="E33" s="103"/>
    </row>
  </sheetData>
  <mergeCells count="4">
    <mergeCell ref="A1:E1"/>
    <mergeCell ref="A2:E2"/>
    <mergeCell ref="A3:E3"/>
    <mergeCell ref="A4:E4"/>
  </mergeCells>
  <phoneticPr fontId="20" type="noConversion"/>
  <printOptions horizontalCentered="1"/>
  <pageMargins left="0.75" right="0.75" top="1" bottom="0.5" header="0.5" footer="0.5"/>
  <pageSetup orientation="landscape" verticalDpi="300" r:id="rId1"/>
  <headerFooter alignWithMargins="0">
    <oddFooter>&amp;RSchedule &amp;A
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rgb="FF92D050"/>
  </sheetPr>
  <dimension ref="A1:E39"/>
  <sheetViews>
    <sheetView view="pageBreakPreview" zoomScale="80" zoomScaleNormal="100" zoomScaleSheetLayoutView="80" workbookViewId="0">
      <selection activeCell="E8" sqref="E8"/>
    </sheetView>
  </sheetViews>
  <sheetFormatPr defaultColWidth="8.44140625" defaultRowHeight="15"/>
  <cols>
    <col min="1" max="1" width="6.6640625" style="30" customWidth="1"/>
    <col min="2" max="2" width="30.6640625" style="30" customWidth="1"/>
    <col min="3" max="3" width="24.6640625" style="30" customWidth="1"/>
    <col min="4" max="4" width="17" style="30" customWidth="1"/>
    <col min="5" max="5" width="20.21875" style="30" customWidth="1"/>
    <col min="6" max="6" width="11.88671875" style="30" customWidth="1"/>
    <col min="7" max="16384" width="8.44140625" style="30"/>
  </cols>
  <sheetData>
    <row r="1" spans="1:5" s="1" customFormat="1">
      <c r="A1" s="1059" t="str">
        <f>'Table of Contents'!A1:C1</f>
        <v>Atmos Energy Corporation, Kentucky/Mid-States Division</v>
      </c>
      <c r="B1" s="1059"/>
      <c r="C1" s="1059"/>
      <c r="D1" s="1059"/>
      <c r="E1" s="1059"/>
    </row>
    <row r="2" spans="1:5" s="1" customFormat="1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</row>
    <row r="3" spans="1:5" s="1" customFormat="1">
      <c r="A3" s="1060" t="s">
        <v>410</v>
      </c>
      <c r="B3" s="1060"/>
      <c r="C3" s="1060"/>
      <c r="D3" s="1060"/>
      <c r="E3" s="1060"/>
    </row>
    <row r="4" spans="1:5" s="1" customFormat="1">
      <c r="A4" s="1059" t="str">
        <f>'B.1 F '!A4</f>
        <v>Forecasted Test Period:  Twelve Months Ended March 31, 2026</v>
      </c>
      <c r="B4" s="1059"/>
      <c r="C4" s="1059"/>
      <c r="D4" s="1059"/>
      <c r="E4" s="1059"/>
    </row>
    <row r="5" spans="1:5" s="1" customFormat="1"/>
    <row r="6" spans="1:5" s="1" customFormat="1">
      <c r="A6" s="699" t="str">
        <f>'B.1 F '!A6</f>
        <v>Data:______Base Period__X___Forecasted Period</v>
      </c>
      <c r="E6" s="84" t="s">
        <v>1334</v>
      </c>
    </row>
    <row r="7" spans="1:5" s="1" customFormat="1">
      <c r="A7" s="699" t="str">
        <f>'B.1 F '!A7</f>
        <v>Type of Filing:___X____Original________Updated ________Revised</v>
      </c>
      <c r="B7" s="4"/>
      <c r="E7" s="17" t="s">
        <v>675</v>
      </c>
    </row>
    <row r="8" spans="1:5" s="1" customFormat="1">
      <c r="A8" s="717" t="str">
        <f>'B.1 F '!A8</f>
        <v>Workpaper Reference No(s).</v>
      </c>
      <c r="B8" s="6"/>
      <c r="C8" s="6"/>
      <c r="D8" s="6"/>
      <c r="E8" s="704" t="str">
        <f>'B.4 B'!E8</f>
        <v>Witness: Christian, Waller</v>
      </c>
    </row>
    <row r="9" spans="1:5" s="1" customFormat="1">
      <c r="C9" s="2" t="s">
        <v>672</v>
      </c>
    </row>
    <row r="10" spans="1:5" s="1" customFormat="1">
      <c r="A10" s="2" t="s">
        <v>88</v>
      </c>
      <c r="B10" s="4" t="s">
        <v>755</v>
      </c>
      <c r="C10" s="2" t="s">
        <v>673</v>
      </c>
      <c r="D10" s="2" t="s">
        <v>90</v>
      </c>
      <c r="E10" s="2" t="s">
        <v>91</v>
      </c>
    </row>
    <row r="11" spans="1:5" s="1" customFormat="1">
      <c r="A11" s="9" t="s">
        <v>94</v>
      </c>
      <c r="B11" s="5" t="s">
        <v>1147</v>
      </c>
      <c r="C11" s="9" t="s">
        <v>533</v>
      </c>
      <c r="D11" s="9" t="s">
        <v>501</v>
      </c>
      <c r="E11" s="9" t="s">
        <v>97</v>
      </c>
    </row>
    <row r="12" spans="1:5" s="1" customFormat="1">
      <c r="E12" s="2"/>
    </row>
    <row r="14" spans="1:5" s="1" customFormat="1">
      <c r="A14" s="2">
        <v>1</v>
      </c>
      <c r="B14" s="4" t="s">
        <v>754</v>
      </c>
      <c r="C14" s="4" t="s">
        <v>1509</v>
      </c>
      <c r="D14" s="2"/>
      <c r="E14" s="1026">
        <f>'Table of Contents'!C28</f>
        <v>-2199566</v>
      </c>
    </row>
    <row r="15" spans="1:5" s="1" customFormat="1">
      <c r="D15" s="11"/>
      <c r="E15" s="10"/>
    </row>
    <row r="16" spans="1:5" s="1" customFormat="1">
      <c r="A16" s="2">
        <v>2</v>
      </c>
      <c r="B16" s="4" t="s">
        <v>761</v>
      </c>
      <c r="C16" s="4" t="s">
        <v>78</v>
      </c>
      <c r="D16" s="2" t="s">
        <v>77</v>
      </c>
      <c r="E16" s="695">
        <f>'B.4.1 F'!K21</f>
        <v>522265.74280141329</v>
      </c>
    </row>
    <row r="17" spans="1:5" s="1" customFormat="1">
      <c r="D17" s="11"/>
      <c r="E17" s="10"/>
    </row>
    <row r="18" spans="1:5" s="1" customFormat="1">
      <c r="A18" s="2">
        <v>3</v>
      </c>
      <c r="B18" s="4" t="s">
        <v>1048</v>
      </c>
      <c r="C18" s="4" t="s">
        <v>78</v>
      </c>
      <c r="D18" s="2" t="s">
        <v>77</v>
      </c>
      <c r="E18" s="695">
        <f>'B.4.1 F'!K28</f>
        <v>9182907.3274840545</v>
      </c>
    </row>
    <row r="19" spans="1:5" s="1" customFormat="1">
      <c r="D19" s="11"/>
      <c r="E19" s="10"/>
    </row>
    <row r="20" spans="1:5" s="1" customFormat="1">
      <c r="A20" s="2">
        <v>4</v>
      </c>
      <c r="B20" s="4" t="s">
        <v>760</v>
      </c>
      <c r="C20" s="4" t="s">
        <v>78</v>
      </c>
      <c r="D20" s="2" t="s">
        <v>77</v>
      </c>
      <c r="E20" s="701">
        <f>'B.4.1 F'!K35</f>
        <v>0</v>
      </c>
    </row>
    <row r="21" spans="1:5" s="1" customFormat="1">
      <c r="D21" s="2"/>
      <c r="E21" s="10"/>
    </row>
    <row r="22" spans="1:5" ht="15.75" thickBot="1">
      <c r="A22" s="2">
        <v>5</v>
      </c>
      <c r="B22" s="4" t="s">
        <v>464</v>
      </c>
      <c r="C22" s="1"/>
      <c r="D22" s="1"/>
      <c r="E22" s="703">
        <f>SUM(E14:E20)</f>
        <v>7505607.0702854674</v>
      </c>
    </row>
    <row r="23" spans="1:5" ht="15.75" thickTop="1">
      <c r="E23" s="103"/>
    </row>
    <row r="24" spans="1:5">
      <c r="D24" s="125"/>
      <c r="E24" s="103"/>
    </row>
    <row r="25" spans="1:5">
      <c r="E25" s="103"/>
    </row>
    <row r="26" spans="1:5">
      <c r="D26" s="125"/>
      <c r="E26" s="103"/>
    </row>
    <row r="27" spans="1:5">
      <c r="E27" s="103"/>
    </row>
    <row r="28" spans="1:5">
      <c r="D28" s="125"/>
      <c r="E28" s="103"/>
    </row>
    <row r="29" spans="1:5">
      <c r="E29" s="103"/>
    </row>
    <row r="30" spans="1:5">
      <c r="E30" s="103"/>
    </row>
    <row r="31" spans="1:5">
      <c r="E31" s="103"/>
    </row>
    <row r="32" spans="1:5">
      <c r="A32" s="98"/>
      <c r="B32" s="98"/>
      <c r="E32" s="103"/>
    </row>
    <row r="33" spans="2:5">
      <c r="B33" s="98"/>
      <c r="E33" s="103"/>
    </row>
    <row r="34" spans="2:5">
      <c r="B34" s="98"/>
      <c r="E34" s="103"/>
    </row>
    <row r="35" spans="2:5">
      <c r="B35" s="98"/>
      <c r="E35" s="103"/>
    </row>
    <row r="36" spans="2:5">
      <c r="E36" s="103"/>
    </row>
    <row r="37" spans="2:5">
      <c r="E37" s="103"/>
    </row>
    <row r="38" spans="2:5">
      <c r="E38" s="103"/>
    </row>
    <row r="39" spans="2:5">
      <c r="E39" s="103"/>
    </row>
  </sheetData>
  <mergeCells count="4">
    <mergeCell ref="A1:E1"/>
    <mergeCell ref="A2:E2"/>
    <mergeCell ref="A3:E3"/>
    <mergeCell ref="A4:E4"/>
  </mergeCells>
  <phoneticPr fontId="20" type="noConversion"/>
  <printOptions horizontalCentered="1"/>
  <pageMargins left="0.75" right="0.75" top="1.08" bottom="0.5" header="0.5" footer="0.5"/>
  <pageSetup orientation="landscape" verticalDpi="300" r:id="rId1"/>
  <headerFooter alignWithMargins="0">
    <oddFooter>&amp;RSchedule &amp;A
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  <pageSetUpPr fitToPage="1"/>
  </sheetPr>
  <dimension ref="A1:K47"/>
  <sheetViews>
    <sheetView view="pageBreakPreview" zoomScale="80" zoomScaleNormal="100" zoomScaleSheetLayoutView="80" workbookViewId="0">
      <selection activeCell="C17" sqref="C17"/>
    </sheetView>
  </sheetViews>
  <sheetFormatPr defaultColWidth="8.44140625" defaultRowHeight="15"/>
  <cols>
    <col min="1" max="1" width="5" style="45" customWidth="1"/>
    <col min="2" max="2" width="42.77734375" style="45" customWidth="1"/>
    <col min="3" max="3" width="14.109375" style="45" customWidth="1"/>
    <col min="4" max="4" width="13.5546875" style="45" customWidth="1"/>
    <col min="5" max="5" width="11.77734375" style="45" customWidth="1"/>
    <col min="6" max="6" width="12.5546875" style="45" customWidth="1"/>
    <col min="7" max="7" width="2.88671875" style="45" customWidth="1"/>
    <col min="8" max="8" width="13.33203125" style="45" bestFit="1" customWidth="1"/>
    <col min="9" max="9" width="12.6640625" style="45" customWidth="1"/>
    <col min="10" max="10" width="10.77734375" style="45" customWidth="1"/>
    <col min="11" max="11" width="11.6640625" style="45" customWidth="1"/>
    <col min="12" max="16384" width="8.44140625" style="45"/>
  </cols>
  <sheetData>
    <row r="1" spans="1:11">
      <c r="A1" s="1070" t="str">
        <f>Allocation!A1</f>
        <v>Atmos Energy Corporation, Kentucky/Mid-States Division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</row>
    <row r="2" spans="1:11">
      <c r="A2" s="1070" t="str">
        <f>Allocation!A2</f>
        <v xml:space="preserve">Kentucky Jurisdiction Case No. 2024-00276 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</row>
    <row r="3" spans="1:11">
      <c r="A3" s="1071" t="s">
        <v>939</v>
      </c>
      <c r="B3" s="1071"/>
      <c r="C3" s="1071"/>
      <c r="D3" s="1071"/>
      <c r="E3" s="1071"/>
      <c r="F3" s="1071"/>
      <c r="G3" s="1071"/>
      <c r="H3" s="1071"/>
      <c r="I3" s="1071"/>
      <c r="J3" s="1071"/>
      <c r="K3" s="1071"/>
    </row>
    <row r="4" spans="1:11">
      <c r="A4" s="1070" t="str">
        <f>'B.1 B'!A4</f>
        <v>Base Period: Twelve Months Ended December 31, 2024</v>
      </c>
      <c r="B4" s="1070"/>
      <c r="C4" s="1070"/>
      <c r="D4" s="1070"/>
      <c r="E4" s="1070"/>
      <c r="F4" s="1070"/>
      <c r="G4" s="1070"/>
      <c r="H4" s="1070"/>
      <c r="I4" s="1070"/>
      <c r="J4" s="1070"/>
      <c r="K4" s="1070"/>
    </row>
    <row r="7" spans="1:11">
      <c r="A7" s="726" t="str">
        <f>'B.1 B'!A6</f>
        <v>Data:__X___Base Period______Forecasted Period</v>
      </c>
      <c r="K7" s="286" t="s">
        <v>1335</v>
      </c>
    </row>
    <row r="8" spans="1:11">
      <c r="A8" s="726" t="str">
        <f>'B.1 B'!A7</f>
        <v>Type of Filing:___X____Original________Updated ________Revised</v>
      </c>
      <c r="B8" s="4"/>
      <c r="K8" s="378" t="s">
        <v>676</v>
      </c>
    </row>
    <row r="9" spans="1:11">
      <c r="A9" s="726" t="str">
        <f>'B.1 B'!A8</f>
        <v>Workpaper Reference No(s).</v>
      </c>
      <c r="K9" s="727" t="str">
        <f>'B.2 B'!N8</f>
        <v>Witness: Waller</v>
      </c>
    </row>
    <row r="10" spans="1:11">
      <c r="A10" s="199"/>
      <c r="B10" s="200"/>
      <c r="C10" s="1064" t="s">
        <v>1128</v>
      </c>
      <c r="D10" s="1065"/>
      <c r="E10" s="1065"/>
      <c r="F10" s="1066"/>
      <c r="H10" s="1067" t="s">
        <v>486</v>
      </c>
      <c r="I10" s="1068"/>
      <c r="J10" s="1068"/>
      <c r="K10" s="1069"/>
    </row>
    <row r="11" spans="1:11">
      <c r="A11" s="268"/>
      <c r="B11" s="269"/>
      <c r="C11" s="199"/>
      <c r="D11" s="196" t="s">
        <v>12</v>
      </c>
      <c r="E11" s="197" t="s">
        <v>10</v>
      </c>
      <c r="F11" s="200"/>
      <c r="H11" s="199"/>
      <c r="I11" s="196" t="s">
        <v>12</v>
      </c>
      <c r="J11" s="197" t="s">
        <v>10</v>
      </c>
      <c r="K11" s="200"/>
    </row>
    <row r="12" spans="1:11">
      <c r="A12" s="270" t="s">
        <v>88</v>
      </c>
      <c r="B12" s="269"/>
      <c r="C12" s="728">
        <f>'B.2 B'!D10</f>
        <v>45657</v>
      </c>
      <c r="D12" s="2" t="s">
        <v>13</v>
      </c>
      <c r="E12" s="2" t="s">
        <v>567</v>
      </c>
      <c r="F12" s="201" t="s">
        <v>11</v>
      </c>
      <c r="G12" s="131"/>
      <c r="H12" s="729">
        <f>C12</f>
        <v>45657</v>
      </c>
      <c r="I12" s="2" t="s">
        <v>13</v>
      </c>
      <c r="J12" s="2" t="s">
        <v>567</v>
      </c>
      <c r="K12" s="201" t="s">
        <v>11</v>
      </c>
    </row>
    <row r="13" spans="1:11">
      <c r="A13" s="271" t="s">
        <v>94</v>
      </c>
      <c r="B13" s="272" t="s">
        <v>949</v>
      </c>
      <c r="C13" s="191" t="s">
        <v>308</v>
      </c>
      <c r="D13" s="27" t="s">
        <v>600</v>
      </c>
      <c r="E13" s="27" t="s">
        <v>600</v>
      </c>
      <c r="F13" s="202" t="s">
        <v>99</v>
      </c>
      <c r="G13" s="131"/>
      <c r="H13" s="191" t="s">
        <v>362</v>
      </c>
      <c r="I13" s="27" t="s">
        <v>600</v>
      </c>
      <c r="J13" s="27" t="s">
        <v>600</v>
      </c>
      <c r="K13" s="202" t="s">
        <v>99</v>
      </c>
    </row>
    <row r="14" spans="1:11">
      <c r="C14" s="131"/>
      <c r="F14" s="131"/>
      <c r="G14" s="131"/>
      <c r="H14" s="131"/>
      <c r="I14" s="131"/>
      <c r="K14" s="131"/>
    </row>
    <row r="16" spans="1:11">
      <c r="A16" s="131">
        <v>1</v>
      </c>
      <c r="B16" s="48" t="s">
        <v>493</v>
      </c>
      <c r="C16" s="46"/>
      <c r="D16" s="131"/>
      <c r="E16" s="131"/>
      <c r="F16" s="46"/>
      <c r="G16" s="46"/>
      <c r="H16" s="46"/>
      <c r="I16" s="46"/>
      <c r="J16" s="131"/>
      <c r="K16" s="46"/>
    </row>
    <row r="17" spans="1:11">
      <c r="A17" s="131">
        <v>2</v>
      </c>
      <c r="B17" s="184" t="s">
        <v>1129</v>
      </c>
      <c r="C17" s="730">
        <f>'WP B.4.1B'!O18</f>
        <v>-29509.686666666672</v>
      </c>
      <c r="D17" s="208">
        <v>1</v>
      </c>
      <c r="E17" s="208">
        <v>1</v>
      </c>
      <c r="F17" s="731">
        <f>C17*D17*E17</f>
        <v>-29509.686666666672</v>
      </c>
      <c r="G17" s="46"/>
      <c r="H17" s="730">
        <f>'WP B.4.1B'!P18</f>
        <v>-29025.553076923075</v>
      </c>
      <c r="I17" s="732">
        <f t="shared" ref="I17:J20" si="0">D17</f>
        <v>1</v>
      </c>
      <c r="J17" s="732">
        <f t="shared" si="0"/>
        <v>1</v>
      </c>
      <c r="K17" s="731">
        <f>H17*I17*J17</f>
        <v>-29025.553076923075</v>
      </c>
    </row>
    <row r="18" spans="1:11">
      <c r="A18" s="131">
        <v>3</v>
      </c>
      <c r="B18" s="184" t="s">
        <v>1130</v>
      </c>
      <c r="C18" s="733">
        <f>'WP B.4.1B'!O24</f>
        <v>1100524.9216666666</v>
      </c>
      <c r="D18" s="208">
        <v>1</v>
      </c>
      <c r="E18" s="734">
        <f>Allocation!H17</f>
        <v>0.49969999999999998</v>
      </c>
      <c r="F18" s="735">
        <f>C18*D18*E18</f>
        <v>549932.30335683329</v>
      </c>
      <c r="G18" s="207"/>
      <c r="H18" s="733">
        <f>'WP B.4.1B'!P24</f>
        <v>1097860.2353846154</v>
      </c>
      <c r="I18" s="732">
        <f t="shared" si="0"/>
        <v>1</v>
      </c>
      <c r="J18" s="736">
        <f t="shared" si="0"/>
        <v>0.49969999999999998</v>
      </c>
      <c r="K18" s="735">
        <f>H18*I18*J18</f>
        <v>548600.75962169224</v>
      </c>
    </row>
    <row r="19" spans="1:11">
      <c r="A19" s="131">
        <v>4</v>
      </c>
      <c r="B19" s="184" t="s">
        <v>1131</v>
      </c>
      <c r="C19" s="733">
        <f>'WP B.4.1B'!O30</f>
        <v>312923.48</v>
      </c>
      <c r="D19" s="734">
        <f>Allocation!C14</f>
        <v>8.8999999999999996E-2</v>
      </c>
      <c r="E19" s="734">
        <f>Allocation!H14</f>
        <v>0.49969999999999998</v>
      </c>
      <c r="F19" s="735">
        <f>C19*D19*E19</f>
        <v>13916.739803084</v>
      </c>
      <c r="G19" s="207"/>
      <c r="H19" s="733">
        <f>'WP B.4.1B'!P30</f>
        <v>312803.60538461537</v>
      </c>
      <c r="I19" s="736">
        <f t="shared" si="0"/>
        <v>8.8999999999999996E-2</v>
      </c>
      <c r="J19" s="736">
        <f t="shared" si="0"/>
        <v>0.49969999999999998</v>
      </c>
      <c r="K19" s="735">
        <f>H19*I19*J19</f>
        <v>13911.408583351615</v>
      </c>
    </row>
    <row r="20" spans="1:11">
      <c r="A20" s="131">
        <v>5</v>
      </c>
      <c r="B20" s="184" t="s">
        <v>1132</v>
      </c>
      <c r="C20" s="737">
        <f>'WP B.4.1B'!O36</f>
        <v>0</v>
      </c>
      <c r="D20" s="734">
        <f>Allocation!C15</f>
        <v>0.1086</v>
      </c>
      <c r="E20" s="734">
        <f>Allocation!H15</f>
        <v>0.49459999999999998</v>
      </c>
      <c r="F20" s="738">
        <f>C20*D20*E20</f>
        <v>0</v>
      </c>
      <c r="G20" s="207"/>
      <c r="H20" s="737">
        <f>'WP B.4.1B'!P36</f>
        <v>0</v>
      </c>
      <c r="I20" s="736">
        <f t="shared" si="0"/>
        <v>0.1086</v>
      </c>
      <c r="J20" s="736">
        <f t="shared" si="0"/>
        <v>0.49459999999999998</v>
      </c>
      <c r="K20" s="738">
        <f>H20*I20*J20</f>
        <v>0</v>
      </c>
    </row>
    <row r="21" spans="1:11">
      <c r="A21" s="131">
        <v>6</v>
      </c>
      <c r="B21" s="165" t="s">
        <v>91</v>
      </c>
      <c r="C21" s="739">
        <f>SUM(C17:C20)</f>
        <v>1383938.7149999999</v>
      </c>
      <c r="D21" s="99"/>
      <c r="E21" s="131"/>
      <c r="F21" s="739">
        <f>SUM(F17:F20)</f>
        <v>534339.3564932507</v>
      </c>
      <c r="G21" s="46"/>
      <c r="H21" s="739">
        <f>SUM(H17:H20)</f>
        <v>1381638.2876923075</v>
      </c>
      <c r="I21" s="46"/>
      <c r="J21" s="131"/>
      <c r="K21" s="739">
        <f>SUM(K17:K20)</f>
        <v>533486.61512812076</v>
      </c>
    </row>
    <row r="22" spans="1:11">
      <c r="A22" s="131">
        <v>7</v>
      </c>
      <c r="F22" s="46"/>
      <c r="G22" s="46"/>
      <c r="H22" s="46"/>
      <c r="I22" s="46"/>
      <c r="K22" s="46"/>
    </row>
    <row r="23" spans="1:11">
      <c r="A23" s="131">
        <v>8</v>
      </c>
      <c r="B23" s="48" t="s">
        <v>494</v>
      </c>
      <c r="C23" s="46"/>
      <c r="D23" s="131"/>
      <c r="E23" s="131"/>
      <c r="F23" s="46"/>
      <c r="G23" s="46"/>
      <c r="H23" s="46"/>
      <c r="I23" s="46"/>
      <c r="J23" s="131"/>
      <c r="K23" s="46"/>
    </row>
    <row r="24" spans="1:11">
      <c r="A24" s="131">
        <v>9</v>
      </c>
      <c r="B24" s="184" t="s">
        <v>1129</v>
      </c>
      <c r="C24" s="730">
        <f>'WP B.4.1B'!O40</f>
        <v>14105107.93756515</v>
      </c>
      <c r="D24" s="732">
        <f>D17</f>
        <v>1</v>
      </c>
      <c r="E24" s="732">
        <f>E17</f>
        <v>1</v>
      </c>
      <c r="F24" s="731">
        <f>C24*D24*E24</f>
        <v>14105107.93756515</v>
      </c>
      <c r="G24" s="46"/>
      <c r="H24" s="730">
        <f>'WP B.4.1B'!P40</f>
        <v>17289464.946991775</v>
      </c>
      <c r="I24" s="732">
        <f>I17</f>
        <v>1</v>
      </c>
      <c r="J24" s="732">
        <f>J17</f>
        <v>1</v>
      </c>
      <c r="K24" s="731">
        <f>H24*I24*J24</f>
        <v>17289464.946991775</v>
      </c>
    </row>
    <row r="25" spans="1:11">
      <c r="A25" s="131">
        <v>10</v>
      </c>
      <c r="B25" s="184" t="s">
        <v>1130</v>
      </c>
      <c r="C25" s="740">
        <f>'WP B.4.1B'!O42</f>
        <v>0</v>
      </c>
      <c r="D25" s="732">
        <f t="shared" ref="D25:E27" si="1">D18</f>
        <v>1</v>
      </c>
      <c r="E25" s="736">
        <f t="shared" si="1"/>
        <v>0.49969999999999998</v>
      </c>
      <c r="F25" s="735">
        <f>C25*D25*E25</f>
        <v>0</v>
      </c>
      <c r="G25" s="207"/>
      <c r="H25" s="733">
        <f>'WP B.4.1B'!P42</f>
        <v>0</v>
      </c>
      <c r="I25" s="732">
        <f t="shared" ref="I25:J27" si="2">I18</f>
        <v>1</v>
      </c>
      <c r="J25" s="736">
        <f t="shared" si="2"/>
        <v>0.49969999999999998</v>
      </c>
      <c r="K25" s="735">
        <f>H25*I25*J25</f>
        <v>0</v>
      </c>
    </row>
    <row r="26" spans="1:11">
      <c r="A26" s="131">
        <v>11</v>
      </c>
      <c r="B26" s="184" t="s">
        <v>1131</v>
      </c>
      <c r="C26" s="740">
        <f>'WP B.4.1B'!O44</f>
        <v>0</v>
      </c>
      <c r="D26" s="736">
        <f t="shared" si="1"/>
        <v>8.8999999999999996E-2</v>
      </c>
      <c r="E26" s="736">
        <f t="shared" si="1"/>
        <v>0.49969999999999998</v>
      </c>
      <c r="F26" s="735">
        <f>C26*D26*E26</f>
        <v>0</v>
      </c>
      <c r="G26" s="207"/>
      <c r="H26" s="733">
        <f>'WP B.4.1B'!P44</f>
        <v>0</v>
      </c>
      <c r="I26" s="736">
        <f t="shared" si="2"/>
        <v>8.8999999999999996E-2</v>
      </c>
      <c r="J26" s="736">
        <f t="shared" si="2"/>
        <v>0.49969999999999998</v>
      </c>
      <c r="K26" s="735">
        <f>H26*I26*J26</f>
        <v>0</v>
      </c>
    </row>
    <row r="27" spans="1:11">
      <c r="A27" s="131">
        <v>12</v>
      </c>
      <c r="B27" s="184" t="s">
        <v>1132</v>
      </c>
      <c r="C27" s="741">
        <f>'WP B.4.1B'!O46</f>
        <v>0</v>
      </c>
      <c r="D27" s="736">
        <f t="shared" si="1"/>
        <v>0.1086</v>
      </c>
      <c r="E27" s="736">
        <f t="shared" si="1"/>
        <v>0.49459999999999998</v>
      </c>
      <c r="F27" s="738">
        <f>C27*D27*E27</f>
        <v>0</v>
      </c>
      <c r="G27" s="207"/>
      <c r="H27" s="737">
        <f>'WP B.4.1B'!P46</f>
        <v>0</v>
      </c>
      <c r="I27" s="736">
        <f t="shared" si="2"/>
        <v>0.1086</v>
      </c>
      <c r="J27" s="736">
        <f t="shared" si="2"/>
        <v>0.49459999999999998</v>
      </c>
      <c r="K27" s="738">
        <f>H27*I27*J27</f>
        <v>0</v>
      </c>
    </row>
    <row r="28" spans="1:11">
      <c r="A28" s="131">
        <v>13</v>
      </c>
      <c r="B28" s="165" t="s">
        <v>91</v>
      </c>
      <c r="C28" s="739">
        <f>SUM(C24:C27)</f>
        <v>14105107.93756515</v>
      </c>
      <c r="D28" s="131"/>
      <c r="E28" s="131"/>
      <c r="F28" s="739">
        <f>SUM(F24:F27)</f>
        <v>14105107.93756515</v>
      </c>
      <c r="G28" s="46"/>
      <c r="H28" s="739">
        <f>SUM(H24:H27)</f>
        <v>17289464.946991775</v>
      </c>
      <c r="I28" s="46"/>
      <c r="J28" s="131"/>
      <c r="K28" s="739">
        <f>SUM(K24:K27)</f>
        <v>17289464.946991775</v>
      </c>
    </row>
    <row r="29" spans="1:11">
      <c r="A29" s="131">
        <v>14</v>
      </c>
      <c r="B29" s="165"/>
      <c r="D29" s="132"/>
      <c r="E29" s="132"/>
      <c r="F29" s="46"/>
      <c r="G29" s="46"/>
      <c r="H29" s="46"/>
      <c r="I29" s="46"/>
      <c r="J29" s="131"/>
      <c r="K29" s="46"/>
    </row>
    <row r="30" spans="1:11">
      <c r="A30" s="131">
        <v>15</v>
      </c>
      <c r="B30" s="48" t="s">
        <v>495</v>
      </c>
      <c r="C30" s="46"/>
      <c r="D30" s="131"/>
      <c r="E30" s="131"/>
      <c r="F30" s="46"/>
      <c r="G30" s="46"/>
      <c r="H30" s="46"/>
      <c r="I30" s="46"/>
      <c r="J30" s="131"/>
      <c r="K30" s="46"/>
    </row>
    <row r="31" spans="1:11">
      <c r="A31" s="131">
        <v>16</v>
      </c>
      <c r="B31" s="184" t="s">
        <v>1129</v>
      </c>
      <c r="C31" s="730">
        <f>'WP B.4.1B'!O50</f>
        <v>0</v>
      </c>
      <c r="D31" s="732">
        <f>D17</f>
        <v>1</v>
      </c>
      <c r="E31" s="732">
        <f>E17</f>
        <v>1</v>
      </c>
      <c r="F31" s="731">
        <f>C31*D31*E31</f>
        <v>0</v>
      </c>
      <c r="G31" s="46"/>
      <c r="H31" s="730">
        <f>'WP B.4.1B'!P50</f>
        <v>0</v>
      </c>
      <c r="I31" s="732">
        <f>I17</f>
        <v>1</v>
      </c>
      <c r="J31" s="732">
        <f>J17</f>
        <v>1</v>
      </c>
      <c r="K31" s="731">
        <f>H31*I31*J31</f>
        <v>0</v>
      </c>
    </row>
    <row r="32" spans="1:11">
      <c r="A32" s="131">
        <v>17</v>
      </c>
      <c r="B32" s="184" t="s">
        <v>1130</v>
      </c>
      <c r="C32" s="733">
        <f>'WP B.4.1B'!O52</f>
        <v>0</v>
      </c>
      <c r="D32" s="732">
        <f t="shared" ref="D32:E34" si="3">D18</f>
        <v>1</v>
      </c>
      <c r="E32" s="736">
        <f t="shared" si="3"/>
        <v>0.49969999999999998</v>
      </c>
      <c r="F32" s="735">
        <f>C32*D32*E32</f>
        <v>0</v>
      </c>
      <c r="G32" s="46"/>
      <c r="H32" s="733">
        <f>'WP B.4.1B'!P52</f>
        <v>0</v>
      </c>
      <c r="I32" s="732">
        <f t="shared" ref="I32:J34" si="4">I18</f>
        <v>1</v>
      </c>
      <c r="J32" s="736">
        <f t="shared" si="4"/>
        <v>0.49969999999999998</v>
      </c>
      <c r="K32" s="735">
        <f>H32*I32*J32</f>
        <v>0</v>
      </c>
    </row>
    <row r="33" spans="1:11">
      <c r="A33" s="131">
        <v>18</v>
      </c>
      <c r="B33" s="184" t="s">
        <v>1131</v>
      </c>
      <c r="C33" s="733">
        <f>'WP B.4.1B'!O54</f>
        <v>0</v>
      </c>
      <c r="D33" s="736">
        <f t="shared" si="3"/>
        <v>8.8999999999999996E-2</v>
      </c>
      <c r="E33" s="736">
        <f t="shared" si="3"/>
        <v>0.49969999999999998</v>
      </c>
      <c r="F33" s="735">
        <f>C33*D33*E33</f>
        <v>0</v>
      </c>
      <c r="G33" s="46"/>
      <c r="H33" s="733">
        <f>'WP B.4.1B'!P54</f>
        <v>0</v>
      </c>
      <c r="I33" s="736">
        <f t="shared" si="4"/>
        <v>8.8999999999999996E-2</v>
      </c>
      <c r="J33" s="736">
        <f t="shared" si="4"/>
        <v>0.49969999999999998</v>
      </c>
      <c r="K33" s="735">
        <f>H33*I33*J33</f>
        <v>0</v>
      </c>
    </row>
    <row r="34" spans="1:11">
      <c r="A34" s="131">
        <v>19</v>
      </c>
      <c r="B34" s="184" t="s">
        <v>1132</v>
      </c>
      <c r="C34" s="737">
        <f>'WP B.4.1B'!O56</f>
        <v>0</v>
      </c>
      <c r="D34" s="736">
        <f t="shared" si="3"/>
        <v>0.1086</v>
      </c>
      <c r="E34" s="736">
        <f t="shared" si="3"/>
        <v>0.49459999999999998</v>
      </c>
      <c r="F34" s="738">
        <f>C34*D34*E34</f>
        <v>0</v>
      </c>
      <c r="G34" s="46"/>
      <c r="H34" s="737">
        <f>'WP B.4.1B'!P56</f>
        <v>0</v>
      </c>
      <c r="I34" s="736">
        <f t="shared" si="4"/>
        <v>0.1086</v>
      </c>
      <c r="J34" s="736">
        <f t="shared" si="4"/>
        <v>0.49459999999999998</v>
      </c>
      <c r="K34" s="738">
        <f>H34*I34*J34</f>
        <v>0</v>
      </c>
    </row>
    <row r="35" spans="1:11">
      <c r="A35" s="131">
        <v>20</v>
      </c>
      <c r="B35" s="165" t="s">
        <v>91</v>
      </c>
      <c r="C35" s="739">
        <f>SUM(C31:C34)</f>
        <v>0</v>
      </c>
      <c r="D35" s="131"/>
      <c r="E35" s="131"/>
      <c r="F35" s="739">
        <f>SUM(F31:F34)</f>
        <v>0</v>
      </c>
      <c r="G35" s="46"/>
      <c r="H35" s="739">
        <f>SUM(H31:H34)</f>
        <v>0</v>
      </c>
      <c r="I35" s="46"/>
      <c r="J35" s="131"/>
      <c r="K35" s="739">
        <f>SUM(K31:K34)</f>
        <v>0</v>
      </c>
    </row>
    <row r="36" spans="1:11">
      <c r="A36" s="131">
        <v>21</v>
      </c>
      <c r="B36" s="165"/>
      <c r="D36" s="132"/>
      <c r="E36" s="132"/>
      <c r="F36" s="46"/>
      <c r="G36" s="46"/>
      <c r="H36" s="46"/>
      <c r="I36" s="46"/>
      <c r="K36" s="46"/>
    </row>
    <row r="37" spans="1:11" ht="15.75" thickBot="1">
      <c r="A37" s="131">
        <v>22</v>
      </c>
      <c r="B37" s="48" t="s">
        <v>463</v>
      </c>
      <c r="C37" s="742">
        <f>C35+C28+C21</f>
        <v>15489046.65256515</v>
      </c>
      <c r="F37" s="742">
        <f>F35+F28+F21</f>
        <v>14639447.294058401</v>
      </c>
      <c r="G37" s="46"/>
      <c r="H37" s="742">
        <f>H35+H28+H21</f>
        <v>18671103.234684084</v>
      </c>
      <c r="I37" s="46"/>
      <c r="K37" s="742">
        <f>K35+K28+K21</f>
        <v>17822951.562119897</v>
      </c>
    </row>
    <row r="38" spans="1:11" ht="15.75" thickTop="1">
      <c r="D38" s="132"/>
      <c r="E38" s="132"/>
      <c r="F38" s="46"/>
      <c r="G38" s="46"/>
      <c r="H38" s="46"/>
      <c r="I38" s="46"/>
    </row>
    <row r="39" spans="1:11">
      <c r="A39" s="131"/>
      <c r="F39" s="46"/>
      <c r="G39" s="46"/>
      <c r="H39" s="46"/>
      <c r="I39" s="46"/>
    </row>
    <row r="40" spans="1:11">
      <c r="D40" s="132"/>
      <c r="E40" s="132"/>
      <c r="F40" s="46"/>
      <c r="G40" s="46"/>
    </row>
    <row r="41" spans="1:11">
      <c r="C41" s="46"/>
      <c r="F41" s="46"/>
      <c r="G41" s="46"/>
    </row>
    <row r="42" spans="1:11">
      <c r="D42" s="132"/>
      <c r="E42" s="132"/>
      <c r="F42" s="46"/>
      <c r="G42" s="46"/>
    </row>
    <row r="43" spans="1:11">
      <c r="F43" s="46"/>
      <c r="G43" s="46"/>
    </row>
    <row r="44" spans="1:11">
      <c r="D44" s="132"/>
      <c r="E44" s="132"/>
      <c r="F44" s="46"/>
      <c r="G44" s="46"/>
    </row>
    <row r="45" spans="1:11">
      <c r="F45" s="46"/>
      <c r="G45" s="46"/>
    </row>
    <row r="46" spans="1:11">
      <c r="D46" s="132"/>
      <c r="E46" s="132"/>
      <c r="F46" s="46"/>
      <c r="G46" s="46"/>
    </row>
    <row r="47" spans="1:11">
      <c r="F47" s="46"/>
      <c r="G47" s="46"/>
    </row>
  </sheetData>
  <mergeCells count="6">
    <mergeCell ref="C10:F10"/>
    <mergeCell ref="H10:K10"/>
    <mergeCell ref="A1:K1"/>
    <mergeCell ref="A2:K2"/>
    <mergeCell ref="A3:K3"/>
    <mergeCell ref="A4:K4"/>
  </mergeCells>
  <phoneticPr fontId="20" type="noConversion"/>
  <pageMargins left="0.56999999999999995" right="0.5" top="0.75" bottom="0.5" header="0.5" footer="0.5"/>
  <pageSetup scale="70" orientation="landscape" verticalDpi="300" r:id="rId1"/>
  <headerFooter alignWithMargins="0">
    <oddFooter>&amp;RSchedule &amp;A
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  <pageSetUpPr fitToPage="1"/>
  </sheetPr>
  <dimension ref="A1:K47"/>
  <sheetViews>
    <sheetView view="pageBreakPreview" zoomScale="80" zoomScaleNormal="100" zoomScaleSheetLayoutView="80" workbookViewId="0">
      <selection sqref="A1:K1"/>
    </sheetView>
  </sheetViews>
  <sheetFormatPr defaultColWidth="8.44140625" defaultRowHeight="15"/>
  <cols>
    <col min="1" max="1" width="5" style="45" customWidth="1"/>
    <col min="2" max="2" width="42.77734375" style="45" customWidth="1"/>
    <col min="3" max="3" width="13.88671875" style="45" customWidth="1"/>
    <col min="4" max="4" width="13.6640625" style="45" customWidth="1"/>
    <col min="5" max="5" width="11.6640625" style="45" customWidth="1"/>
    <col min="6" max="6" width="13.5546875" style="45" customWidth="1"/>
    <col min="7" max="7" width="2.88671875" style="45" customWidth="1"/>
    <col min="8" max="8" width="13.33203125" style="45" bestFit="1" customWidth="1"/>
    <col min="9" max="9" width="13.109375" style="45" bestFit="1" customWidth="1"/>
    <col min="10" max="10" width="10.44140625" style="45" customWidth="1"/>
    <col min="11" max="11" width="13.33203125" style="45" customWidth="1"/>
    <col min="12" max="16384" width="8.44140625" style="45"/>
  </cols>
  <sheetData>
    <row r="1" spans="1:11">
      <c r="A1" s="1070" t="str">
        <f>Allocation!A1</f>
        <v>Atmos Energy Corporation, Kentucky/Mid-States Division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</row>
    <row r="2" spans="1:11">
      <c r="A2" s="1070" t="str">
        <f>Allocation!A2</f>
        <v xml:space="preserve">Kentucky Jurisdiction Case No. 2024-00276 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</row>
    <row r="3" spans="1:11">
      <c r="A3" s="1071" t="s">
        <v>939</v>
      </c>
      <c r="B3" s="1071"/>
      <c r="C3" s="1071"/>
      <c r="D3" s="1071"/>
      <c r="E3" s="1071"/>
      <c r="F3" s="1071"/>
      <c r="G3" s="1071"/>
      <c r="H3" s="1071"/>
      <c r="I3" s="1071"/>
      <c r="J3" s="1071"/>
      <c r="K3" s="1071"/>
    </row>
    <row r="4" spans="1:11">
      <c r="A4" s="1070" t="str">
        <f>'B.1 F '!A4</f>
        <v>Forecasted Test Period:  Twelve Months Ended March 31, 2026</v>
      </c>
      <c r="B4" s="1070"/>
      <c r="C4" s="1070"/>
      <c r="D4" s="1070"/>
      <c r="E4" s="1070"/>
      <c r="F4" s="1070"/>
      <c r="G4" s="1070"/>
      <c r="H4" s="1070"/>
      <c r="I4" s="1070"/>
      <c r="J4" s="1070"/>
      <c r="K4" s="1070"/>
    </row>
    <row r="7" spans="1:11">
      <c r="A7" s="726" t="str">
        <f>'B.1 F '!A6</f>
        <v>Data:______Base Period__X___Forecasted Period</v>
      </c>
      <c r="K7" s="286" t="s">
        <v>1335</v>
      </c>
    </row>
    <row r="8" spans="1:11">
      <c r="A8" s="726" t="str">
        <f>'B.1 F '!A7</f>
        <v>Type of Filing:___X____Original________Updated ________Revised</v>
      </c>
      <c r="B8" s="4"/>
      <c r="K8" s="378" t="s">
        <v>677</v>
      </c>
    </row>
    <row r="9" spans="1:11">
      <c r="A9" s="726" t="str">
        <f>'B.1 F '!A8</f>
        <v>Workpaper Reference No(s).</v>
      </c>
      <c r="K9" s="727" t="str">
        <f>'B.4.1 B'!K9</f>
        <v>Witness: Waller</v>
      </c>
    </row>
    <row r="10" spans="1:11">
      <c r="A10" s="199"/>
      <c r="B10" s="200"/>
      <c r="C10" s="1064" t="s">
        <v>154</v>
      </c>
      <c r="D10" s="1065"/>
      <c r="E10" s="1065"/>
      <c r="F10" s="1066"/>
      <c r="H10" s="1067" t="s">
        <v>486</v>
      </c>
      <c r="I10" s="1068"/>
      <c r="J10" s="1068"/>
      <c r="K10" s="1069"/>
    </row>
    <row r="11" spans="1:11">
      <c r="A11" s="268"/>
      <c r="B11" s="269"/>
      <c r="C11" s="199"/>
      <c r="D11" s="196" t="s">
        <v>12</v>
      </c>
      <c r="E11" s="197" t="s">
        <v>10</v>
      </c>
      <c r="F11" s="200"/>
      <c r="H11" s="199"/>
      <c r="I11" s="196" t="s">
        <v>12</v>
      </c>
      <c r="J11" s="197" t="s">
        <v>10</v>
      </c>
      <c r="K11" s="200"/>
    </row>
    <row r="12" spans="1:11">
      <c r="A12" s="270" t="s">
        <v>88</v>
      </c>
      <c r="B12" s="269"/>
      <c r="C12" s="728">
        <f>'B.2 F'!D10</f>
        <v>46112</v>
      </c>
      <c r="D12" s="2" t="s">
        <v>13</v>
      </c>
      <c r="E12" s="2" t="s">
        <v>567</v>
      </c>
      <c r="F12" s="201" t="s">
        <v>11</v>
      </c>
      <c r="G12" s="131"/>
      <c r="H12" s="729">
        <f>C12</f>
        <v>46112</v>
      </c>
      <c r="I12" s="2" t="s">
        <v>13</v>
      </c>
      <c r="J12" s="2" t="s">
        <v>567</v>
      </c>
      <c r="K12" s="201" t="s">
        <v>11</v>
      </c>
    </row>
    <row r="13" spans="1:11">
      <c r="A13" s="271" t="s">
        <v>94</v>
      </c>
      <c r="B13" s="272" t="s">
        <v>949</v>
      </c>
      <c r="C13" s="191" t="s">
        <v>308</v>
      </c>
      <c r="D13" s="27" t="s">
        <v>600</v>
      </c>
      <c r="E13" s="27" t="s">
        <v>600</v>
      </c>
      <c r="F13" s="202" t="s">
        <v>99</v>
      </c>
      <c r="G13" s="131"/>
      <c r="H13" s="191" t="s">
        <v>362</v>
      </c>
      <c r="I13" s="27" t="s">
        <v>600</v>
      </c>
      <c r="J13" s="27" t="s">
        <v>600</v>
      </c>
      <c r="K13" s="202" t="s">
        <v>99</v>
      </c>
    </row>
    <row r="14" spans="1:11">
      <c r="C14" s="131"/>
      <c r="F14" s="131"/>
      <c r="G14" s="131"/>
      <c r="H14" s="131"/>
      <c r="I14" s="131"/>
      <c r="K14" s="131"/>
    </row>
    <row r="16" spans="1:11">
      <c r="A16" s="131">
        <v>1</v>
      </c>
      <c r="B16" s="48" t="s">
        <v>493</v>
      </c>
      <c r="C16" s="46"/>
      <c r="D16" s="131"/>
      <c r="E16" s="131"/>
      <c r="F16" s="46"/>
      <c r="G16" s="46"/>
      <c r="H16" s="46"/>
      <c r="I16" s="46"/>
      <c r="J16" s="131"/>
      <c r="K16" s="46"/>
    </row>
    <row r="17" spans="1:11">
      <c r="A17" s="131">
        <v>2</v>
      </c>
      <c r="B17" s="184" t="s">
        <v>1129</v>
      </c>
      <c r="C17" s="730">
        <f>'WP B.4.1F'!O19</f>
        <v>-29509.686666666672</v>
      </c>
      <c r="D17" s="208">
        <v>1</v>
      </c>
      <c r="E17" s="208">
        <v>1</v>
      </c>
      <c r="F17" s="731">
        <f>C17*D17*E17</f>
        <v>-29509.686666666672</v>
      </c>
      <c r="G17" s="46"/>
      <c r="H17" s="730">
        <f>'WP B.4.1F'!P19</f>
        <v>-29509.686666666665</v>
      </c>
      <c r="I17" s="732">
        <f t="shared" ref="I17:J20" si="0">D17</f>
        <v>1</v>
      </c>
      <c r="J17" s="732">
        <f t="shared" si="0"/>
        <v>1</v>
      </c>
      <c r="K17" s="731">
        <f>H17*I17*J17</f>
        <v>-29509.686666666665</v>
      </c>
    </row>
    <row r="18" spans="1:11">
      <c r="A18" s="131">
        <v>3</v>
      </c>
      <c r="B18" s="184" t="s">
        <v>1130</v>
      </c>
      <c r="C18" s="733">
        <f>'WP B.4.1F'!O25</f>
        <v>1100524.9216666666</v>
      </c>
      <c r="D18" s="208">
        <v>1</v>
      </c>
      <c r="E18" s="734">
        <f>Allocation!D17</f>
        <v>0.48899999999999999</v>
      </c>
      <c r="F18" s="735">
        <f>C18*D18*E18</f>
        <v>538156.68669499992</v>
      </c>
      <c r="G18" s="46"/>
      <c r="H18" s="733">
        <f>'WP B.4.1F'!P25</f>
        <v>1100524.9216666666</v>
      </c>
      <c r="I18" s="732">
        <f t="shared" si="0"/>
        <v>1</v>
      </c>
      <c r="J18" s="736">
        <f t="shared" si="0"/>
        <v>0.48899999999999999</v>
      </c>
      <c r="K18" s="735">
        <f>H18*I18*J18</f>
        <v>538156.68669499992</v>
      </c>
    </row>
    <row r="19" spans="1:11">
      <c r="A19" s="131">
        <v>4</v>
      </c>
      <c r="B19" s="184" t="s">
        <v>1131</v>
      </c>
      <c r="C19" s="733">
        <f>'WP B.4.1F'!O31</f>
        <v>312923.48</v>
      </c>
      <c r="D19" s="734">
        <f>Allocation!C14</f>
        <v>8.8999999999999996E-2</v>
      </c>
      <c r="E19" s="734">
        <f>Allocation!D14</f>
        <v>0.48899999999999999</v>
      </c>
      <c r="F19" s="735">
        <f>C19*D19*E19</f>
        <v>13618.742773079999</v>
      </c>
      <c r="G19" s="46"/>
      <c r="H19" s="733">
        <f>'WP B.4.1F'!P31</f>
        <v>312923.48</v>
      </c>
      <c r="I19" s="736">
        <f t="shared" si="0"/>
        <v>8.8999999999999996E-2</v>
      </c>
      <c r="J19" s="736">
        <f t="shared" si="0"/>
        <v>0.48899999999999999</v>
      </c>
      <c r="K19" s="735">
        <f>H19*I19*J19</f>
        <v>13618.742773079999</v>
      </c>
    </row>
    <row r="20" spans="1:11">
      <c r="A20" s="131">
        <v>5</v>
      </c>
      <c r="B20" s="184" t="s">
        <v>1132</v>
      </c>
      <c r="C20" s="737">
        <f>'WP B.4.1F'!O37</f>
        <v>0</v>
      </c>
      <c r="D20" s="734">
        <f>Allocation!C15</f>
        <v>0.1086</v>
      </c>
      <c r="E20" s="734">
        <f>Allocation!D15</f>
        <v>0.48899999999999999</v>
      </c>
      <c r="F20" s="738">
        <f>C20*D20*E20</f>
        <v>0</v>
      </c>
      <c r="G20" s="46"/>
      <c r="H20" s="737">
        <f>'WP B.4.1F'!T37</f>
        <v>0</v>
      </c>
      <c r="I20" s="736">
        <f t="shared" si="0"/>
        <v>0.1086</v>
      </c>
      <c r="J20" s="736">
        <f t="shared" si="0"/>
        <v>0.48899999999999999</v>
      </c>
      <c r="K20" s="738">
        <f>H20*I20*J20</f>
        <v>0</v>
      </c>
    </row>
    <row r="21" spans="1:11">
      <c r="A21" s="131">
        <v>6</v>
      </c>
      <c r="B21" s="165" t="s">
        <v>91</v>
      </c>
      <c r="C21" s="739">
        <f>SUM(C17:C20)</f>
        <v>1383938.7149999999</v>
      </c>
      <c r="D21" s="99"/>
      <c r="E21" s="131"/>
      <c r="F21" s="739">
        <f>SUM(F17:F20)</f>
        <v>522265.74280141329</v>
      </c>
      <c r="G21" s="46"/>
      <c r="H21" s="739">
        <f>SUM(H17:H20)</f>
        <v>1383938.7149999999</v>
      </c>
      <c r="I21" s="46"/>
      <c r="J21" s="131"/>
      <c r="K21" s="739">
        <f>SUM(K17:K20)</f>
        <v>522265.74280141329</v>
      </c>
    </row>
    <row r="22" spans="1:11">
      <c r="A22" s="131">
        <v>7</v>
      </c>
      <c r="F22" s="46"/>
      <c r="G22" s="46"/>
      <c r="I22" s="46"/>
      <c r="K22" s="46"/>
    </row>
    <row r="23" spans="1:11">
      <c r="A23" s="131">
        <v>8</v>
      </c>
      <c r="B23" s="48" t="s">
        <v>494</v>
      </c>
      <c r="C23" s="46"/>
      <c r="D23" s="131"/>
      <c r="E23" s="131"/>
      <c r="F23" s="46"/>
      <c r="G23" s="46"/>
      <c r="H23" s="46"/>
      <c r="I23" s="46"/>
      <c r="J23" s="131"/>
      <c r="K23" s="46"/>
    </row>
    <row r="24" spans="1:11">
      <c r="A24" s="131">
        <v>9</v>
      </c>
      <c r="B24" s="184" t="s">
        <v>1129</v>
      </c>
      <c r="C24" s="730">
        <f>'WP B.4.1F'!O41</f>
        <v>-4797385.2125037136</v>
      </c>
      <c r="D24" s="732">
        <f t="shared" ref="D24:E27" si="1">D17</f>
        <v>1</v>
      </c>
      <c r="E24" s="732">
        <f t="shared" si="1"/>
        <v>1</v>
      </c>
      <c r="F24" s="731">
        <f>C24*D24*E24</f>
        <v>-4797385.2125037136</v>
      </c>
      <c r="G24" s="46"/>
      <c r="H24" s="730">
        <f>'WP B.4.1F'!P41</f>
        <v>9182907.3274840545</v>
      </c>
      <c r="I24" s="732">
        <f t="shared" ref="I24:J27" si="2">I17</f>
        <v>1</v>
      </c>
      <c r="J24" s="732">
        <f t="shared" si="2"/>
        <v>1</v>
      </c>
      <c r="K24" s="731">
        <f>H24*I24*J24</f>
        <v>9182907.3274840545</v>
      </c>
    </row>
    <row r="25" spans="1:11">
      <c r="A25" s="131">
        <v>10</v>
      </c>
      <c r="B25" s="184" t="s">
        <v>1130</v>
      </c>
      <c r="C25" s="740">
        <f>'WP B.4.1F'!O43</f>
        <v>0</v>
      </c>
      <c r="D25" s="732">
        <f t="shared" si="1"/>
        <v>1</v>
      </c>
      <c r="E25" s="736">
        <f t="shared" si="1"/>
        <v>0.48899999999999999</v>
      </c>
      <c r="F25" s="735">
        <f>C25*D25*E25</f>
        <v>0</v>
      </c>
      <c r="G25" s="46"/>
      <c r="H25" s="740">
        <f>'WP B.4.1F'!P43</f>
        <v>0</v>
      </c>
      <c r="I25" s="732">
        <f t="shared" si="2"/>
        <v>1</v>
      </c>
      <c r="J25" s="736">
        <f t="shared" si="2"/>
        <v>0.48899999999999999</v>
      </c>
      <c r="K25" s="735">
        <f>H25*I25*J25</f>
        <v>0</v>
      </c>
    </row>
    <row r="26" spans="1:11">
      <c r="A26" s="131">
        <v>11</v>
      </c>
      <c r="B26" s="184" t="s">
        <v>1131</v>
      </c>
      <c r="C26" s="740">
        <f>'WP B.4.1F'!O45</f>
        <v>0</v>
      </c>
      <c r="D26" s="736">
        <f t="shared" si="1"/>
        <v>8.8999999999999996E-2</v>
      </c>
      <c r="E26" s="736">
        <f t="shared" si="1"/>
        <v>0.48899999999999999</v>
      </c>
      <c r="F26" s="735">
        <f>C26*D26*E26</f>
        <v>0</v>
      </c>
      <c r="G26" s="46"/>
      <c r="H26" s="740">
        <f>'WP B.4.1F'!P45</f>
        <v>0</v>
      </c>
      <c r="I26" s="736">
        <f t="shared" si="2"/>
        <v>8.8999999999999996E-2</v>
      </c>
      <c r="J26" s="736">
        <f t="shared" si="2"/>
        <v>0.48899999999999999</v>
      </c>
      <c r="K26" s="735">
        <f>H26*I26*J26</f>
        <v>0</v>
      </c>
    </row>
    <row r="27" spans="1:11">
      <c r="A27" s="131">
        <v>12</v>
      </c>
      <c r="B27" s="184" t="s">
        <v>1132</v>
      </c>
      <c r="C27" s="741">
        <f>'WP B.4.1F'!O47</f>
        <v>0</v>
      </c>
      <c r="D27" s="736">
        <f t="shared" si="1"/>
        <v>0.1086</v>
      </c>
      <c r="E27" s="736">
        <f t="shared" si="1"/>
        <v>0.48899999999999999</v>
      </c>
      <c r="F27" s="738">
        <f>C27*D27*E27</f>
        <v>0</v>
      </c>
      <c r="G27" s="46"/>
      <c r="H27" s="741">
        <f>'WP B.4.1F'!P47</f>
        <v>0</v>
      </c>
      <c r="I27" s="736">
        <f t="shared" si="2"/>
        <v>0.1086</v>
      </c>
      <c r="J27" s="736">
        <f t="shared" si="2"/>
        <v>0.48899999999999999</v>
      </c>
      <c r="K27" s="738">
        <f>H27*I27*J27</f>
        <v>0</v>
      </c>
    </row>
    <row r="28" spans="1:11">
      <c r="A28" s="131">
        <v>13</v>
      </c>
      <c r="B28" s="165" t="s">
        <v>91</v>
      </c>
      <c r="C28" s="739">
        <f>SUM(C24:C27)</f>
        <v>-4797385.2125037136</v>
      </c>
      <c r="D28" s="131"/>
      <c r="E28" s="131"/>
      <c r="F28" s="739">
        <f>SUM(F24:F27)</f>
        <v>-4797385.2125037136</v>
      </c>
      <c r="G28" s="46"/>
      <c r="H28" s="739">
        <f>SUM(H24:H27)</f>
        <v>9182907.3274840545</v>
      </c>
      <c r="I28" s="46"/>
      <c r="J28" s="131"/>
      <c r="K28" s="739">
        <f>SUM(K24:K27)</f>
        <v>9182907.3274840545</v>
      </c>
    </row>
    <row r="29" spans="1:11">
      <c r="A29" s="131">
        <v>14</v>
      </c>
      <c r="B29" s="165"/>
      <c r="D29" s="132"/>
      <c r="E29" s="132"/>
      <c r="F29" s="46"/>
      <c r="G29" s="46"/>
      <c r="I29" s="46"/>
      <c r="J29" s="131"/>
      <c r="K29" s="46"/>
    </row>
    <row r="30" spans="1:11">
      <c r="A30" s="131">
        <v>15</v>
      </c>
      <c r="B30" s="48" t="s">
        <v>495</v>
      </c>
      <c r="C30" s="46"/>
      <c r="D30" s="131"/>
      <c r="E30" s="131"/>
      <c r="F30" s="46"/>
      <c r="G30" s="46"/>
      <c r="H30" s="46"/>
      <c r="I30" s="46"/>
      <c r="J30" s="131"/>
      <c r="K30" s="46"/>
    </row>
    <row r="31" spans="1:11">
      <c r="A31" s="131">
        <v>16</v>
      </c>
      <c r="B31" s="184" t="s">
        <v>1129</v>
      </c>
      <c r="C31" s="730">
        <f>'WP B.4.1F'!O51</f>
        <v>0</v>
      </c>
      <c r="D31" s="732">
        <f t="shared" ref="D31:E34" si="3">D17</f>
        <v>1</v>
      </c>
      <c r="E31" s="732">
        <f t="shared" si="3"/>
        <v>1</v>
      </c>
      <c r="F31" s="731">
        <f>C31*D31*E31</f>
        <v>0</v>
      </c>
      <c r="G31" s="46"/>
      <c r="H31" s="730">
        <f>'WP B.4.1F'!P51</f>
        <v>0</v>
      </c>
      <c r="I31" s="732">
        <f t="shared" ref="I31:J34" si="4">I17</f>
        <v>1</v>
      </c>
      <c r="J31" s="732">
        <f t="shared" si="4"/>
        <v>1</v>
      </c>
      <c r="K31" s="731">
        <f>H31*I31*J31</f>
        <v>0</v>
      </c>
    </row>
    <row r="32" spans="1:11">
      <c r="A32" s="131">
        <v>17</v>
      </c>
      <c r="B32" s="184" t="s">
        <v>1130</v>
      </c>
      <c r="C32" s="733">
        <f>'WP B.4.1F'!O53</f>
        <v>0</v>
      </c>
      <c r="D32" s="732">
        <f t="shared" si="3"/>
        <v>1</v>
      </c>
      <c r="E32" s="736">
        <f t="shared" si="3"/>
        <v>0.48899999999999999</v>
      </c>
      <c r="F32" s="735">
        <f>C32*D32*E32</f>
        <v>0</v>
      </c>
      <c r="G32" s="46"/>
      <c r="H32" s="733">
        <f>'WP B.4.1F'!P53</f>
        <v>0</v>
      </c>
      <c r="I32" s="732">
        <f t="shared" si="4"/>
        <v>1</v>
      </c>
      <c r="J32" s="736">
        <f t="shared" si="4"/>
        <v>0.48899999999999999</v>
      </c>
      <c r="K32" s="735">
        <f>H32*I32*J32</f>
        <v>0</v>
      </c>
    </row>
    <row r="33" spans="1:11">
      <c r="A33" s="131">
        <v>18</v>
      </c>
      <c r="B33" s="184" t="s">
        <v>1131</v>
      </c>
      <c r="C33" s="733">
        <f>'WP B.4.1F'!O55</f>
        <v>0</v>
      </c>
      <c r="D33" s="736">
        <f t="shared" si="3"/>
        <v>8.8999999999999996E-2</v>
      </c>
      <c r="E33" s="736">
        <f t="shared" si="3"/>
        <v>0.48899999999999999</v>
      </c>
      <c r="F33" s="735">
        <f>C33*D33*E33</f>
        <v>0</v>
      </c>
      <c r="G33" s="46"/>
      <c r="H33" s="733">
        <f>'WP B.4.1F'!P55</f>
        <v>0</v>
      </c>
      <c r="I33" s="736">
        <f t="shared" si="4"/>
        <v>8.8999999999999996E-2</v>
      </c>
      <c r="J33" s="736">
        <f t="shared" si="4"/>
        <v>0.48899999999999999</v>
      </c>
      <c r="K33" s="735">
        <f>H33*I33*J33</f>
        <v>0</v>
      </c>
    </row>
    <row r="34" spans="1:11">
      <c r="A34" s="131">
        <v>19</v>
      </c>
      <c r="B34" s="184" t="s">
        <v>1132</v>
      </c>
      <c r="C34" s="737">
        <f>'WP B.4.1F'!O57</f>
        <v>0</v>
      </c>
      <c r="D34" s="736">
        <f t="shared" si="3"/>
        <v>0.1086</v>
      </c>
      <c r="E34" s="736">
        <f t="shared" si="3"/>
        <v>0.48899999999999999</v>
      </c>
      <c r="F34" s="738">
        <f>C34*D34*E34</f>
        <v>0</v>
      </c>
      <c r="G34" s="46"/>
      <c r="H34" s="737">
        <f>'WP B.4.1F'!P57</f>
        <v>0</v>
      </c>
      <c r="I34" s="736">
        <f t="shared" si="4"/>
        <v>0.1086</v>
      </c>
      <c r="J34" s="736">
        <f t="shared" si="4"/>
        <v>0.48899999999999999</v>
      </c>
      <c r="K34" s="738">
        <f>H34*I34*J34</f>
        <v>0</v>
      </c>
    </row>
    <row r="35" spans="1:11">
      <c r="A35" s="131">
        <v>20</v>
      </c>
      <c r="B35" s="165" t="s">
        <v>91</v>
      </c>
      <c r="C35" s="739">
        <f>SUM(C31:C34)</f>
        <v>0</v>
      </c>
      <c r="D35" s="131"/>
      <c r="E35" s="131"/>
      <c r="F35" s="739">
        <f>SUM(F31:F34)</f>
        <v>0</v>
      </c>
      <c r="G35" s="46"/>
      <c r="H35" s="739">
        <f>SUM(H31:H34)</f>
        <v>0</v>
      </c>
      <c r="I35" s="46"/>
      <c r="J35" s="131"/>
      <c r="K35" s="739">
        <f>SUM(K31:K34)</f>
        <v>0</v>
      </c>
    </row>
    <row r="36" spans="1:11">
      <c r="A36" s="131">
        <v>21</v>
      </c>
      <c r="B36" s="165"/>
      <c r="D36" s="132"/>
      <c r="E36" s="132"/>
      <c r="F36" s="46"/>
      <c r="G36" s="46"/>
      <c r="H36" s="46"/>
      <c r="I36" s="46"/>
      <c r="K36" s="46"/>
    </row>
    <row r="37" spans="1:11" ht="15.75" thickBot="1">
      <c r="A37" s="131">
        <v>22</v>
      </c>
      <c r="B37" s="48" t="s">
        <v>463</v>
      </c>
      <c r="C37" s="742">
        <f>C35+C28+C21</f>
        <v>-3413446.4975037137</v>
      </c>
      <c r="F37" s="742">
        <f>F35+F28+F21</f>
        <v>-4275119.4697023006</v>
      </c>
      <c r="G37" s="46"/>
      <c r="H37" s="742">
        <f>H35+H28+H21</f>
        <v>10566846.042484054</v>
      </c>
      <c r="I37" s="46"/>
      <c r="K37" s="742">
        <f>K21+K28+K35</f>
        <v>9705173.0702854674</v>
      </c>
    </row>
    <row r="38" spans="1:11" ht="15.75" thickTop="1">
      <c r="D38" s="132"/>
      <c r="E38" s="132"/>
      <c r="F38" s="46"/>
      <c r="G38" s="46"/>
      <c r="H38" s="46"/>
      <c r="I38" s="46"/>
    </row>
    <row r="39" spans="1:11">
      <c r="A39" s="131"/>
      <c r="F39" s="46"/>
      <c r="G39" s="46"/>
      <c r="H39" s="46"/>
      <c r="I39" s="46"/>
    </row>
    <row r="40" spans="1:11">
      <c r="D40" s="132"/>
      <c r="E40" s="132"/>
      <c r="F40" s="46"/>
      <c r="G40" s="46"/>
    </row>
    <row r="41" spans="1:11">
      <c r="C41" s="46"/>
      <c r="F41" s="46"/>
      <c r="G41" s="46"/>
    </row>
    <row r="42" spans="1:11">
      <c r="D42" s="132"/>
      <c r="E42" s="132"/>
      <c r="F42" s="46"/>
      <c r="G42" s="46"/>
    </row>
    <row r="43" spans="1:11">
      <c r="F43" s="46"/>
      <c r="G43" s="46"/>
    </row>
    <row r="44" spans="1:11">
      <c r="D44" s="132"/>
      <c r="E44" s="132"/>
      <c r="F44" s="46"/>
      <c r="G44" s="46"/>
    </row>
    <row r="45" spans="1:11">
      <c r="F45" s="46"/>
      <c r="G45" s="46"/>
    </row>
    <row r="46" spans="1:11">
      <c r="D46" s="132"/>
      <c r="E46" s="132"/>
      <c r="F46" s="46"/>
      <c r="G46" s="46"/>
    </row>
    <row r="47" spans="1:11">
      <c r="F47" s="46"/>
      <c r="G47" s="46"/>
    </row>
  </sheetData>
  <mergeCells count="6">
    <mergeCell ref="C10:F10"/>
    <mergeCell ref="H10:K10"/>
    <mergeCell ref="A1:K1"/>
    <mergeCell ref="A2:K2"/>
    <mergeCell ref="A3:K3"/>
    <mergeCell ref="A4:K4"/>
  </mergeCells>
  <phoneticPr fontId="20" type="noConversion"/>
  <pageMargins left="0.56999999999999995" right="0.59" top="0.85" bottom="0.5" header="0.5" footer="0.5"/>
  <pageSetup scale="68" orientation="landscape" verticalDpi="300" r:id="rId1"/>
  <headerFooter alignWithMargins="0">
    <oddFooter>&amp;RSchedule &amp;A
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K41"/>
  <sheetViews>
    <sheetView view="pageBreakPreview" zoomScale="80" zoomScaleNormal="100" zoomScaleSheetLayoutView="80" workbookViewId="0">
      <selection activeCell="J32" sqref="J32"/>
    </sheetView>
  </sheetViews>
  <sheetFormatPr defaultColWidth="8.44140625" defaultRowHeight="15"/>
  <cols>
    <col min="1" max="1" width="6.6640625" style="30" customWidth="1"/>
    <col min="2" max="2" width="34.109375" style="30" customWidth="1"/>
    <col min="3" max="3" width="3.88671875" style="30" customWidth="1"/>
    <col min="4" max="4" width="13.109375" style="30" customWidth="1"/>
    <col min="5" max="5" width="4.33203125" style="30" customWidth="1"/>
    <col min="6" max="6" width="14.44140625" style="30" customWidth="1"/>
    <col min="7" max="7" width="3.88671875" style="30" customWidth="1"/>
    <col min="8" max="8" width="13.109375" style="30" customWidth="1"/>
    <col min="9" max="9" width="6.6640625" style="30" customWidth="1"/>
    <col min="10" max="10" width="7.5546875" style="30" customWidth="1"/>
    <col min="11" max="11" width="3.33203125" style="30" customWidth="1"/>
    <col min="12" max="12" width="11.88671875" style="30" customWidth="1"/>
    <col min="13" max="13" width="3.33203125" style="30" customWidth="1"/>
    <col min="14" max="14" width="14.44140625" style="30" customWidth="1"/>
    <col min="15" max="16384" width="8.44140625" style="30"/>
  </cols>
  <sheetData>
    <row r="1" spans="1:11" s="1" customFormat="1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</row>
    <row r="2" spans="1:11" s="1" customFormat="1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</row>
    <row r="3" spans="1:11" s="1" customFormat="1">
      <c r="A3" s="1072" t="s">
        <v>1123</v>
      </c>
      <c r="B3" s="1072"/>
      <c r="C3" s="1072"/>
      <c r="D3" s="1072"/>
      <c r="E3" s="1072"/>
      <c r="F3" s="1072"/>
      <c r="G3" s="1072"/>
      <c r="H3" s="1072"/>
    </row>
    <row r="4" spans="1:11">
      <c r="A4" s="1057" t="str">
        <f>'B.1 B'!A4</f>
        <v>Base Period: Twelve Months Ended December 31, 2024</v>
      </c>
      <c r="B4" s="1057"/>
      <c r="C4" s="1057"/>
      <c r="D4" s="1057"/>
      <c r="E4" s="1057"/>
      <c r="F4" s="1057"/>
      <c r="G4" s="1057"/>
      <c r="H4" s="1057"/>
    </row>
    <row r="7" spans="1:11">
      <c r="A7" s="699" t="str">
        <f>'B.1 B'!A6</f>
        <v>Data:__X___Base Period______Forecasted Period</v>
      </c>
      <c r="H7" s="291" t="s">
        <v>1336</v>
      </c>
    </row>
    <row r="8" spans="1:11">
      <c r="A8" s="699" t="str">
        <f>'B.1 B'!A7</f>
        <v>Type of Filing:___X____Original________Updated ________Revised</v>
      </c>
      <c r="B8" s="4"/>
      <c r="H8" s="369" t="s">
        <v>678</v>
      </c>
    </row>
    <row r="9" spans="1:11">
      <c r="A9" s="717" t="str">
        <f>'B.1 B'!A8</f>
        <v>Workpaper Reference No(s).</v>
      </c>
      <c r="B9" s="106"/>
      <c r="C9" s="106"/>
      <c r="D9" s="106"/>
      <c r="E9" s="106"/>
      <c r="F9" s="106"/>
      <c r="G9" s="106"/>
      <c r="H9" s="704" t="str">
        <f>'B.4 B'!E8</f>
        <v>Witness: Christian, Waller</v>
      </c>
    </row>
    <row r="10" spans="1:11">
      <c r="A10" s="104" t="s">
        <v>88</v>
      </c>
      <c r="D10" s="104" t="s">
        <v>462</v>
      </c>
      <c r="F10" s="104" t="s">
        <v>31</v>
      </c>
      <c r="H10" s="104" t="s">
        <v>92</v>
      </c>
    </row>
    <row r="11" spans="1:11">
      <c r="A11" s="126" t="s">
        <v>94</v>
      </c>
      <c r="B11" s="126" t="s">
        <v>949</v>
      </c>
      <c r="C11" s="106"/>
      <c r="D11" s="126" t="s">
        <v>97</v>
      </c>
      <c r="E11" s="106"/>
      <c r="F11" s="126" t="s">
        <v>98</v>
      </c>
      <c r="G11" s="106"/>
      <c r="H11" s="126" t="s">
        <v>99</v>
      </c>
    </row>
    <row r="12" spans="1:11">
      <c r="D12" s="104" t="s">
        <v>1053</v>
      </c>
      <c r="F12" s="104" t="s">
        <v>1054</v>
      </c>
      <c r="H12" s="104" t="s">
        <v>1055</v>
      </c>
    </row>
    <row r="14" spans="1:11">
      <c r="A14" s="50">
        <v>1</v>
      </c>
      <c r="B14" s="98" t="s">
        <v>754</v>
      </c>
      <c r="D14" s="103"/>
      <c r="F14" s="170"/>
      <c r="H14" s="103"/>
      <c r="K14" s="103"/>
    </row>
    <row r="15" spans="1:11">
      <c r="A15" s="50"/>
      <c r="E15" s="103"/>
      <c r="F15" s="125"/>
      <c r="G15" s="103"/>
      <c r="H15" s="103"/>
      <c r="I15" s="103"/>
      <c r="K15" s="103"/>
    </row>
    <row r="16" spans="1:11">
      <c r="A16" s="389">
        <f>1+A14</f>
        <v>2</v>
      </c>
      <c r="B16" s="743" t="str">
        <f>+C.2!C18</f>
        <v>Production O&amp;M Expense</v>
      </c>
      <c r="D16" s="744">
        <f>+C.2!D18</f>
        <v>0</v>
      </c>
      <c r="F16" s="104" t="s">
        <v>1057</v>
      </c>
      <c r="H16" s="745">
        <f>(D16*0.125)</f>
        <v>0</v>
      </c>
      <c r="K16" s="103"/>
    </row>
    <row r="17" spans="1:11">
      <c r="A17" s="50"/>
      <c r="B17" s="134"/>
      <c r="K17" s="103"/>
    </row>
    <row r="18" spans="1:11">
      <c r="A18" s="389">
        <f>1+A16</f>
        <v>3</v>
      </c>
      <c r="B18" s="743" t="str">
        <f>+C.2!C19</f>
        <v>Storage O&amp;M Expense</v>
      </c>
      <c r="D18" s="695">
        <f>+C.2!D19</f>
        <v>438181.73554917524</v>
      </c>
      <c r="E18" s="103"/>
      <c r="F18" s="104" t="s">
        <v>1057</v>
      </c>
      <c r="G18" s="103"/>
      <c r="H18" s="359">
        <f>(D18*0.125)</f>
        <v>54772.716943646905</v>
      </c>
      <c r="I18" s="103"/>
      <c r="K18" s="103"/>
    </row>
    <row r="19" spans="1:11">
      <c r="A19" s="50"/>
      <c r="B19" s="134"/>
      <c r="E19" s="103"/>
      <c r="H19" s="103"/>
      <c r="I19" s="103"/>
      <c r="K19" s="103"/>
    </row>
    <row r="20" spans="1:11">
      <c r="A20" s="389">
        <f>1+A18</f>
        <v>4</v>
      </c>
      <c r="B20" s="743" t="str">
        <f>+C.2!C20</f>
        <v>Transmission O&amp;M Expense</v>
      </c>
      <c r="D20" s="695">
        <f>+C.2!D20</f>
        <v>163543.80539623208</v>
      </c>
      <c r="E20" s="103"/>
      <c r="F20" s="104" t="s">
        <v>1057</v>
      </c>
      <c r="G20" s="103"/>
      <c r="H20" s="359">
        <f>(D20*0.125)</f>
        <v>20442.975674529011</v>
      </c>
      <c r="K20" s="103"/>
    </row>
    <row r="21" spans="1:11">
      <c r="A21" s="50"/>
      <c r="B21" s="134"/>
      <c r="E21" s="103"/>
      <c r="F21" s="125"/>
      <c r="G21" s="103"/>
      <c r="H21" s="103"/>
      <c r="I21" s="103"/>
      <c r="K21" s="103"/>
    </row>
    <row r="22" spans="1:11">
      <c r="A22" s="389">
        <f>1+A20</f>
        <v>5</v>
      </c>
      <c r="B22" s="743" t="str">
        <f>+C.2!C21</f>
        <v>Distribution O&amp;M Expense</v>
      </c>
      <c r="D22" s="695">
        <f>+C.2!D21</f>
        <v>11872518.713488022</v>
      </c>
      <c r="E22" s="103"/>
      <c r="F22" s="104" t="s">
        <v>1057</v>
      </c>
      <c r="G22" s="103"/>
      <c r="H22" s="359">
        <f>(D22*0.125)</f>
        <v>1484064.8391860027</v>
      </c>
      <c r="I22" s="103"/>
      <c r="K22" s="103"/>
    </row>
    <row r="23" spans="1:11">
      <c r="A23" s="50"/>
      <c r="B23" s="134"/>
      <c r="E23" s="103"/>
      <c r="F23" s="125"/>
      <c r="G23" s="103"/>
      <c r="H23" s="103"/>
      <c r="I23" s="103"/>
      <c r="K23" s="103"/>
    </row>
    <row r="24" spans="1:11">
      <c r="A24" s="389">
        <f>1+A22</f>
        <v>6</v>
      </c>
      <c r="B24" s="746" t="str">
        <f>+C.2!C22</f>
        <v>Customer Accting. &amp; Collection</v>
      </c>
      <c r="D24" s="694">
        <f>+C.2!D22</f>
        <v>3596930.8615887128</v>
      </c>
      <c r="E24" s="103"/>
      <c r="F24" s="104" t="s">
        <v>1057</v>
      </c>
      <c r="G24" s="103"/>
      <c r="H24" s="359">
        <f>(D24*0.125)</f>
        <v>449616.3576985891</v>
      </c>
      <c r="I24" s="103"/>
      <c r="K24" s="103"/>
    </row>
    <row r="25" spans="1:11">
      <c r="A25" s="50"/>
      <c r="B25" s="134"/>
      <c r="E25" s="103"/>
      <c r="F25" s="125"/>
      <c r="G25" s="103"/>
      <c r="H25" s="103"/>
      <c r="I25" s="103"/>
      <c r="K25" s="103"/>
    </row>
    <row r="26" spans="1:11">
      <c r="A26" s="389">
        <f>1+A24</f>
        <v>7</v>
      </c>
      <c r="B26" s="743" t="str">
        <f>+C.2!C23</f>
        <v>Customer Service &amp; Information</v>
      </c>
      <c r="D26" s="695">
        <f>+C.2!D23</f>
        <v>198663.24391409353</v>
      </c>
      <c r="E26" s="103"/>
      <c r="F26" s="104" t="s">
        <v>1057</v>
      </c>
      <c r="G26" s="103"/>
      <c r="H26" s="359">
        <f>(D26*0.125)</f>
        <v>24832.905489261691</v>
      </c>
      <c r="I26" s="103"/>
      <c r="K26" s="103"/>
    </row>
    <row r="27" spans="1:11">
      <c r="A27" s="50"/>
      <c r="B27" s="134"/>
      <c r="D27" s="103"/>
      <c r="E27" s="103"/>
      <c r="F27" s="125"/>
      <c r="G27" s="103"/>
      <c r="H27" s="103"/>
      <c r="I27" s="103"/>
      <c r="K27" s="103"/>
    </row>
    <row r="28" spans="1:11">
      <c r="A28" s="389">
        <f>1+A26</f>
        <v>8</v>
      </c>
      <c r="B28" s="743" t="str">
        <f>+C.2!C24</f>
        <v>Sales Expense</v>
      </c>
      <c r="D28" s="695">
        <f>+C.2!D24</f>
        <v>304171.67164787912</v>
      </c>
      <c r="E28" s="103"/>
      <c r="F28" s="104" t="s">
        <v>1057</v>
      </c>
      <c r="G28" s="103"/>
      <c r="H28" s="359">
        <f>(D28*0.125)</f>
        <v>38021.45895598489</v>
      </c>
      <c r="I28" s="103"/>
      <c r="K28" s="103"/>
    </row>
    <row r="29" spans="1:11">
      <c r="A29" s="50"/>
      <c r="B29" s="134"/>
      <c r="D29" s="103"/>
      <c r="E29" s="103"/>
      <c r="F29" s="125"/>
      <c r="G29" s="103"/>
      <c r="H29" s="103"/>
      <c r="I29" s="103"/>
      <c r="K29" s="103"/>
    </row>
    <row r="30" spans="1:11">
      <c r="A30" s="389">
        <f>1+A28</f>
        <v>9</v>
      </c>
      <c r="B30" s="743" t="str">
        <f>+C.2!C25</f>
        <v>Admin. &amp; General Expense</v>
      </c>
      <c r="D30" s="701">
        <f>+C.2!D25</f>
        <v>16962916.74846578</v>
      </c>
      <c r="E30" s="103"/>
      <c r="F30" s="104" t="s">
        <v>1057</v>
      </c>
      <c r="G30" s="103"/>
      <c r="H30" s="747">
        <f>(D30*0.125)</f>
        <v>2120364.5935582225</v>
      </c>
      <c r="I30" s="103"/>
      <c r="K30" s="103"/>
    </row>
    <row r="31" spans="1:11">
      <c r="A31" s="50"/>
      <c r="D31" s="103"/>
      <c r="E31" s="103"/>
      <c r="F31" s="125"/>
      <c r="G31" s="103"/>
      <c r="H31" s="103"/>
      <c r="I31" s="103"/>
      <c r="K31" s="103"/>
    </row>
    <row r="32" spans="1:11" ht="15.75" thickBot="1">
      <c r="A32" s="389">
        <f>1+A30</f>
        <v>10</v>
      </c>
      <c r="B32" s="98" t="s">
        <v>129</v>
      </c>
      <c r="D32" s="703">
        <f>SUM(D16:D30)</f>
        <v>33536926.780049894</v>
      </c>
      <c r="E32" s="103"/>
      <c r="H32" s="703">
        <f>+D32*0.125</f>
        <v>4192115.8475062368</v>
      </c>
      <c r="I32" s="103"/>
      <c r="J32" s="329"/>
      <c r="K32" s="103"/>
    </row>
    <row r="33" spans="2:11" ht="15.75" thickTop="1">
      <c r="E33" s="103"/>
      <c r="F33" s="125"/>
      <c r="G33" s="103"/>
      <c r="H33" s="103"/>
      <c r="I33" s="103"/>
      <c r="K33" s="103"/>
    </row>
    <row r="34" spans="2:11">
      <c r="E34" s="103"/>
      <c r="G34" s="103"/>
      <c r="H34" s="103"/>
      <c r="I34" s="103"/>
    </row>
    <row r="35" spans="2:11">
      <c r="B35" s="98"/>
      <c r="G35" s="103"/>
      <c r="H35" s="103"/>
      <c r="I35" s="103"/>
    </row>
    <row r="36" spans="2:11">
      <c r="B36" s="98"/>
      <c r="G36" s="103"/>
      <c r="H36" s="103"/>
      <c r="I36" s="103"/>
    </row>
    <row r="37" spans="2:11">
      <c r="B37" s="98"/>
      <c r="G37" s="103"/>
      <c r="H37" s="103"/>
      <c r="I37" s="103"/>
    </row>
    <row r="38" spans="2:11">
      <c r="G38" s="103"/>
      <c r="H38" s="103"/>
      <c r="I38" s="103"/>
    </row>
    <row r="39" spans="2:11">
      <c r="G39" s="103"/>
      <c r="H39" s="103"/>
      <c r="I39" s="103"/>
    </row>
    <row r="40" spans="2:11">
      <c r="G40" s="103"/>
      <c r="H40" s="103"/>
      <c r="I40" s="103"/>
    </row>
    <row r="41" spans="2:11">
      <c r="G41" s="103"/>
      <c r="H41" s="103"/>
      <c r="I41" s="103"/>
    </row>
  </sheetData>
  <mergeCells count="4">
    <mergeCell ref="A1:H1"/>
    <mergeCell ref="A2:H2"/>
    <mergeCell ref="A3:H3"/>
    <mergeCell ref="A4:H4"/>
  </mergeCells>
  <phoneticPr fontId="20" type="noConversion"/>
  <printOptions horizontalCentered="1"/>
  <pageMargins left="0.75" right="0.75" top="0.83" bottom="1.02" header="0.5" footer="0.5"/>
  <pageSetup scale="94" orientation="landscape" verticalDpi="300" r:id="rId1"/>
  <headerFooter alignWithMargins="0">
    <oddFooter>&amp;RSchedule &amp;A
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rgb="FF92D050"/>
    <pageSetUpPr fitToPage="1"/>
  </sheetPr>
  <dimension ref="A1:K46"/>
  <sheetViews>
    <sheetView view="pageBreakPreview" zoomScale="80" zoomScaleNormal="100" zoomScaleSheetLayoutView="80" workbookViewId="0">
      <selection activeCell="P24" sqref="P24"/>
    </sheetView>
  </sheetViews>
  <sheetFormatPr defaultColWidth="8.44140625" defaultRowHeight="15"/>
  <cols>
    <col min="1" max="1" width="6.6640625" style="1" customWidth="1"/>
    <col min="2" max="2" width="34.109375" style="1" customWidth="1"/>
    <col min="3" max="3" width="4.44140625" style="1" customWidth="1"/>
    <col min="4" max="4" width="12.6640625" style="1" customWidth="1"/>
    <col min="5" max="5" width="4.6640625" style="1" customWidth="1"/>
    <col min="6" max="6" width="13.5546875" style="1" customWidth="1"/>
    <col min="7" max="7" width="3.21875" style="1" customWidth="1"/>
    <col min="8" max="8" width="14.44140625" style="1" customWidth="1"/>
    <col min="9" max="9" width="6.6640625" style="1" customWidth="1"/>
    <col min="10" max="10" width="7.5546875" style="1" customWidth="1"/>
    <col min="11" max="11" width="3.33203125" style="1" customWidth="1"/>
    <col min="12" max="12" width="11.88671875" style="1" customWidth="1"/>
    <col min="13" max="13" width="3.33203125" style="1" customWidth="1"/>
    <col min="14" max="14" width="14.44140625" style="1" customWidth="1"/>
    <col min="15" max="16384" width="8.44140625" style="1"/>
  </cols>
  <sheetData>
    <row r="1" spans="1:11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</row>
    <row r="2" spans="1:11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</row>
    <row r="3" spans="1:11">
      <c r="A3" s="1072" t="s">
        <v>1123</v>
      </c>
      <c r="B3" s="1072"/>
      <c r="C3" s="1072"/>
      <c r="D3" s="1072"/>
      <c r="E3" s="1072"/>
      <c r="F3" s="1072"/>
      <c r="G3" s="1072"/>
      <c r="H3" s="1072"/>
    </row>
    <row r="4" spans="1:11">
      <c r="A4" s="1057" t="str">
        <f>'B.1 F '!A4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</row>
    <row r="5" spans="1:11">
      <c r="A5" s="38"/>
      <c r="B5" s="38"/>
      <c r="C5" s="38"/>
      <c r="D5" s="38"/>
      <c r="E5" s="38"/>
      <c r="F5" s="38"/>
      <c r="G5" s="38"/>
      <c r="H5" s="38"/>
    </row>
    <row r="7" spans="1:11">
      <c r="A7" s="699" t="str">
        <f>'B.1 F '!A6</f>
        <v>Data:______Base Period__X___Forecasted Period</v>
      </c>
      <c r="H7" s="84" t="s">
        <v>1336</v>
      </c>
    </row>
    <row r="8" spans="1:11">
      <c r="A8" s="699" t="str">
        <f>'B.1 F '!A7</f>
        <v>Type of Filing:___X____Original________Updated ________Revised</v>
      </c>
      <c r="B8" s="4"/>
      <c r="H8" s="17" t="s">
        <v>679</v>
      </c>
    </row>
    <row r="9" spans="1:11">
      <c r="A9" s="717" t="str">
        <f>'B.1 F '!A8</f>
        <v>Workpaper Reference No(s).</v>
      </c>
      <c r="B9" s="6"/>
      <c r="C9" s="6"/>
      <c r="D9" s="6"/>
      <c r="E9" s="6"/>
      <c r="F9" s="6"/>
      <c r="G9" s="6"/>
      <c r="H9" s="704" t="str">
        <f>'B.4.2 B'!H9</f>
        <v>Witness: Christian, Waller</v>
      </c>
    </row>
    <row r="10" spans="1:11">
      <c r="A10" s="2" t="s">
        <v>88</v>
      </c>
      <c r="D10" s="2" t="s">
        <v>462</v>
      </c>
      <c r="F10" s="2" t="s">
        <v>31</v>
      </c>
      <c r="H10" s="2" t="s">
        <v>92</v>
      </c>
    </row>
    <row r="11" spans="1:11">
      <c r="A11" s="27" t="s">
        <v>94</v>
      </c>
      <c r="B11" s="27" t="s">
        <v>949</v>
      </c>
      <c r="C11" s="28"/>
      <c r="D11" s="27" t="s">
        <v>97</v>
      </c>
      <c r="E11" s="28"/>
      <c r="F11" s="27" t="s">
        <v>98</v>
      </c>
      <c r="G11" s="28"/>
      <c r="H11" s="27" t="s">
        <v>99</v>
      </c>
    </row>
    <row r="12" spans="1:11">
      <c r="A12" s="2"/>
      <c r="B12" s="2"/>
      <c r="D12" s="2" t="s">
        <v>1053</v>
      </c>
      <c r="F12" s="2" t="s">
        <v>1054</v>
      </c>
      <c r="H12" s="2" t="s">
        <v>1055</v>
      </c>
    </row>
    <row r="14" spans="1:11">
      <c r="A14" s="38">
        <v>1</v>
      </c>
      <c r="B14" s="4" t="s">
        <v>754</v>
      </c>
      <c r="D14" s="10"/>
      <c r="H14" s="10"/>
      <c r="K14" s="10"/>
    </row>
    <row r="15" spans="1:11">
      <c r="A15" s="38"/>
      <c r="E15" s="10"/>
      <c r="F15" s="11"/>
      <c r="G15" s="10"/>
      <c r="H15" s="10"/>
      <c r="I15" s="10"/>
      <c r="K15" s="10"/>
    </row>
    <row r="16" spans="1:11">
      <c r="A16" s="389">
        <f>1+A14</f>
        <v>2</v>
      </c>
      <c r="B16" s="743" t="str">
        <f>+C.2!C18</f>
        <v>Production O&amp;M Expense</v>
      </c>
      <c r="D16" s="744">
        <f>+C.2!O18</f>
        <v>0</v>
      </c>
      <c r="F16" s="2" t="s">
        <v>1057</v>
      </c>
      <c r="H16" s="745">
        <f>(D16*0.125)</f>
        <v>0</v>
      </c>
    </row>
    <row r="17" spans="1:11">
      <c r="A17" s="38"/>
      <c r="B17" s="85"/>
    </row>
    <row r="18" spans="1:11">
      <c r="A18" s="389">
        <f>1+A16</f>
        <v>3</v>
      </c>
      <c r="B18" s="743" t="str">
        <f>+C.2!C19</f>
        <v>Storage O&amp;M Expense</v>
      </c>
      <c r="D18" s="695">
        <f>+C.2!O19</f>
        <v>486338.33353830368</v>
      </c>
      <c r="E18" s="10"/>
      <c r="F18" s="2" t="s">
        <v>1057</v>
      </c>
      <c r="G18" s="10"/>
      <c r="H18" s="359">
        <f>(D18*0.125)</f>
        <v>60792.291692287959</v>
      </c>
      <c r="I18" s="10"/>
      <c r="K18" s="10"/>
    </row>
    <row r="19" spans="1:11">
      <c r="A19" s="38"/>
      <c r="B19" s="85"/>
      <c r="E19" s="10"/>
      <c r="H19" s="10"/>
      <c r="I19" s="10"/>
      <c r="K19" s="10"/>
    </row>
    <row r="20" spans="1:11">
      <c r="A20" s="389">
        <f>1+A18</f>
        <v>4</v>
      </c>
      <c r="B20" s="743" t="str">
        <f>+C.2!C20</f>
        <v>Transmission O&amp;M Expense</v>
      </c>
      <c r="D20" s="695">
        <f>+C.2!O20</f>
        <v>180838.43423788942</v>
      </c>
      <c r="E20" s="10"/>
      <c r="F20" s="2" t="s">
        <v>1057</v>
      </c>
      <c r="G20" s="10"/>
      <c r="H20" s="359">
        <f>(D20*0.125)</f>
        <v>22604.804279736178</v>
      </c>
      <c r="K20" s="10"/>
    </row>
    <row r="21" spans="1:11">
      <c r="A21" s="38"/>
      <c r="B21" s="85"/>
      <c r="E21" s="10"/>
      <c r="F21" s="11"/>
      <c r="G21" s="10"/>
      <c r="H21" s="10"/>
      <c r="I21" s="10"/>
      <c r="K21" s="10"/>
    </row>
    <row r="22" spans="1:11">
      <c r="A22" s="389">
        <f>1+A20</f>
        <v>5</v>
      </c>
      <c r="B22" s="743" t="str">
        <f>+C.2!C21</f>
        <v>Distribution O&amp;M Expense</v>
      </c>
      <c r="D22" s="695">
        <f>+C.2!O21</f>
        <v>11746231.230754567</v>
      </c>
      <c r="E22" s="10"/>
      <c r="F22" s="2" t="s">
        <v>1057</v>
      </c>
      <c r="G22" s="10"/>
      <c r="H22" s="359">
        <f>(D22*0.125)</f>
        <v>1468278.9038443209</v>
      </c>
      <c r="I22" s="10"/>
      <c r="K22" s="10"/>
    </row>
    <row r="23" spans="1:11">
      <c r="A23" s="38"/>
      <c r="B23" s="85"/>
      <c r="E23" s="10"/>
      <c r="F23" s="11"/>
      <c r="G23" s="10"/>
      <c r="H23" s="10"/>
      <c r="I23" s="10"/>
      <c r="K23" s="10"/>
    </row>
    <row r="24" spans="1:11">
      <c r="A24" s="389">
        <f>1+A22</f>
        <v>6</v>
      </c>
      <c r="B24" s="746" t="str">
        <f>+C.2!C22</f>
        <v>Customer Accting. &amp; Collection</v>
      </c>
      <c r="D24" s="694">
        <f>+C.2!O22</f>
        <v>2534623.613455059</v>
      </c>
      <c r="E24" s="10"/>
      <c r="F24" s="2" t="s">
        <v>1057</v>
      </c>
      <c r="G24" s="10"/>
      <c r="H24" s="359">
        <f>(D24*0.125)</f>
        <v>316827.95168188238</v>
      </c>
      <c r="I24" s="10"/>
      <c r="K24" s="10"/>
    </row>
    <row r="25" spans="1:11">
      <c r="A25" s="38"/>
      <c r="B25" s="85"/>
      <c r="E25" s="10"/>
      <c r="F25" s="11"/>
      <c r="G25" s="10"/>
      <c r="H25" s="10"/>
      <c r="I25" s="10"/>
      <c r="K25" s="10"/>
    </row>
    <row r="26" spans="1:11">
      <c r="A26" s="389">
        <f>1+A24</f>
        <v>7</v>
      </c>
      <c r="B26" s="743" t="str">
        <f>+C.2!C23</f>
        <v>Customer Service &amp; Information</v>
      </c>
      <c r="D26" s="695">
        <f>+C.2!O23</f>
        <v>214460.81968819545</v>
      </c>
      <c r="E26" s="10"/>
      <c r="F26" s="2" t="s">
        <v>1057</v>
      </c>
      <c r="G26" s="10"/>
      <c r="H26" s="359">
        <f>(D26*0.125)</f>
        <v>26807.602461024431</v>
      </c>
      <c r="I26" s="10"/>
      <c r="K26" s="10"/>
    </row>
    <row r="27" spans="1:11">
      <c r="A27" s="38"/>
      <c r="B27" s="85"/>
      <c r="D27" s="10"/>
      <c r="E27" s="10"/>
      <c r="F27" s="11"/>
      <c r="G27" s="10"/>
      <c r="H27" s="10"/>
      <c r="I27" s="10"/>
      <c r="K27" s="10"/>
    </row>
    <row r="28" spans="1:11">
      <c r="A28" s="389">
        <f>1+A26</f>
        <v>8</v>
      </c>
      <c r="B28" s="743" t="str">
        <f>+C.2!C24</f>
        <v>Sales Expense</v>
      </c>
      <c r="D28" s="695">
        <f>+C.2!O24</f>
        <v>84610.000977240648</v>
      </c>
      <c r="E28" s="10"/>
      <c r="F28" s="2" t="s">
        <v>1057</v>
      </c>
      <c r="G28" s="10"/>
      <c r="H28" s="359">
        <f>(D28*0.125)</f>
        <v>10576.250122155081</v>
      </c>
      <c r="I28" s="10"/>
      <c r="K28" s="10"/>
    </row>
    <row r="29" spans="1:11">
      <c r="A29" s="38"/>
      <c r="B29" s="85"/>
      <c r="D29" s="10"/>
      <c r="E29" s="10"/>
      <c r="F29" s="11"/>
      <c r="G29" s="10"/>
      <c r="H29" s="10"/>
      <c r="I29" s="10"/>
      <c r="K29" s="10"/>
    </row>
    <row r="30" spans="1:11">
      <c r="A30" s="389">
        <f>1+A28</f>
        <v>9</v>
      </c>
      <c r="B30" s="743" t="str">
        <f>+C.2!C25</f>
        <v>Admin. &amp; General Expense</v>
      </c>
      <c r="D30" s="701">
        <f>+C.2!O25</f>
        <v>17546325.5427742</v>
      </c>
      <c r="E30" s="10"/>
      <c r="F30" s="2" t="s">
        <v>1057</v>
      </c>
      <c r="G30" s="10"/>
      <c r="H30" s="747">
        <f>(D30*0.125)</f>
        <v>2193290.6928467751</v>
      </c>
      <c r="I30" s="10"/>
      <c r="K30" s="10"/>
    </row>
    <row r="31" spans="1:11">
      <c r="A31" s="38"/>
      <c r="D31" s="10"/>
      <c r="E31" s="10"/>
      <c r="F31" s="11"/>
      <c r="G31" s="10"/>
      <c r="H31" s="10"/>
      <c r="I31" s="10"/>
      <c r="K31" s="10"/>
    </row>
    <row r="32" spans="1:11" ht="15.75" thickBot="1">
      <c r="A32" s="389">
        <f>1+A30</f>
        <v>10</v>
      </c>
      <c r="B32" s="4" t="s">
        <v>129</v>
      </c>
      <c r="D32" s="703">
        <f>SUM(D16:D30)</f>
        <v>32793427.975425456</v>
      </c>
      <c r="E32" s="10"/>
      <c r="H32" s="703">
        <f>+D32*0.125</f>
        <v>4099178.496928182</v>
      </c>
      <c r="I32" s="10"/>
      <c r="K32" s="10"/>
    </row>
    <row r="33" spans="1:11" ht="15.75" thickTop="1">
      <c r="E33" s="10"/>
      <c r="F33" s="11"/>
      <c r="G33" s="10"/>
      <c r="H33" s="10"/>
      <c r="I33" s="10"/>
      <c r="K33" s="10"/>
    </row>
    <row r="34" spans="1:11">
      <c r="E34" s="10"/>
      <c r="G34" s="10"/>
      <c r="H34" s="10"/>
      <c r="I34" s="10"/>
      <c r="K34" s="10"/>
    </row>
    <row r="35" spans="1:11">
      <c r="E35" s="10"/>
      <c r="F35" s="11"/>
      <c r="G35" s="10"/>
      <c r="H35" s="10"/>
      <c r="I35" s="10"/>
      <c r="K35" s="10"/>
    </row>
    <row r="36" spans="1:11">
      <c r="E36" s="10"/>
      <c r="G36" s="10"/>
      <c r="H36" s="10"/>
      <c r="I36" s="10"/>
    </row>
    <row r="37" spans="1:11">
      <c r="E37" s="10"/>
      <c r="G37" s="10"/>
      <c r="H37" s="10"/>
      <c r="I37" s="10"/>
      <c r="K37" s="10"/>
    </row>
    <row r="38" spans="1:11">
      <c r="E38" s="10"/>
      <c r="G38" s="10"/>
      <c r="H38" s="30"/>
      <c r="I38" s="10"/>
    </row>
    <row r="39" spans="1:11">
      <c r="A39" s="4"/>
      <c r="B39" s="4"/>
      <c r="G39" s="10"/>
      <c r="H39" s="10"/>
      <c r="I39" s="10"/>
    </row>
    <row r="40" spans="1:11">
      <c r="B40" s="4"/>
      <c r="G40" s="10"/>
      <c r="H40" s="10"/>
      <c r="I40" s="10"/>
    </row>
    <row r="41" spans="1:11">
      <c r="B41" s="4"/>
      <c r="G41" s="10"/>
      <c r="H41" s="10"/>
      <c r="I41" s="10"/>
    </row>
    <row r="42" spans="1:11">
      <c r="B42" s="4"/>
      <c r="G42" s="10"/>
      <c r="H42" s="10"/>
      <c r="I42" s="10"/>
    </row>
    <row r="43" spans="1:11">
      <c r="G43" s="10"/>
      <c r="H43" s="10"/>
      <c r="I43" s="10"/>
    </row>
    <row r="44" spans="1:11">
      <c r="G44" s="10"/>
      <c r="H44" s="10"/>
      <c r="I44" s="10"/>
    </row>
    <row r="45" spans="1:11">
      <c r="G45" s="10"/>
      <c r="H45" s="10"/>
      <c r="I45" s="10"/>
    </row>
    <row r="46" spans="1:11">
      <c r="G46" s="10"/>
      <c r="H46" s="10"/>
      <c r="I46" s="10"/>
    </row>
  </sheetData>
  <mergeCells count="4">
    <mergeCell ref="A1:H1"/>
    <mergeCell ref="A2:H2"/>
    <mergeCell ref="A3:H3"/>
    <mergeCell ref="A4:H4"/>
  </mergeCells>
  <phoneticPr fontId="20" type="noConversion"/>
  <printOptions horizontalCentered="1"/>
  <pageMargins left="0.75" right="0.75" top="0.86" bottom="1.18" header="0.5" footer="0.45"/>
  <pageSetup scale="94" orientation="landscape" verticalDpi="300" r:id="rId1"/>
  <headerFooter alignWithMargins="0">
    <oddFooter>&amp;RSchedule &amp;A
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92D050"/>
    <pageSetUpPr fitToPage="1"/>
  </sheetPr>
  <dimension ref="A1:Q54"/>
  <sheetViews>
    <sheetView view="pageBreakPreview" topLeftCell="A44" zoomScale="80" zoomScaleNormal="100" zoomScaleSheetLayoutView="80" workbookViewId="0">
      <selection activeCell="A44" sqref="A44"/>
    </sheetView>
  </sheetViews>
  <sheetFormatPr defaultColWidth="8.44140625" defaultRowHeight="15"/>
  <cols>
    <col min="1" max="1" width="5.77734375" style="1" customWidth="1"/>
    <col min="2" max="2" width="4.21875" style="1" customWidth="1"/>
    <col min="3" max="3" width="49.33203125" style="1" customWidth="1"/>
    <col min="4" max="4" width="14.77734375" style="1" bestFit="1" customWidth="1"/>
    <col min="5" max="5" width="11.77734375" style="38" bestFit="1" customWidth="1"/>
    <col min="6" max="6" width="11.77734375" style="38" customWidth="1"/>
    <col min="7" max="7" width="14" style="1" customWidth="1"/>
    <col min="8" max="8" width="4.33203125" style="1" customWidth="1"/>
    <col min="9" max="9" width="13.6640625" style="1" bestFit="1" customWidth="1"/>
    <col min="10" max="11" width="11.88671875" style="38" customWidth="1"/>
    <col min="12" max="12" width="18.33203125" style="1" customWidth="1"/>
    <col min="13" max="16384" width="8.44140625" style="1"/>
  </cols>
  <sheetData>
    <row r="1" spans="1:12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</row>
    <row r="2" spans="1:12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</row>
    <row r="3" spans="1:12">
      <c r="A3" s="1060" t="s">
        <v>484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</row>
    <row r="4" spans="1:12">
      <c r="A4" s="1059" t="str">
        <f>'B.1 B'!A4</f>
        <v>Base Period: Twelve Months Ended December 31, 2024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</row>
    <row r="5" spans="1:12">
      <c r="A5" s="26"/>
      <c r="B5" s="25"/>
      <c r="C5" s="25"/>
      <c r="D5" s="25"/>
      <c r="G5" s="25"/>
      <c r="H5" s="25"/>
      <c r="I5" s="25"/>
    </row>
    <row r="6" spans="1:12" ht="15.75">
      <c r="A6" s="4" t="s">
        <v>758</v>
      </c>
      <c r="B6" s="4"/>
      <c r="D6" s="330"/>
      <c r="L6" s="84" t="s">
        <v>1337</v>
      </c>
    </row>
    <row r="7" spans="1:12">
      <c r="A7" s="4" t="s">
        <v>1080</v>
      </c>
      <c r="C7" s="4"/>
      <c r="L7" s="84" t="s">
        <v>680</v>
      </c>
    </row>
    <row r="8" spans="1:12">
      <c r="A8" s="4" t="s">
        <v>405</v>
      </c>
      <c r="L8" s="476" t="s">
        <v>1647</v>
      </c>
    </row>
    <row r="9" spans="1:12">
      <c r="A9" s="135"/>
      <c r="B9" s="42"/>
      <c r="C9" s="42"/>
      <c r="D9" s="277"/>
      <c r="E9" s="196" t="s">
        <v>12</v>
      </c>
      <c r="F9" s="197" t="s">
        <v>10</v>
      </c>
      <c r="G9" s="278" t="s">
        <v>92</v>
      </c>
      <c r="H9" s="2"/>
      <c r="I9" s="280"/>
      <c r="J9" s="196" t="s">
        <v>12</v>
      </c>
      <c r="K9" s="197" t="s">
        <v>10</v>
      </c>
      <c r="L9" s="227"/>
    </row>
    <row r="10" spans="1:12">
      <c r="A10" s="193" t="s">
        <v>88</v>
      </c>
      <c r="B10" s="2"/>
      <c r="D10" s="194"/>
      <c r="E10" s="2" t="s">
        <v>13</v>
      </c>
      <c r="F10" s="2" t="s">
        <v>567</v>
      </c>
      <c r="G10" s="190" t="s">
        <v>1124</v>
      </c>
      <c r="H10" s="2"/>
      <c r="I10" s="193" t="s">
        <v>87</v>
      </c>
      <c r="J10" s="2" t="s">
        <v>13</v>
      </c>
      <c r="K10" s="2" t="s">
        <v>567</v>
      </c>
      <c r="L10" s="190" t="s">
        <v>11</v>
      </c>
    </row>
    <row r="11" spans="1:12">
      <c r="A11" s="191" t="s">
        <v>94</v>
      </c>
      <c r="B11" s="27"/>
      <c r="C11" s="40" t="s">
        <v>329</v>
      </c>
      <c r="D11" s="279" t="s">
        <v>1017</v>
      </c>
      <c r="E11" s="27" t="s">
        <v>600</v>
      </c>
      <c r="F11" s="27" t="s">
        <v>600</v>
      </c>
      <c r="G11" s="192" t="s">
        <v>100</v>
      </c>
      <c r="H11" s="2"/>
      <c r="I11" s="191" t="s">
        <v>93</v>
      </c>
      <c r="J11" s="27" t="s">
        <v>600</v>
      </c>
      <c r="K11" s="27" t="s">
        <v>600</v>
      </c>
      <c r="L11" s="281" t="s">
        <v>99</v>
      </c>
    </row>
    <row r="12" spans="1:12" ht="15.75">
      <c r="B12" s="12" t="s">
        <v>205</v>
      </c>
    </row>
    <row r="13" spans="1:12">
      <c r="A13" s="2">
        <v>1</v>
      </c>
      <c r="C13" s="16" t="s">
        <v>744</v>
      </c>
      <c r="D13" s="688">
        <f>'WP B.5 B'!P13</f>
        <v>45685896.863138169</v>
      </c>
      <c r="E13" s="274">
        <v>1</v>
      </c>
      <c r="F13" s="274">
        <v>1</v>
      </c>
      <c r="G13" s="691">
        <f>D13*E13*F13</f>
        <v>45685896.863138169</v>
      </c>
      <c r="H13" s="10"/>
      <c r="I13" s="688">
        <f>'WP B.5 B'!Q13</f>
        <v>45981551.032792285</v>
      </c>
      <c r="J13" s="274">
        <v>1</v>
      </c>
      <c r="K13" s="274">
        <v>1</v>
      </c>
      <c r="L13" s="691">
        <f>I13*J13*K13</f>
        <v>45981551.032792285</v>
      </c>
    </row>
    <row r="14" spans="1:12" ht="14.25" customHeight="1">
      <c r="A14" s="2">
        <v>2</v>
      </c>
      <c r="B14" s="217"/>
      <c r="C14" s="4"/>
      <c r="D14" s="10"/>
      <c r="E14" s="274"/>
      <c r="F14" s="274"/>
      <c r="G14" s="10"/>
      <c r="H14" s="10"/>
      <c r="I14" s="10"/>
      <c r="J14" s="276"/>
      <c r="K14" s="276"/>
      <c r="L14" s="10"/>
    </row>
    <row r="15" spans="1:12">
      <c r="A15" s="2">
        <v>3</v>
      </c>
      <c r="C15" s="16" t="s">
        <v>647</v>
      </c>
      <c r="D15" s="695">
        <f>'WP B.5 B'!P15</f>
        <v>-135783733.9648726</v>
      </c>
      <c r="E15" s="748">
        <f>$E$13</f>
        <v>1</v>
      </c>
      <c r="F15" s="748">
        <f>$E$13</f>
        <v>1</v>
      </c>
      <c r="G15" s="359">
        <f>D15*E15*F15</f>
        <v>-135783733.9648726</v>
      </c>
      <c r="H15" s="10"/>
      <c r="I15" s="695">
        <f>'WP B.5 B'!Q15</f>
        <v>-132356044.73747762</v>
      </c>
      <c r="J15" s="748">
        <f>$E$13</f>
        <v>1</v>
      </c>
      <c r="K15" s="748">
        <f>$E$13</f>
        <v>1</v>
      </c>
      <c r="L15" s="359">
        <f>I15*J15*K15</f>
        <v>-132356044.73747762</v>
      </c>
    </row>
    <row r="16" spans="1:12" ht="14.25" customHeight="1">
      <c r="A16" s="2">
        <v>4</v>
      </c>
      <c r="B16" s="217"/>
      <c r="C16" s="4"/>
      <c r="D16" s="10"/>
      <c r="E16" s="274"/>
      <c r="F16" s="274"/>
      <c r="G16" s="10"/>
      <c r="H16" s="10"/>
      <c r="I16" s="10"/>
      <c r="J16" s="276"/>
      <c r="K16" s="276"/>
      <c r="L16" s="10"/>
    </row>
    <row r="17" spans="1:17">
      <c r="A17" s="2">
        <v>5</v>
      </c>
      <c r="C17" s="16" t="s">
        <v>648</v>
      </c>
      <c r="D17" s="695">
        <f>'WP B.5 B'!P17</f>
        <v>-61287</v>
      </c>
      <c r="E17" s="748">
        <f>$E$13</f>
        <v>1</v>
      </c>
      <c r="F17" s="748">
        <f>$E$13</f>
        <v>1</v>
      </c>
      <c r="G17" s="359">
        <f>D17*E17*F17</f>
        <v>-61287</v>
      </c>
      <c r="H17" s="10"/>
      <c r="I17" s="695">
        <f>'WP B.5 B'!Q17</f>
        <v>-61287</v>
      </c>
      <c r="J17" s="748">
        <f>$E$13</f>
        <v>1</v>
      </c>
      <c r="K17" s="748">
        <f>$E$13</f>
        <v>1</v>
      </c>
      <c r="L17" s="359">
        <f>I17*J17*K17</f>
        <v>-61287</v>
      </c>
    </row>
    <row r="18" spans="1:17" ht="14.25" customHeight="1">
      <c r="A18" s="2">
        <v>6</v>
      </c>
      <c r="B18" s="217"/>
      <c r="C18" s="4"/>
      <c r="D18" s="10"/>
      <c r="E18" s="2"/>
      <c r="F18" s="2"/>
      <c r="G18" s="10"/>
      <c r="H18" s="10"/>
      <c r="I18" s="10"/>
      <c r="L18" s="10"/>
    </row>
    <row r="19" spans="1:17">
      <c r="A19" s="2">
        <v>7</v>
      </c>
      <c r="C19" s="19" t="s">
        <v>30</v>
      </c>
      <c r="D19" s="749">
        <f>SUM(D13:D17)</f>
        <v>-90159124.10173443</v>
      </c>
      <c r="E19" s="2"/>
      <c r="F19" s="2"/>
      <c r="G19" s="749">
        <f>SUM(G13:G17)</f>
        <v>-90159124.10173443</v>
      </c>
      <c r="I19" s="749">
        <f>SUM(I13:I17)</f>
        <v>-86435780.70468533</v>
      </c>
      <c r="L19" s="749">
        <f>SUM(L13:L17)</f>
        <v>-86435780.70468533</v>
      </c>
    </row>
    <row r="20" spans="1:17" ht="14.25" customHeight="1">
      <c r="A20" s="2">
        <v>8</v>
      </c>
      <c r="B20" s="217"/>
      <c r="C20" s="4"/>
      <c r="D20" s="10"/>
      <c r="E20" s="2"/>
      <c r="F20" s="2"/>
      <c r="G20" s="10"/>
      <c r="H20" s="10"/>
      <c r="I20" s="10"/>
      <c r="L20" s="10"/>
    </row>
    <row r="21" spans="1:17" ht="15.75">
      <c r="A21" s="2">
        <v>9</v>
      </c>
      <c r="B21" s="12" t="s">
        <v>206</v>
      </c>
    </row>
    <row r="22" spans="1:17">
      <c r="A22" s="2">
        <v>10</v>
      </c>
      <c r="C22" s="16" t="s">
        <v>646</v>
      </c>
      <c r="D22" s="688">
        <f>'WP B.5 B'!P22</f>
        <v>-1757145</v>
      </c>
      <c r="E22" s="750">
        <f>Allocation!G14</f>
        <v>9.1300000000000006E-2</v>
      </c>
      <c r="F22" s="750">
        <f>Allocation!H14</f>
        <v>0.49969999999999998</v>
      </c>
      <c r="G22" s="691">
        <f>D22*E22*F22</f>
        <v>-80165.541048450003</v>
      </c>
      <c r="H22" s="10"/>
      <c r="I22" s="688">
        <f>'WP B.5 B'!Q22</f>
        <v>-1479729.6923076923</v>
      </c>
      <c r="J22" s="721">
        <f>E22</f>
        <v>9.1300000000000006E-2</v>
      </c>
      <c r="K22" s="721">
        <f>F22</f>
        <v>0.49969999999999998</v>
      </c>
      <c r="L22" s="691">
        <f>I22*J22*K22</f>
        <v>-67509.130657573842</v>
      </c>
      <c r="P22" s="751"/>
      <c r="Q22" s="751"/>
    </row>
    <row r="23" spans="1:17" ht="14.25" customHeight="1">
      <c r="A23" s="2">
        <v>11</v>
      </c>
      <c r="B23" s="217"/>
      <c r="C23" s="4"/>
      <c r="D23" s="10"/>
      <c r="E23" s="2"/>
      <c r="F23" s="2"/>
      <c r="G23" s="10"/>
      <c r="H23" s="10"/>
      <c r="I23" s="10"/>
      <c r="L23" s="10"/>
      <c r="P23" s="439"/>
      <c r="Q23" s="438"/>
    </row>
    <row r="24" spans="1:17">
      <c r="A24" s="2">
        <v>12</v>
      </c>
      <c r="C24" s="16" t="s">
        <v>647</v>
      </c>
      <c r="D24" s="695">
        <f>'WP B.5 B'!P24</f>
        <v>-17391076.487427536</v>
      </c>
      <c r="E24" s="752">
        <f>$E$22</f>
        <v>9.1300000000000006E-2</v>
      </c>
      <c r="F24" s="752">
        <f>$F$22</f>
        <v>0.49969999999999998</v>
      </c>
      <c r="G24" s="359">
        <f>D24*E24*F24</f>
        <v>-793426.30006607634</v>
      </c>
      <c r="H24" s="10"/>
      <c r="I24" s="695">
        <f>'WP B.5 B'!Q24</f>
        <v>-18627684.460863099</v>
      </c>
      <c r="J24" s="721">
        <f>E24</f>
        <v>9.1300000000000006E-2</v>
      </c>
      <c r="K24" s="721">
        <f>F24</f>
        <v>0.49969999999999998</v>
      </c>
      <c r="L24" s="359">
        <f>I24*J24*K24</f>
        <v>-849843.5833610174</v>
      </c>
      <c r="P24" s="751"/>
      <c r="Q24" s="751"/>
    </row>
    <row r="25" spans="1:17" ht="14.25" customHeight="1">
      <c r="A25" s="2">
        <v>13</v>
      </c>
      <c r="B25" s="217"/>
      <c r="C25" s="4"/>
      <c r="D25" s="10"/>
      <c r="E25" s="2"/>
      <c r="F25" s="2"/>
      <c r="G25" s="10"/>
      <c r="H25" s="10"/>
      <c r="I25" s="10"/>
      <c r="L25" s="10"/>
      <c r="P25" s="439"/>
      <c r="Q25" s="438"/>
    </row>
    <row r="26" spans="1:17">
      <c r="A26" s="2">
        <v>14</v>
      </c>
      <c r="C26" s="16" t="s">
        <v>648</v>
      </c>
      <c r="D26" s="695">
        <f>'WP B.5 B'!P26</f>
        <v>-147575369.32486749</v>
      </c>
      <c r="E26" s="752">
        <f>$E$22</f>
        <v>9.1300000000000006E-2</v>
      </c>
      <c r="F26" s="752">
        <f>$F$22</f>
        <v>0.49969999999999998</v>
      </c>
      <c r="G26" s="359">
        <f>D26*E26*F26</f>
        <v>-6732773.5203143926</v>
      </c>
      <c r="H26" s="10"/>
      <c r="I26" s="695">
        <f>'WP B.5 B'!Q26</f>
        <v>-146120033.23520559</v>
      </c>
      <c r="J26" s="721">
        <f>E26</f>
        <v>9.1300000000000006E-2</v>
      </c>
      <c r="K26" s="721">
        <f>F26</f>
        <v>0.49969999999999998</v>
      </c>
      <c r="L26" s="359">
        <f>I26*J26*K26</f>
        <v>-6666377.2894768231</v>
      </c>
      <c r="P26" s="751"/>
      <c r="Q26" s="751"/>
    </row>
    <row r="27" spans="1:17" ht="14.25" customHeight="1">
      <c r="A27" s="2">
        <v>15</v>
      </c>
      <c r="D27" s="10"/>
      <c r="E27" s="2"/>
      <c r="F27" s="2"/>
      <c r="G27" s="10"/>
      <c r="H27" s="10"/>
      <c r="I27" s="10"/>
      <c r="J27" s="2"/>
      <c r="K27" s="2"/>
      <c r="L27" s="10"/>
      <c r="P27" s="438"/>
      <c r="Q27" s="438"/>
    </row>
    <row r="28" spans="1:17">
      <c r="A28" s="2">
        <v>16</v>
      </c>
      <c r="C28" s="19" t="s">
        <v>66</v>
      </c>
      <c r="D28" s="749">
        <f>SUM(D22:D26)</f>
        <v>-166723590.81229502</v>
      </c>
      <c r="E28" s="2"/>
      <c r="F28" s="2"/>
      <c r="G28" s="749">
        <f>SUM(G22:G26)</f>
        <v>-7606365.3614289192</v>
      </c>
      <c r="I28" s="749">
        <f>SUM(I22:I26)</f>
        <v>-166227447.38837638</v>
      </c>
      <c r="L28" s="749">
        <f>SUM(L22:L26)</f>
        <v>-7583730.0034954138</v>
      </c>
      <c r="P28" s="438"/>
      <c r="Q28" s="438"/>
    </row>
    <row r="29" spans="1:17" ht="15.75">
      <c r="A29" s="2">
        <v>17</v>
      </c>
      <c r="B29" s="12" t="s">
        <v>1075</v>
      </c>
      <c r="P29" s="438"/>
      <c r="Q29" s="438"/>
    </row>
    <row r="30" spans="1:17">
      <c r="A30" s="2">
        <v>18</v>
      </c>
      <c r="C30" s="16" t="s">
        <v>646</v>
      </c>
      <c r="D30" s="688">
        <f>'WP B.5 B'!P30</f>
        <v>-1216417</v>
      </c>
      <c r="E30" s="750">
        <f>Allocation!G15</f>
        <v>0.109</v>
      </c>
      <c r="F30" s="750">
        <f>Allocation!H15</f>
        <v>0.49459999999999998</v>
      </c>
      <c r="G30" s="691">
        <f>D30*E30*F30</f>
        <v>-65578.743453800009</v>
      </c>
      <c r="H30" s="10"/>
      <c r="I30" s="688">
        <f>'WP B.5 B'!Q30</f>
        <v>-1211620.923076923</v>
      </c>
      <c r="J30" s="721">
        <f>E30</f>
        <v>0.109</v>
      </c>
      <c r="K30" s="721">
        <f>F30</f>
        <v>0.49459999999999998</v>
      </c>
      <c r="L30" s="691">
        <f>I30*J30*K30</f>
        <v>-65320.180232369217</v>
      </c>
      <c r="P30" s="751"/>
      <c r="Q30" s="751"/>
    </row>
    <row r="31" spans="1:17">
      <c r="A31" s="2">
        <v>19</v>
      </c>
      <c r="D31" s="10"/>
      <c r="E31" s="2"/>
      <c r="F31" s="2"/>
      <c r="G31" s="10"/>
      <c r="H31" s="10"/>
      <c r="I31" s="10"/>
      <c r="J31" s="2"/>
      <c r="K31" s="2"/>
      <c r="L31" s="10"/>
      <c r="P31" s="439"/>
      <c r="Q31" s="438"/>
    </row>
    <row r="32" spans="1:17">
      <c r="A32" s="2">
        <v>20</v>
      </c>
      <c r="C32" s="16" t="s">
        <v>647</v>
      </c>
      <c r="D32" s="695">
        <f>'WP B.5 B'!P32</f>
        <v>-8657130.5543805473</v>
      </c>
      <c r="E32" s="752">
        <f>$E$30</f>
        <v>0.109</v>
      </c>
      <c r="F32" s="752">
        <f>$F$30</f>
        <v>0.49459999999999998</v>
      </c>
      <c r="G32" s="359">
        <f>D32*E32*F32</f>
        <v>-466718.02816943137</v>
      </c>
      <c r="H32" s="10"/>
      <c r="I32" s="695">
        <f>'WP B.5 B'!Q32</f>
        <v>-9540988.8022896852</v>
      </c>
      <c r="J32" s="721">
        <f>E32</f>
        <v>0.109</v>
      </c>
      <c r="K32" s="721">
        <f>F32</f>
        <v>0.49459999999999998</v>
      </c>
      <c r="L32" s="359">
        <f>I32*J32*K32</f>
        <v>-514368.06371576013</v>
      </c>
      <c r="P32" s="751"/>
      <c r="Q32" s="751"/>
    </row>
    <row r="33" spans="1:17">
      <c r="A33" s="2">
        <v>21</v>
      </c>
      <c r="B33" s="217"/>
      <c r="C33" s="4"/>
      <c r="D33" s="10"/>
      <c r="E33" s="2"/>
      <c r="F33" s="2"/>
      <c r="G33" s="10"/>
      <c r="H33" s="10"/>
      <c r="I33" s="10"/>
      <c r="L33" s="10"/>
      <c r="P33" s="439"/>
      <c r="Q33" s="438"/>
    </row>
    <row r="34" spans="1:17">
      <c r="A34" s="2">
        <v>22</v>
      </c>
      <c r="C34" s="16" t="s">
        <v>648</v>
      </c>
      <c r="D34" s="695">
        <f>'WP B.5 B'!P34</f>
        <v>0</v>
      </c>
      <c r="E34" s="752">
        <f>$E$30</f>
        <v>0.109</v>
      </c>
      <c r="F34" s="752">
        <f>$F$30</f>
        <v>0.49459999999999998</v>
      </c>
      <c r="G34" s="359">
        <f>D34*E34*F34</f>
        <v>0</v>
      </c>
      <c r="H34" s="10"/>
      <c r="I34" s="695">
        <f>'WP B.5 B'!Q34</f>
        <v>0</v>
      </c>
      <c r="J34" s="721">
        <f>E34</f>
        <v>0.109</v>
      </c>
      <c r="K34" s="721">
        <f>F34</f>
        <v>0.49459999999999998</v>
      </c>
      <c r="L34" s="359">
        <f>I34*J34*K34</f>
        <v>0</v>
      </c>
      <c r="P34" s="751"/>
      <c r="Q34" s="751"/>
    </row>
    <row r="35" spans="1:17">
      <c r="A35" s="2">
        <v>23</v>
      </c>
      <c r="D35" s="10"/>
      <c r="E35" s="2"/>
      <c r="F35" s="2"/>
      <c r="G35" s="10"/>
      <c r="H35" s="10"/>
      <c r="I35" s="10"/>
      <c r="J35" s="2"/>
      <c r="K35" s="2"/>
      <c r="L35" s="10"/>
      <c r="P35" s="438"/>
      <c r="Q35" s="438"/>
    </row>
    <row r="36" spans="1:17">
      <c r="A36" s="2">
        <v>24</v>
      </c>
      <c r="C36" s="19" t="s">
        <v>691</v>
      </c>
      <c r="D36" s="749">
        <f>SUM(D30:D34)</f>
        <v>-9873547.5543805473</v>
      </c>
      <c r="E36" s="2"/>
      <c r="F36" s="2"/>
      <c r="G36" s="749">
        <f>SUM(G30:G34)</f>
        <v>-532296.77162323135</v>
      </c>
      <c r="I36" s="749">
        <f>SUM(I30:I34)</f>
        <v>-10752609.725366607</v>
      </c>
      <c r="L36" s="749">
        <f>SUM(L30:L34)</f>
        <v>-579688.24394812935</v>
      </c>
      <c r="P36" s="438"/>
      <c r="Q36" s="438"/>
    </row>
    <row r="37" spans="1:17" ht="15.75">
      <c r="A37" s="2">
        <v>25</v>
      </c>
      <c r="B37" s="12" t="s">
        <v>649</v>
      </c>
      <c r="P37" s="438"/>
      <c r="Q37" s="438"/>
    </row>
    <row r="38" spans="1:17" ht="15.75">
      <c r="A38" s="2">
        <v>26</v>
      </c>
      <c r="B38" s="12"/>
      <c r="P38" s="438"/>
      <c r="Q38" s="438"/>
    </row>
    <row r="39" spans="1:17">
      <c r="A39" s="2">
        <v>27</v>
      </c>
      <c r="C39" s="16" t="s">
        <v>646</v>
      </c>
      <c r="D39" s="688">
        <f>'WP B.5 B'!P39</f>
        <v>1641942</v>
      </c>
      <c r="E39" s="275">
        <v>1</v>
      </c>
      <c r="F39" s="750">
        <f>Allocation!H17</f>
        <v>0.49969999999999998</v>
      </c>
      <c r="G39" s="691">
        <f>D39*$E$39*F39</f>
        <v>820478.41739999992</v>
      </c>
      <c r="H39" s="10"/>
      <c r="I39" s="688">
        <f>'WP B.5 B'!Q39</f>
        <v>1623978.923076923</v>
      </c>
      <c r="J39" s="753">
        <f>E39</f>
        <v>1</v>
      </c>
      <c r="K39" s="752">
        <f>F39</f>
        <v>0.49969999999999998</v>
      </c>
      <c r="L39" s="691">
        <f>I39*$E$39*K39</f>
        <v>811502.26786153833</v>
      </c>
      <c r="P39" s="751"/>
      <c r="Q39" s="751"/>
    </row>
    <row r="40" spans="1:17">
      <c r="A40" s="2">
        <v>28</v>
      </c>
      <c r="D40" s="10"/>
      <c r="E40" s="2"/>
      <c r="F40" s="2"/>
      <c r="G40" s="10"/>
      <c r="H40" s="10"/>
      <c r="I40" s="10"/>
      <c r="J40" s="2"/>
      <c r="K40" s="2"/>
      <c r="L40" s="10"/>
      <c r="P40" s="439"/>
      <c r="Q40" s="438"/>
    </row>
    <row r="41" spans="1:17">
      <c r="A41" s="2">
        <v>29</v>
      </c>
      <c r="C41" s="16" t="s">
        <v>417</v>
      </c>
      <c r="D41" s="695">
        <f>'WP B.5 B'!P45</f>
        <v>0</v>
      </c>
      <c r="E41" s="753">
        <f>$E$39</f>
        <v>1</v>
      </c>
      <c r="F41" s="752">
        <f>$F$39</f>
        <v>0.49969999999999998</v>
      </c>
      <c r="G41" s="359">
        <f>D41*E41*F41</f>
        <v>0</v>
      </c>
      <c r="H41" s="10"/>
      <c r="I41" s="695">
        <f>'WP B.5 B'!Q45</f>
        <v>0</v>
      </c>
      <c r="J41" s="753">
        <f>E41</f>
        <v>1</v>
      </c>
      <c r="K41" s="752">
        <f>F41</f>
        <v>0.49969999999999998</v>
      </c>
      <c r="L41" s="359">
        <f>I41*J41*K41</f>
        <v>0</v>
      </c>
      <c r="P41" s="751"/>
      <c r="Q41" s="751"/>
    </row>
    <row r="42" spans="1:17">
      <c r="A42" s="2">
        <v>30</v>
      </c>
      <c r="D42" s="10"/>
      <c r="E42" s="2"/>
      <c r="F42" s="2"/>
      <c r="G42" s="10"/>
      <c r="H42" s="10"/>
      <c r="I42" s="10"/>
      <c r="J42" s="2"/>
      <c r="K42" s="2"/>
      <c r="L42" s="10"/>
      <c r="P42" s="439"/>
      <c r="Q42" s="438"/>
    </row>
    <row r="43" spans="1:17">
      <c r="A43" s="2">
        <v>31</v>
      </c>
      <c r="C43" s="16" t="s">
        <v>647</v>
      </c>
      <c r="D43" s="695">
        <f>'WP B.5 B'!P41</f>
        <v>238974.16953551659</v>
      </c>
      <c r="E43" s="753">
        <f>$E$39</f>
        <v>1</v>
      </c>
      <c r="F43" s="752">
        <f>$F$39</f>
        <v>0.49969999999999998</v>
      </c>
      <c r="G43" s="359">
        <f>D43*$E$39*F43</f>
        <v>119415.39251689763</v>
      </c>
      <c r="H43" s="10"/>
      <c r="I43" s="695">
        <f>'WP B.5 B'!Q41</f>
        <v>-264373.0130731301</v>
      </c>
      <c r="J43" s="753">
        <f>E43</f>
        <v>1</v>
      </c>
      <c r="K43" s="752">
        <f>F43</f>
        <v>0.49969999999999998</v>
      </c>
      <c r="L43" s="359">
        <f>I43*$E$39*K43</f>
        <v>-132107.19463264311</v>
      </c>
      <c r="P43" s="751"/>
      <c r="Q43" s="751"/>
    </row>
    <row r="44" spans="1:17">
      <c r="A44" s="2">
        <v>32</v>
      </c>
      <c r="D44" s="10"/>
      <c r="E44" s="2"/>
      <c r="F44" s="2"/>
      <c r="G44" s="10"/>
      <c r="H44" s="10"/>
      <c r="I44" s="10"/>
      <c r="J44" s="2"/>
      <c r="K44" s="2"/>
      <c r="L44" s="10"/>
      <c r="P44" s="438"/>
      <c r="Q44" s="438"/>
    </row>
    <row r="45" spans="1:17">
      <c r="A45" s="2">
        <v>33</v>
      </c>
      <c r="C45" s="16" t="s">
        <v>648</v>
      </c>
      <c r="D45" s="695">
        <f>'WP B.5 B'!P43</f>
        <v>-2254245</v>
      </c>
      <c r="E45" s="753">
        <f>$E$39</f>
        <v>1</v>
      </c>
      <c r="F45" s="752">
        <f>$F$39</f>
        <v>0.49969999999999998</v>
      </c>
      <c r="G45" s="359">
        <f>D45*$E$39*F45</f>
        <v>-1126446.2264999999</v>
      </c>
      <c r="H45" s="10"/>
      <c r="I45" s="695">
        <f>'WP B.5 B'!Q43</f>
        <v>-1744095</v>
      </c>
      <c r="J45" s="753">
        <f>E45</f>
        <v>1</v>
      </c>
      <c r="K45" s="752">
        <f>F45</f>
        <v>0.49969999999999998</v>
      </c>
      <c r="L45" s="359">
        <f>I45*$E$39*K45</f>
        <v>-871524.27149999992</v>
      </c>
      <c r="P45" s="751"/>
      <c r="Q45" s="751"/>
    </row>
    <row r="46" spans="1:17">
      <c r="A46" s="2">
        <v>34</v>
      </c>
      <c r="D46" s="10"/>
      <c r="E46" s="2"/>
      <c r="F46" s="2"/>
      <c r="G46" s="10"/>
      <c r="H46" s="10"/>
      <c r="I46" s="10"/>
      <c r="J46" s="2"/>
      <c r="K46" s="2"/>
      <c r="L46" s="10"/>
    </row>
    <row r="47" spans="1:17">
      <c r="A47" s="2">
        <v>35</v>
      </c>
      <c r="C47" s="19" t="s">
        <v>416</v>
      </c>
      <c r="D47" s="749">
        <f>SUM(D39:D45)</f>
        <v>-373328.83046448347</v>
      </c>
      <c r="E47" s="2"/>
      <c r="F47" s="2"/>
      <c r="G47" s="749">
        <f>SUM(G39:G45)</f>
        <v>-186552.41658310231</v>
      </c>
      <c r="I47" s="749">
        <f>SUM(I39:I45)</f>
        <v>-384489.08999620704</v>
      </c>
      <c r="L47" s="749">
        <f>SUM(L39:L45)</f>
        <v>-192129.19827110472</v>
      </c>
    </row>
    <row r="48" spans="1:17">
      <c r="A48" s="2">
        <v>36</v>
      </c>
    </row>
    <row r="49" spans="1:12" ht="16.5" thickBot="1">
      <c r="A49" s="2">
        <v>37</v>
      </c>
      <c r="C49" s="295" t="s">
        <v>693</v>
      </c>
      <c r="D49" s="754">
        <f>D47+D36+D28+D19</f>
        <v>-267129591.29887447</v>
      </c>
      <c r="G49" s="754">
        <f>G47+G36+G28+G19</f>
        <v>-98484338.651369676</v>
      </c>
      <c r="I49" s="754">
        <f>I47+I36+I28+I19</f>
        <v>-263800326.90842453</v>
      </c>
      <c r="L49" s="754">
        <f>L47+L36+L28+L19</f>
        <v>-94791328.150399983</v>
      </c>
    </row>
    <row r="50" spans="1:12" ht="15.75" thickTop="1"/>
    <row r="54" spans="1:12">
      <c r="E54" s="84"/>
    </row>
  </sheetData>
  <mergeCells count="4">
    <mergeCell ref="A1:L1"/>
    <mergeCell ref="A2:L2"/>
    <mergeCell ref="A3:L3"/>
    <mergeCell ref="A4:L4"/>
  </mergeCells>
  <phoneticPr fontId="20" type="noConversion"/>
  <printOptions horizontalCentered="1"/>
  <pageMargins left="0.75" right="0.5" top="0.75" bottom="0.3" header="0.5" footer="0.17"/>
  <pageSetup scale="60" fitToHeight="2" orientation="landscape" verticalDpi="300" r:id="rId1"/>
  <headerFooter alignWithMargins="0">
    <oddFooter>&amp;RSchedule &amp;A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K31"/>
  <sheetViews>
    <sheetView view="pageBreakPreview" zoomScale="80" zoomScaleNormal="80" zoomScaleSheetLayoutView="80" workbookViewId="0">
      <selection activeCell="D18" sqref="D18"/>
    </sheetView>
  </sheetViews>
  <sheetFormatPr defaultRowHeight="15"/>
  <cols>
    <col min="1" max="1" width="7.44140625" bestFit="1" customWidth="1"/>
    <col min="2" max="2" width="34.44140625" customWidth="1"/>
    <col min="3" max="3" width="10.33203125" customWidth="1"/>
    <col min="4" max="5" width="10.44140625" customWidth="1"/>
    <col min="6" max="6" width="7" bestFit="1" customWidth="1"/>
    <col min="7" max="7" width="10" customWidth="1"/>
    <col min="8" max="8" width="10.21875" customWidth="1"/>
    <col min="9" max="9" width="10.109375" customWidth="1"/>
    <col min="13" max="13" width="10.44140625" bestFit="1" customWidth="1"/>
    <col min="15" max="15" width="6.77734375" customWidth="1"/>
    <col min="16" max="17" width="10.44140625" bestFit="1" customWidth="1"/>
  </cols>
  <sheetData>
    <row r="1" spans="1:10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</row>
    <row r="2" spans="1:10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</row>
    <row r="3" spans="1:10">
      <c r="A3" s="1057" t="str">
        <f>'Table of Contents'!A3:C3</f>
        <v>Base Period: Twelve Months Ended December 31, 2024</v>
      </c>
      <c r="B3" s="1057"/>
      <c r="C3" s="1057"/>
      <c r="D3" s="1057"/>
      <c r="E3" s="1057"/>
      <c r="F3" s="1057"/>
      <c r="G3" s="1057"/>
      <c r="H3" s="1057"/>
      <c r="I3" s="1057"/>
    </row>
    <row r="4" spans="1:10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</row>
    <row r="6" spans="1:10" ht="15.75">
      <c r="A6" s="1058" t="s">
        <v>1173</v>
      </c>
      <c r="B6" s="1058"/>
      <c r="C6" s="1058"/>
      <c r="D6" s="1058"/>
      <c r="E6" s="1058"/>
      <c r="F6" s="1058"/>
      <c r="G6" s="1058"/>
      <c r="H6" s="1058"/>
      <c r="I6" s="1058"/>
    </row>
    <row r="7" spans="1:10" ht="15.75">
      <c r="A7" s="169"/>
      <c r="B7" s="169"/>
      <c r="C7" s="169"/>
      <c r="D7" s="169"/>
      <c r="E7" s="169"/>
      <c r="F7" s="169"/>
      <c r="G7" s="169"/>
      <c r="H7" s="169"/>
      <c r="I7" s="169"/>
    </row>
    <row r="8" spans="1:10">
      <c r="C8" s="36"/>
      <c r="D8" s="41" t="s">
        <v>1174</v>
      </c>
      <c r="E8" s="36"/>
      <c r="G8" s="36"/>
      <c r="H8" s="41" t="s">
        <v>315</v>
      </c>
      <c r="I8" s="36"/>
    </row>
    <row r="9" spans="1:10">
      <c r="C9" s="183" t="s">
        <v>1175</v>
      </c>
      <c r="D9" s="183" t="s">
        <v>190</v>
      </c>
      <c r="E9" s="37" t="s">
        <v>10</v>
      </c>
      <c r="F9" s="37"/>
      <c r="G9" s="183" t="s">
        <v>1175</v>
      </c>
      <c r="H9" s="183" t="s">
        <v>190</v>
      </c>
      <c r="I9" s="37" t="s">
        <v>10</v>
      </c>
    </row>
    <row r="10" spans="1:10">
      <c r="A10" s="36" t="s">
        <v>198</v>
      </c>
      <c r="B10" s="41" t="s">
        <v>949</v>
      </c>
      <c r="C10" s="182" t="s">
        <v>149</v>
      </c>
      <c r="D10" s="41" t="s">
        <v>567</v>
      </c>
      <c r="E10" s="41" t="s">
        <v>1102</v>
      </c>
      <c r="F10" s="37"/>
      <c r="G10" s="182" t="s">
        <v>149</v>
      </c>
      <c r="H10" s="41" t="s">
        <v>567</v>
      </c>
      <c r="I10" s="41" t="s">
        <v>1102</v>
      </c>
    </row>
    <row r="11" spans="1:10">
      <c r="C11" s="183"/>
      <c r="D11" s="183"/>
    </row>
    <row r="12" spans="1:10" ht="15.75">
      <c r="B12" s="225" t="s">
        <v>1100</v>
      </c>
      <c r="C12" s="183"/>
      <c r="D12" s="183"/>
    </row>
    <row r="13" spans="1:10" ht="15.75">
      <c r="A13" s="37">
        <v>1</v>
      </c>
      <c r="B13" s="88" t="s">
        <v>193</v>
      </c>
      <c r="I13" s="188"/>
    </row>
    <row r="14" spans="1:10">
      <c r="A14" s="389">
        <f>A13+1</f>
        <v>2</v>
      </c>
      <c r="B14" s="224" t="s">
        <v>195</v>
      </c>
      <c r="C14" s="682">
        <v>8.8999999999999996E-2</v>
      </c>
      <c r="D14" s="682">
        <v>0.48899999999999999</v>
      </c>
      <c r="E14" s="360">
        <f>C14*D14</f>
        <v>4.3520999999999997E-2</v>
      </c>
      <c r="F14" s="187"/>
      <c r="G14" s="682">
        <v>9.1300000000000006E-2</v>
      </c>
      <c r="H14" s="682">
        <v>0.49969999999999998</v>
      </c>
      <c r="I14" s="683">
        <f>G14*H14</f>
        <v>4.5622610000000001E-2</v>
      </c>
      <c r="J14" s="329"/>
    </row>
    <row r="15" spans="1:10">
      <c r="A15" s="389">
        <f t="shared" ref="A15:A31" si="0">A14+1</f>
        <v>3</v>
      </c>
      <c r="B15" s="224" t="s">
        <v>196</v>
      </c>
      <c r="C15" s="682">
        <v>0.1086</v>
      </c>
      <c r="D15" s="682">
        <v>0.48899999999999999</v>
      </c>
      <c r="E15" s="360">
        <f>C15*D15</f>
        <v>5.3105399999999997E-2</v>
      </c>
      <c r="F15" s="187"/>
      <c r="G15" s="682">
        <v>0.109</v>
      </c>
      <c r="H15" s="682">
        <v>0.49459999999999998</v>
      </c>
      <c r="I15" s="683">
        <f>G15*H15</f>
        <v>5.3911399999999998E-2</v>
      </c>
      <c r="J15" s="329"/>
    </row>
    <row r="16" spans="1:10" ht="15.75">
      <c r="A16" s="389">
        <f t="shared" si="0"/>
        <v>4</v>
      </c>
      <c r="B16" s="88" t="s">
        <v>194</v>
      </c>
      <c r="C16" s="37"/>
      <c r="D16" s="37"/>
      <c r="E16" s="187"/>
      <c r="F16" s="187"/>
      <c r="G16" s="37"/>
      <c r="H16" s="37"/>
      <c r="I16" s="188"/>
    </row>
    <row r="17" spans="1:11">
      <c r="A17" s="389">
        <f t="shared" si="0"/>
        <v>5</v>
      </c>
      <c r="B17" s="224" t="s">
        <v>197</v>
      </c>
      <c r="C17" s="195">
        <v>1</v>
      </c>
      <c r="D17" s="682">
        <v>0.48899999999999999</v>
      </c>
      <c r="E17" s="360">
        <f>C17*D17</f>
        <v>0.48899999999999999</v>
      </c>
      <c r="F17" s="187"/>
      <c r="G17" s="195">
        <v>1</v>
      </c>
      <c r="H17" s="682">
        <v>0.49969999999999998</v>
      </c>
      <c r="I17" s="683">
        <f>G17*H17</f>
        <v>0.49969999999999998</v>
      </c>
      <c r="J17" s="329"/>
    </row>
    <row r="18" spans="1:11">
      <c r="A18" s="389">
        <f t="shared" si="0"/>
        <v>6</v>
      </c>
      <c r="C18" s="37"/>
      <c r="D18" s="37"/>
      <c r="E18" s="37"/>
      <c r="F18" s="37"/>
      <c r="G18" s="37"/>
      <c r="H18" s="37"/>
      <c r="I18" s="37"/>
    </row>
    <row r="19" spans="1:11">
      <c r="A19" s="389">
        <f t="shared" si="0"/>
        <v>7</v>
      </c>
      <c r="B19" s="224"/>
      <c r="C19" s="37"/>
      <c r="D19" s="37"/>
      <c r="E19" s="37"/>
      <c r="F19" s="37"/>
      <c r="G19" s="37"/>
      <c r="H19" s="37"/>
      <c r="I19" s="37"/>
    </row>
    <row r="20" spans="1:11" ht="15.75">
      <c r="A20" s="389">
        <f t="shared" si="0"/>
        <v>8</v>
      </c>
      <c r="B20" s="59" t="s">
        <v>1177</v>
      </c>
      <c r="C20" s="37"/>
      <c r="D20" s="37"/>
      <c r="E20" s="682">
        <v>1.503839E-2</v>
      </c>
      <c r="F20" s="37"/>
      <c r="G20" s="37"/>
      <c r="H20" s="37"/>
      <c r="I20" s="683">
        <f>E20</f>
        <v>1.503839E-2</v>
      </c>
    </row>
    <row r="21" spans="1:11" ht="15.75">
      <c r="A21" s="389">
        <f t="shared" si="0"/>
        <v>9</v>
      </c>
      <c r="B21" s="59" t="s">
        <v>1176</v>
      </c>
      <c r="C21" s="37"/>
      <c r="D21" s="37"/>
      <c r="E21" s="682">
        <v>2.983098E-2</v>
      </c>
      <c r="F21" s="37"/>
      <c r="G21" s="37"/>
      <c r="H21" s="37"/>
      <c r="I21" s="683">
        <f>E21</f>
        <v>2.983098E-2</v>
      </c>
    </row>
    <row r="22" spans="1:11" ht="15.75">
      <c r="A22" s="389">
        <f t="shared" si="0"/>
        <v>10</v>
      </c>
      <c r="B22" s="59" t="s">
        <v>1474</v>
      </c>
      <c r="C22" s="37"/>
      <c r="D22" s="37"/>
      <c r="E22" s="682">
        <v>5.5924710000000002E-2</v>
      </c>
      <c r="F22" s="37"/>
      <c r="G22" s="37"/>
      <c r="H22" s="37"/>
      <c r="I22" s="683">
        <f>E22</f>
        <v>5.5924710000000002E-2</v>
      </c>
    </row>
    <row r="23" spans="1:11" ht="15.75">
      <c r="A23" s="389">
        <f t="shared" si="0"/>
        <v>11</v>
      </c>
      <c r="B23" s="59" t="s">
        <v>1475</v>
      </c>
      <c r="C23" s="37"/>
      <c r="D23" s="37"/>
      <c r="E23" s="682">
        <v>3.5999389999999999E-2</v>
      </c>
      <c r="F23" s="37"/>
      <c r="G23" s="37"/>
      <c r="H23" s="37"/>
      <c r="I23" s="188"/>
    </row>
    <row r="24" spans="1:11">
      <c r="A24" s="389">
        <f t="shared" si="0"/>
        <v>12</v>
      </c>
      <c r="B24" s="224"/>
      <c r="C24" s="37"/>
      <c r="D24" s="37"/>
      <c r="E24" s="37"/>
      <c r="F24" s="37"/>
      <c r="G24" s="37"/>
      <c r="H24" s="37"/>
      <c r="I24" s="37"/>
    </row>
    <row r="25" spans="1:11" ht="15.75">
      <c r="A25" s="389">
        <f t="shared" si="0"/>
        <v>13</v>
      </c>
      <c r="B25" s="59" t="s">
        <v>1090</v>
      </c>
      <c r="C25" s="37"/>
      <c r="D25" s="37"/>
      <c r="E25" s="360">
        <f>ROUND(0.05+0.21*(1-0.05),5)</f>
        <v>0.2495</v>
      </c>
      <c r="F25" s="37"/>
      <c r="G25" s="37"/>
      <c r="H25" s="37"/>
      <c r="I25" s="37"/>
      <c r="J25" s="329"/>
      <c r="K25" s="640"/>
    </row>
    <row r="26" spans="1:11">
      <c r="A26" s="389">
        <f t="shared" si="0"/>
        <v>14</v>
      </c>
      <c r="B26" s="116"/>
      <c r="C26" s="37"/>
      <c r="D26" s="37"/>
      <c r="E26" s="187"/>
      <c r="F26" s="37"/>
      <c r="G26" s="37"/>
      <c r="H26" s="37"/>
      <c r="I26" s="37"/>
    </row>
    <row r="27" spans="1:11" ht="15.75">
      <c r="A27" s="389">
        <f t="shared" si="0"/>
        <v>15</v>
      </c>
      <c r="B27" s="59" t="s">
        <v>1279</v>
      </c>
      <c r="C27" s="37"/>
      <c r="D27" s="37"/>
      <c r="E27" s="187">
        <v>0.1095</v>
      </c>
      <c r="F27" s="616"/>
      <c r="G27" s="37"/>
      <c r="H27" s="37"/>
      <c r="I27" s="37"/>
    </row>
    <row r="28" spans="1:11">
      <c r="A28" s="389">
        <f t="shared" si="0"/>
        <v>16</v>
      </c>
      <c r="B28" s="116"/>
      <c r="C28" s="37"/>
      <c r="D28" s="37"/>
      <c r="E28" s="37"/>
      <c r="F28" s="37"/>
      <c r="G28" s="37"/>
      <c r="H28" s="37"/>
      <c r="I28" s="37"/>
    </row>
    <row r="29" spans="1:11" ht="15.75">
      <c r="A29" s="389">
        <f t="shared" si="0"/>
        <v>17</v>
      </c>
      <c r="B29" s="59" t="s">
        <v>326</v>
      </c>
      <c r="C29" s="37"/>
      <c r="D29" s="37"/>
      <c r="E29" s="684">
        <f>ROUND(+'J-2 F'!L20,4)</f>
        <v>0.1714</v>
      </c>
      <c r="F29" s="37"/>
      <c r="G29" s="37"/>
      <c r="H29" s="37"/>
      <c r="I29" s="37"/>
    </row>
    <row r="30" spans="1:11">
      <c r="A30" s="389">
        <f t="shared" si="0"/>
        <v>18</v>
      </c>
      <c r="B30" s="116"/>
      <c r="C30" s="37"/>
      <c r="D30" s="37"/>
      <c r="E30" s="37"/>
      <c r="F30" s="37"/>
      <c r="G30" s="37"/>
      <c r="H30" s="37"/>
      <c r="I30" s="37"/>
    </row>
    <row r="31" spans="1:11" ht="15.75">
      <c r="A31" s="389">
        <f t="shared" si="0"/>
        <v>19</v>
      </c>
      <c r="B31" s="59" t="s">
        <v>327</v>
      </c>
      <c r="C31" s="37"/>
      <c r="D31" s="37"/>
      <c r="E31" s="684">
        <f>ROUND('J-3 F'!K41,4)</f>
        <v>4.1099999999999998E-2</v>
      </c>
      <c r="F31" s="188"/>
      <c r="G31" s="188"/>
      <c r="H31" s="188"/>
      <c r="I31" s="188"/>
    </row>
  </sheetData>
  <mergeCells count="5">
    <mergeCell ref="A1:I1"/>
    <mergeCell ref="A2:I2"/>
    <mergeCell ref="A3:I3"/>
    <mergeCell ref="A4:I4"/>
    <mergeCell ref="A6:I6"/>
  </mergeCells>
  <phoneticPr fontId="20" type="noConversion"/>
  <pageMargins left="0.83" right="0.75" top="0.74" bottom="0.75" header="0.5" footer="0.19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92D050"/>
  </sheetPr>
  <dimension ref="A1:Q140"/>
  <sheetViews>
    <sheetView view="pageBreakPreview" topLeftCell="A54" zoomScale="80" zoomScaleNormal="100" zoomScaleSheetLayoutView="80" workbookViewId="0">
      <selection activeCell="M73" sqref="M73"/>
    </sheetView>
  </sheetViews>
  <sheetFormatPr defaultColWidth="8.44140625" defaultRowHeight="15"/>
  <cols>
    <col min="1" max="1" width="5.77734375" style="1" customWidth="1"/>
    <col min="2" max="2" width="4" style="1" customWidth="1"/>
    <col min="3" max="3" width="49.33203125" style="1" customWidth="1"/>
    <col min="4" max="4" width="16" style="1" bestFit="1" customWidth="1"/>
    <col min="5" max="5" width="11.88671875" style="1" bestFit="1" customWidth="1"/>
    <col min="6" max="6" width="11.77734375" style="1" customWidth="1"/>
    <col min="7" max="7" width="14" style="1" bestFit="1" customWidth="1"/>
    <col min="8" max="8" width="4.33203125" style="1" customWidth="1"/>
    <col min="9" max="9" width="16" style="1" bestFit="1" customWidth="1"/>
    <col min="10" max="11" width="11.88671875" style="1" customWidth="1"/>
    <col min="12" max="12" width="18.33203125" style="1" customWidth="1"/>
    <col min="13" max="13" width="12.44140625" style="1" customWidth="1"/>
    <col min="14" max="14" width="7.21875" style="1" customWidth="1"/>
    <col min="15" max="15" width="7.5546875" style="1" customWidth="1"/>
    <col min="16" max="17" width="8.5546875" style="1" bestFit="1" customWidth="1"/>
    <col min="18" max="16384" width="8.44140625" style="1"/>
  </cols>
  <sheetData>
    <row r="1" spans="1:13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</row>
    <row r="2" spans="1:13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</row>
    <row r="3" spans="1:13">
      <c r="A3" s="1060" t="s">
        <v>484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</row>
    <row r="4" spans="1:13">
      <c r="A4" s="1059" t="str">
        <f>'B.1 F '!A4</f>
        <v>Forecasted Test Period:  Twelve Months Ended March 31, 2026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</row>
    <row r="5" spans="1:13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15.75">
      <c r="A6" s="4" t="s">
        <v>1016</v>
      </c>
      <c r="B6" s="4"/>
      <c r="D6" s="330"/>
      <c r="L6" s="84" t="s">
        <v>1337</v>
      </c>
    </row>
    <row r="7" spans="1:13">
      <c r="A7" s="4" t="s">
        <v>1080</v>
      </c>
      <c r="C7" s="4"/>
      <c r="L7" s="84" t="s">
        <v>681</v>
      </c>
    </row>
    <row r="8" spans="1:13">
      <c r="A8" s="4" t="s">
        <v>405</v>
      </c>
      <c r="D8" s="28"/>
      <c r="L8" s="1040" t="str">
        <f>'B.5 B'!L8</f>
        <v>Witness: Waller, Multer</v>
      </c>
    </row>
    <row r="9" spans="1:13">
      <c r="A9" s="135"/>
      <c r="B9" s="42"/>
      <c r="C9" s="42"/>
      <c r="D9" s="277"/>
      <c r="E9" s="196" t="s">
        <v>12</v>
      </c>
      <c r="F9" s="197" t="s">
        <v>10</v>
      </c>
      <c r="G9" s="278" t="s">
        <v>92</v>
      </c>
      <c r="H9" s="2"/>
      <c r="I9" s="280" t="s">
        <v>307</v>
      </c>
      <c r="J9" s="196" t="s">
        <v>12</v>
      </c>
      <c r="K9" s="197" t="s">
        <v>10</v>
      </c>
      <c r="L9" s="227"/>
    </row>
    <row r="10" spans="1:13">
      <c r="A10" s="193" t="s">
        <v>88</v>
      </c>
      <c r="B10" s="2"/>
      <c r="D10" s="194"/>
      <c r="E10" s="2" t="s">
        <v>13</v>
      </c>
      <c r="F10" s="2" t="s">
        <v>567</v>
      </c>
      <c r="G10" s="190" t="s">
        <v>1124</v>
      </c>
      <c r="H10" s="2"/>
      <c r="I10" s="193" t="s">
        <v>1571</v>
      </c>
      <c r="J10" s="2" t="s">
        <v>13</v>
      </c>
      <c r="K10" s="2" t="s">
        <v>567</v>
      </c>
      <c r="L10" s="190" t="s">
        <v>11</v>
      </c>
    </row>
    <row r="11" spans="1:13">
      <c r="A11" s="191" t="s">
        <v>94</v>
      </c>
      <c r="B11" s="27"/>
      <c r="C11" s="40" t="s">
        <v>329</v>
      </c>
      <c r="D11" s="279" t="s">
        <v>1017</v>
      </c>
      <c r="E11" s="27" t="s">
        <v>600</v>
      </c>
      <c r="F11" s="27" t="s">
        <v>600</v>
      </c>
      <c r="G11" s="192" t="s">
        <v>100</v>
      </c>
      <c r="H11" s="2"/>
      <c r="I11" s="191" t="s">
        <v>308</v>
      </c>
      <c r="J11" s="27" t="s">
        <v>600</v>
      </c>
      <c r="K11" s="27" t="s">
        <v>600</v>
      </c>
      <c r="L11" s="281" t="s">
        <v>99</v>
      </c>
    </row>
    <row r="12" spans="1:13" ht="15.75">
      <c r="B12" s="12" t="s">
        <v>205</v>
      </c>
      <c r="E12" s="38"/>
      <c r="F12" s="38"/>
      <c r="J12" s="38"/>
      <c r="K12" s="38"/>
    </row>
    <row r="13" spans="1:13">
      <c r="A13" s="2">
        <v>1</v>
      </c>
      <c r="C13" s="16" t="s">
        <v>646</v>
      </c>
      <c r="D13" s="688">
        <f>'WP B.5 F'!P13</f>
        <v>45685896.863138169</v>
      </c>
      <c r="E13" s="274">
        <v>1</v>
      </c>
      <c r="F13" s="274">
        <v>1</v>
      </c>
      <c r="G13" s="691">
        <f>D13*E13*F13</f>
        <v>45685896.863138169</v>
      </c>
      <c r="H13" s="10"/>
      <c r="I13" s="688">
        <f>'WP B.5 F'!Q13</f>
        <v>45685896.863138169</v>
      </c>
      <c r="J13" s="755">
        <f>E13</f>
        <v>1</v>
      </c>
      <c r="K13" s="755">
        <f>F13</f>
        <v>1</v>
      </c>
      <c r="L13" s="691">
        <f>I13*J13*K13</f>
        <v>45685896.863138169</v>
      </c>
      <c r="M13" s="177"/>
    </row>
    <row r="14" spans="1:13" ht="14.25" customHeight="1">
      <c r="A14" s="2">
        <v>2</v>
      </c>
      <c r="B14" s="217"/>
      <c r="C14" s="4"/>
      <c r="D14" s="10"/>
      <c r="E14" s="274"/>
      <c r="F14" s="274"/>
      <c r="G14" s="10"/>
      <c r="H14" s="10"/>
      <c r="I14" s="10"/>
      <c r="J14" s="38"/>
      <c r="K14" s="38"/>
      <c r="L14" s="10"/>
      <c r="M14" s="177"/>
    </row>
    <row r="15" spans="1:13">
      <c r="A15" s="2">
        <v>3</v>
      </c>
      <c r="C15" s="16" t="s">
        <v>647</v>
      </c>
      <c r="D15" s="695">
        <f>'WP B.5 F'!P15</f>
        <v>-140238519.5803923</v>
      </c>
      <c r="E15" s="748">
        <f>$E$13</f>
        <v>1</v>
      </c>
      <c r="F15" s="748">
        <f>$F$13</f>
        <v>1</v>
      </c>
      <c r="G15" s="359">
        <f>D15*E15*F15</f>
        <v>-140238519.5803923</v>
      </c>
      <c r="H15" s="10"/>
      <c r="I15" s="695">
        <f>'WP B.5 F'!Q15</f>
        <v>-140238519.5803923</v>
      </c>
      <c r="J15" s="755">
        <f>E15</f>
        <v>1</v>
      </c>
      <c r="K15" s="755">
        <f>F15</f>
        <v>1</v>
      </c>
      <c r="L15" s="359">
        <f>I15*J15*K15</f>
        <v>-140238519.5803923</v>
      </c>
      <c r="M15" s="177"/>
    </row>
    <row r="16" spans="1:13" ht="14.25" customHeight="1">
      <c r="A16" s="2">
        <v>4</v>
      </c>
      <c r="B16" s="217"/>
      <c r="C16" s="4"/>
      <c r="D16" s="10"/>
      <c r="E16" s="274"/>
      <c r="F16" s="274"/>
      <c r="G16" s="10"/>
      <c r="H16" s="10"/>
      <c r="I16" s="10"/>
      <c r="J16" s="38"/>
      <c r="K16" s="38"/>
      <c r="L16" s="10"/>
      <c r="M16" s="177"/>
    </row>
    <row r="17" spans="1:17">
      <c r="A17" s="2">
        <v>5</v>
      </c>
      <c r="C17" s="16" t="s">
        <v>648</v>
      </c>
      <c r="D17" s="695">
        <f>'WP B.5 F'!P17</f>
        <v>-61287</v>
      </c>
      <c r="E17" s="748">
        <f>$E$13</f>
        <v>1</v>
      </c>
      <c r="F17" s="748">
        <f>$F$13</f>
        <v>1</v>
      </c>
      <c r="G17" s="359">
        <f>D17*E17*F17</f>
        <v>-61287</v>
      </c>
      <c r="H17" s="10"/>
      <c r="I17" s="695">
        <f>'WP B.5 F'!Q17</f>
        <v>-61287</v>
      </c>
      <c r="J17" s="755">
        <f>E17</f>
        <v>1</v>
      </c>
      <c r="K17" s="755">
        <f>F17</f>
        <v>1</v>
      </c>
      <c r="L17" s="359">
        <f>I17*J17*K17</f>
        <v>-61287</v>
      </c>
      <c r="M17" s="177"/>
    </row>
    <row r="18" spans="1:17" ht="14.25" customHeight="1">
      <c r="A18" s="2">
        <v>6</v>
      </c>
      <c r="B18" s="217"/>
      <c r="C18" s="4"/>
      <c r="D18" s="10"/>
      <c r="E18" s="2"/>
      <c r="F18" s="2"/>
      <c r="G18" s="10"/>
      <c r="H18" s="10"/>
      <c r="I18" s="10"/>
      <c r="J18" s="38"/>
      <c r="K18" s="38"/>
      <c r="L18" s="10"/>
      <c r="M18" s="177"/>
    </row>
    <row r="19" spans="1:17">
      <c r="A19" s="2">
        <v>7</v>
      </c>
      <c r="C19" s="19" t="s">
        <v>30</v>
      </c>
      <c r="D19" s="749">
        <f>SUM(D13:D17)</f>
        <v>-94613909.717254132</v>
      </c>
      <c r="E19" s="2"/>
      <c r="F19" s="2"/>
      <c r="G19" s="749">
        <f>SUM(G13:G17)</f>
        <v>-94613909.717254132</v>
      </c>
      <c r="I19" s="749">
        <f>SUM(I13:I17)</f>
        <v>-94613909.717254132</v>
      </c>
      <c r="J19" s="38"/>
      <c r="K19" s="38"/>
      <c r="L19" s="749">
        <f>SUM(L13:L17)</f>
        <v>-94613909.717254132</v>
      </c>
      <c r="M19" s="177"/>
    </row>
    <row r="20" spans="1:17" ht="14.25" customHeight="1">
      <c r="A20" s="2">
        <v>8</v>
      </c>
      <c r="B20" s="217"/>
      <c r="C20" s="4"/>
      <c r="D20" s="10"/>
      <c r="E20" s="2"/>
      <c r="F20" s="2"/>
      <c r="G20" s="10"/>
      <c r="H20" s="10"/>
      <c r="I20" s="10"/>
      <c r="J20" s="38"/>
      <c r="K20" s="38"/>
      <c r="L20" s="10"/>
      <c r="M20" s="177"/>
    </row>
    <row r="21" spans="1:17" ht="15.75">
      <c r="A21" s="2">
        <v>9</v>
      </c>
      <c r="B21" s="12" t="s">
        <v>206</v>
      </c>
      <c r="E21" s="38"/>
      <c r="F21" s="38"/>
      <c r="J21" s="38"/>
      <c r="K21" s="38"/>
      <c r="M21" s="177"/>
    </row>
    <row r="22" spans="1:17">
      <c r="A22" s="2">
        <v>10</v>
      </c>
      <c r="C22" s="16" t="s">
        <v>646</v>
      </c>
      <c r="D22" s="688">
        <f>'WP B.5 F'!P22</f>
        <v>-1757145</v>
      </c>
      <c r="E22" s="750">
        <f>Allocation!C14</f>
        <v>8.8999999999999996E-2</v>
      </c>
      <c r="F22" s="750">
        <f>Allocation!D14</f>
        <v>0.48899999999999999</v>
      </c>
      <c r="G22" s="691">
        <f>D22*E22*F22</f>
        <v>-76472.707544999997</v>
      </c>
      <c r="H22" s="10"/>
      <c r="I22" s="688">
        <f>'WP B.5 F'!Q22</f>
        <v>-1757145</v>
      </c>
      <c r="J22" s="721">
        <f>E22</f>
        <v>8.8999999999999996E-2</v>
      </c>
      <c r="K22" s="721">
        <f>F22</f>
        <v>0.48899999999999999</v>
      </c>
      <c r="L22" s="691">
        <f>I22*J22*K22</f>
        <v>-76472.707544999997</v>
      </c>
      <c r="M22" s="177"/>
      <c r="P22" s="752"/>
      <c r="Q22" s="752"/>
    </row>
    <row r="23" spans="1:17">
      <c r="A23" s="2">
        <v>11</v>
      </c>
      <c r="D23" s="10"/>
      <c r="E23" s="2"/>
      <c r="F23" s="2"/>
      <c r="G23" s="10"/>
      <c r="H23" s="10"/>
      <c r="I23" s="10"/>
      <c r="J23" s="2"/>
      <c r="K23" s="2"/>
      <c r="L23" s="10"/>
      <c r="M23" s="177"/>
      <c r="P23" s="437"/>
      <c r="Q23" s="438"/>
    </row>
    <row r="24" spans="1:17">
      <c r="A24" s="2">
        <v>12</v>
      </c>
      <c r="C24" s="16" t="s">
        <v>647</v>
      </c>
      <c r="D24" s="695">
        <f>'WP B.5 F'!P24</f>
        <v>-17592464.663161069</v>
      </c>
      <c r="E24" s="752">
        <f>$E$22</f>
        <v>8.8999999999999996E-2</v>
      </c>
      <c r="F24" s="752">
        <f>$F$22</f>
        <v>0.48899999999999999</v>
      </c>
      <c r="G24" s="359">
        <f>D24*E24*F24</f>
        <v>-765641.65460543288</v>
      </c>
      <c r="H24" s="10"/>
      <c r="I24" s="695">
        <f>'WP B.5 F'!Q24</f>
        <v>-17592464.663161069</v>
      </c>
      <c r="J24" s="721">
        <f>E24</f>
        <v>8.8999999999999996E-2</v>
      </c>
      <c r="K24" s="721">
        <f>F24</f>
        <v>0.48899999999999999</v>
      </c>
      <c r="L24" s="359">
        <f>I24*J24*K24</f>
        <v>-765641.65460543288</v>
      </c>
      <c r="M24" s="177"/>
      <c r="P24" s="752"/>
      <c r="Q24" s="752"/>
    </row>
    <row r="25" spans="1:17" ht="14.25" customHeight="1">
      <c r="A25" s="2">
        <v>13</v>
      </c>
      <c r="B25" s="217"/>
      <c r="C25" s="4"/>
      <c r="D25" s="10"/>
      <c r="E25" s="2"/>
      <c r="F25" s="2"/>
      <c r="G25" s="10"/>
      <c r="H25" s="10"/>
      <c r="I25" s="10"/>
      <c r="J25" s="38"/>
      <c r="K25" s="38"/>
      <c r="L25" s="10"/>
      <c r="M25" s="177"/>
      <c r="P25" s="437"/>
      <c r="Q25" s="438"/>
    </row>
    <row r="26" spans="1:17">
      <c r="A26" s="2">
        <v>14</v>
      </c>
      <c r="C26" s="16" t="s">
        <v>648</v>
      </c>
      <c r="D26" s="695">
        <f>'WP B.5 F'!P26</f>
        <v>-147575369.32486749</v>
      </c>
      <c r="E26" s="752">
        <f>$E$22</f>
        <v>8.8999999999999996E-2</v>
      </c>
      <c r="F26" s="752">
        <f>$F$22</f>
        <v>0.48899999999999999</v>
      </c>
      <c r="G26" s="359">
        <f>D26*E26*F26</f>
        <v>-6422627.6483875578</v>
      </c>
      <c r="H26" s="10"/>
      <c r="I26" s="695">
        <f>'WP B.5 F'!Q26</f>
        <v>-147575369.32486749</v>
      </c>
      <c r="J26" s="721">
        <f>E26</f>
        <v>8.8999999999999996E-2</v>
      </c>
      <c r="K26" s="721">
        <f>F26</f>
        <v>0.48899999999999999</v>
      </c>
      <c r="L26" s="359">
        <f>I26*J26*K26</f>
        <v>-6422627.6483875578</v>
      </c>
      <c r="M26" s="177"/>
      <c r="P26" s="752"/>
      <c r="Q26" s="752"/>
    </row>
    <row r="27" spans="1:17" ht="14.25" customHeight="1">
      <c r="A27" s="2">
        <v>15</v>
      </c>
      <c r="D27" s="10"/>
      <c r="E27" s="2"/>
      <c r="F27" s="2"/>
      <c r="G27" s="10"/>
      <c r="H27" s="10"/>
      <c r="I27" s="10"/>
      <c r="J27" s="2"/>
      <c r="K27" s="2"/>
      <c r="L27" s="10"/>
      <c r="M27" s="177"/>
      <c r="P27" s="438"/>
      <c r="Q27" s="438"/>
    </row>
    <row r="28" spans="1:17">
      <c r="A28" s="2">
        <v>16</v>
      </c>
      <c r="C28" s="19" t="s">
        <v>66</v>
      </c>
      <c r="D28" s="749">
        <f>SUM(D22:D26)</f>
        <v>-166924978.98802856</v>
      </c>
      <c r="E28" s="2"/>
      <c r="F28" s="2"/>
      <c r="G28" s="749">
        <f>SUM(G22:G26)</f>
        <v>-7264742.0105379904</v>
      </c>
      <c r="I28" s="749">
        <f>SUM(I22:I26)</f>
        <v>-166924978.98802856</v>
      </c>
      <c r="J28" s="38"/>
      <c r="K28" s="38"/>
      <c r="L28" s="749">
        <f>SUM(L22:L26)</f>
        <v>-7264742.0105379904</v>
      </c>
      <c r="M28" s="177"/>
      <c r="P28" s="438"/>
      <c r="Q28" s="438"/>
    </row>
    <row r="29" spans="1:17" ht="15.75">
      <c r="A29" s="2">
        <v>17</v>
      </c>
      <c r="B29" s="12" t="s">
        <v>1075</v>
      </c>
      <c r="E29" s="38"/>
      <c r="F29" s="38"/>
      <c r="J29" s="38"/>
      <c r="K29" s="38"/>
      <c r="M29" s="177"/>
      <c r="P29" s="438"/>
      <c r="Q29" s="438"/>
    </row>
    <row r="30" spans="1:17">
      <c r="A30" s="2">
        <v>18</v>
      </c>
      <c r="C30" s="16" t="s">
        <v>646</v>
      </c>
      <c r="D30" s="688">
        <f>'WP B.5 F'!P30</f>
        <v>-1216417</v>
      </c>
      <c r="E30" s="750">
        <f>Allocation!C15</f>
        <v>0.1086</v>
      </c>
      <c r="F30" s="750">
        <f>Allocation!D15</f>
        <v>0.48899999999999999</v>
      </c>
      <c r="G30" s="691">
        <f>D30*E30*F30</f>
        <v>-64598.311351800003</v>
      </c>
      <c r="H30" s="10"/>
      <c r="I30" s="688">
        <f>'WP B.5 F'!Q30</f>
        <v>-1216417</v>
      </c>
      <c r="J30" s="721">
        <f>E30</f>
        <v>0.1086</v>
      </c>
      <c r="K30" s="721">
        <f>F30</f>
        <v>0.48899999999999999</v>
      </c>
      <c r="L30" s="691">
        <f>I30*J30*K30</f>
        <v>-64598.311351800003</v>
      </c>
      <c r="M30" s="177"/>
      <c r="P30" s="752"/>
      <c r="Q30" s="752"/>
    </row>
    <row r="31" spans="1:17">
      <c r="A31" s="2">
        <v>19</v>
      </c>
      <c r="B31" s="217"/>
      <c r="C31" s="4"/>
      <c r="D31" s="10"/>
      <c r="E31" s="2"/>
      <c r="F31" s="2"/>
      <c r="G31" s="10"/>
      <c r="H31" s="10"/>
      <c r="I31" s="10"/>
      <c r="J31" s="38"/>
      <c r="K31" s="38"/>
      <c r="L31" s="10"/>
      <c r="M31" s="177"/>
      <c r="P31" s="437"/>
      <c r="Q31" s="438"/>
    </row>
    <row r="32" spans="1:17">
      <c r="A32" s="2">
        <v>20</v>
      </c>
      <c r="C32" s="16" t="s">
        <v>647</v>
      </c>
      <c r="D32" s="695">
        <f>'WP B.5 F'!P32</f>
        <v>-7914421.6156955548</v>
      </c>
      <c r="E32" s="752">
        <f>$E$30</f>
        <v>0.1086</v>
      </c>
      <c r="F32" s="752">
        <f>$F$30</f>
        <v>0.48899999999999999</v>
      </c>
      <c r="G32" s="359">
        <f>D32*E32*F32</f>
        <v>-420298.52567015868</v>
      </c>
      <c r="H32" s="10"/>
      <c r="I32" s="695">
        <f>'WP B.5 F'!Q32</f>
        <v>-7914421.6156955548</v>
      </c>
      <c r="J32" s="721">
        <f>E32</f>
        <v>0.1086</v>
      </c>
      <c r="K32" s="721">
        <f>F32</f>
        <v>0.48899999999999999</v>
      </c>
      <c r="L32" s="359">
        <f>I32*J32*K32</f>
        <v>-420298.52567015868</v>
      </c>
      <c r="M32" s="177"/>
      <c r="P32" s="752"/>
      <c r="Q32" s="752"/>
    </row>
    <row r="33" spans="1:17">
      <c r="A33" s="2">
        <v>21</v>
      </c>
      <c r="B33" s="217"/>
      <c r="C33" s="4"/>
      <c r="D33" s="10"/>
      <c r="E33" s="2"/>
      <c r="F33" s="2"/>
      <c r="G33" s="10"/>
      <c r="H33" s="10"/>
      <c r="I33" s="10"/>
      <c r="J33" s="38"/>
      <c r="K33" s="38"/>
      <c r="L33" s="10"/>
      <c r="M33" s="177"/>
      <c r="P33" s="437"/>
      <c r="Q33" s="438"/>
    </row>
    <row r="34" spans="1:17">
      <c r="A34" s="2">
        <v>22</v>
      </c>
      <c r="C34" s="16" t="s">
        <v>648</v>
      </c>
      <c r="D34" s="695">
        <f>'WP B.5 F'!P34</f>
        <v>0</v>
      </c>
      <c r="E34" s="752">
        <f>$E$30</f>
        <v>0.1086</v>
      </c>
      <c r="F34" s="752">
        <f>$F$30</f>
        <v>0.48899999999999999</v>
      </c>
      <c r="G34" s="359">
        <f>D34*E34*F34</f>
        <v>0</v>
      </c>
      <c r="H34" s="10"/>
      <c r="I34" s="695">
        <f>'WP B.5 F'!Q34</f>
        <v>0</v>
      </c>
      <c r="J34" s="721">
        <f>E34</f>
        <v>0.1086</v>
      </c>
      <c r="K34" s="721">
        <f>F34</f>
        <v>0.48899999999999999</v>
      </c>
      <c r="L34" s="359">
        <f>I34*J34*K34</f>
        <v>0</v>
      </c>
      <c r="M34" s="177"/>
      <c r="P34" s="752"/>
      <c r="Q34" s="752"/>
    </row>
    <row r="35" spans="1:17">
      <c r="A35" s="2">
        <v>23</v>
      </c>
      <c r="D35" s="10"/>
      <c r="E35" s="2"/>
      <c r="F35" s="2"/>
      <c r="G35" s="10"/>
      <c r="H35" s="10"/>
      <c r="I35" s="10"/>
      <c r="J35" s="2"/>
      <c r="K35" s="2"/>
      <c r="L35" s="10"/>
      <c r="M35" s="177"/>
      <c r="P35" s="438"/>
      <c r="Q35" s="438"/>
    </row>
    <row r="36" spans="1:17">
      <c r="A36" s="2">
        <v>24</v>
      </c>
      <c r="C36" s="19" t="s">
        <v>691</v>
      </c>
      <c r="D36" s="749">
        <f>SUM(D30:D34)</f>
        <v>-9130838.6156955548</v>
      </c>
      <c r="E36" s="2"/>
      <c r="F36" s="2"/>
      <c r="G36" s="749">
        <f>SUM(G30:G34)</f>
        <v>-484896.83702195866</v>
      </c>
      <c r="I36" s="749">
        <f>SUM(I30:I34)</f>
        <v>-9130838.6156955548</v>
      </c>
      <c r="J36" s="38"/>
      <c r="K36" s="38"/>
      <c r="L36" s="749">
        <f>SUM(L30:L34)</f>
        <v>-484896.83702195866</v>
      </c>
      <c r="M36" s="177"/>
      <c r="P36" s="438"/>
      <c r="Q36" s="438"/>
    </row>
    <row r="37" spans="1:17" ht="15.75">
      <c r="A37" s="2">
        <v>25</v>
      </c>
      <c r="B37" s="12" t="s">
        <v>649</v>
      </c>
      <c r="E37" s="38"/>
      <c r="F37" s="38"/>
      <c r="J37" s="38"/>
      <c r="K37" s="38"/>
      <c r="M37" s="177"/>
      <c r="P37" s="438"/>
      <c r="Q37" s="438"/>
    </row>
    <row r="38" spans="1:17">
      <c r="A38" s="2">
        <v>26</v>
      </c>
      <c r="C38" s="16" t="s">
        <v>646</v>
      </c>
      <c r="D38" s="688">
        <f>'WP B.5 F'!P39</f>
        <v>1641942</v>
      </c>
      <c r="E38" s="275">
        <v>1</v>
      </c>
      <c r="F38" s="750">
        <f>Allocation!D17</f>
        <v>0.48899999999999999</v>
      </c>
      <c r="G38" s="691">
        <f>D38*E38*F38</f>
        <v>802909.63800000004</v>
      </c>
      <c r="H38" s="10"/>
      <c r="I38" s="688">
        <f>'WP B.5 F'!Q39</f>
        <v>1641942</v>
      </c>
      <c r="J38" s="753">
        <f>E38</f>
        <v>1</v>
      </c>
      <c r="K38" s="752">
        <f>F38</f>
        <v>0.48899999999999999</v>
      </c>
      <c r="L38" s="691">
        <f>I38*J38*K38</f>
        <v>802909.63800000004</v>
      </c>
      <c r="M38" s="177"/>
      <c r="P38" s="752"/>
      <c r="Q38" s="752"/>
    </row>
    <row r="39" spans="1:17">
      <c r="A39" s="2">
        <v>27</v>
      </c>
      <c r="D39" s="10"/>
      <c r="E39" s="2"/>
      <c r="F39" s="2"/>
      <c r="G39" s="10"/>
      <c r="H39" s="10"/>
      <c r="I39" s="10"/>
      <c r="J39" s="2"/>
      <c r="K39" s="2"/>
      <c r="L39" s="10"/>
      <c r="M39" s="177"/>
      <c r="P39" s="437"/>
      <c r="Q39" s="438"/>
    </row>
    <row r="40" spans="1:17">
      <c r="A40" s="2">
        <v>28</v>
      </c>
      <c r="C40" s="16" t="s">
        <v>417</v>
      </c>
      <c r="D40" s="695">
        <f>'WP B.5 F'!P45</f>
        <v>0</v>
      </c>
      <c r="E40" s="753">
        <f>$E$38</f>
        <v>1</v>
      </c>
      <c r="F40" s="752">
        <f>$F$38</f>
        <v>0.48899999999999999</v>
      </c>
      <c r="G40" s="359">
        <f>D40*E40*F40</f>
        <v>0</v>
      </c>
      <c r="H40" s="10"/>
      <c r="I40" s="695">
        <f>'WP B.5 F'!Q45</f>
        <v>0</v>
      </c>
      <c r="J40" s="753">
        <f>E40</f>
        <v>1</v>
      </c>
      <c r="K40" s="752">
        <f>F40</f>
        <v>0.48899999999999999</v>
      </c>
      <c r="L40" s="359">
        <f>I40*J40*K40</f>
        <v>0</v>
      </c>
      <c r="M40" s="177"/>
      <c r="P40" s="752"/>
      <c r="Q40" s="752"/>
    </row>
    <row r="41" spans="1:17">
      <c r="A41" s="2">
        <v>29</v>
      </c>
      <c r="D41" s="10"/>
      <c r="E41" s="2"/>
      <c r="F41" s="2"/>
      <c r="G41" s="10"/>
      <c r="H41" s="10"/>
      <c r="I41" s="10"/>
      <c r="J41" s="2"/>
      <c r="K41" s="2"/>
      <c r="L41" s="10"/>
      <c r="M41" s="177"/>
      <c r="P41" s="437"/>
      <c r="Q41" s="438"/>
    </row>
    <row r="42" spans="1:17">
      <c r="A42" s="2">
        <v>30</v>
      </c>
      <c r="C42" s="16" t="s">
        <v>647</v>
      </c>
      <c r="D42" s="695">
        <f>'WP B.5 F'!P41</f>
        <v>242621.21897083282</v>
      </c>
      <c r="E42" s="753">
        <f>$E$38</f>
        <v>1</v>
      </c>
      <c r="F42" s="752">
        <f>$F$38</f>
        <v>0.48899999999999999</v>
      </c>
      <c r="G42" s="359">
        <f>D42*E42*F42</f>
        <v>118641.77607673725</v>
      </c>
      <c r="H42" s="10"/>
      <c r="I42" s="695">
        <f>'WP B.5 F'!Q41</f>
        <v>242621.21897083282</v>
      </c>
      <c r="J42" s="753">
        <f>E42</f>
        <v>1</v>
      </c>
      <c r="K42" s="752">
        <f>F42</f>
        <v>0.48899999999999999</v>
      </c>
      <c r="L42" s="359">
        <f>I42*J42*K42</f>
        <v>118641.77607673725</v>
      </c>
      <c r="M42" s="177"/>
      <c r="P42" s="752"/>
      <c r="Q42" s="752"/>
    </row>
    <row r="43" spans="1:17">
      <c r="A43" s="2">
        <v>31</v>
      </c>
      <c r="D43" s="10"/>
      <c r="E43" s="2"/>
      <c r="F43" s="2"/>
      <c r="G43" s="10"/>
      <c r="H43" s="10"/>
      <c r="I43" s="10"/>
      <c r="J43" s="2"/>
      <c r="K43" s="2"/>
      <c r="L43" s="10"/>
      <c r="M43" s="177"/>
      <c r="P43" s="438"/>
      <c r="Q43" s="438"/>
    </row>
    <row r="44" spans="1:17">
      <c r="A44" s="2">
        <v>32</v>
      </c>
      <c r="C44" s="16" t="s">
        <v>648</v>
      </c>
      <c r="D44" s="695">
        <f>'WP B.5 F'!P43</f>
        <v>-2254245</v>
      </c>
      <c r="E44" s="753">
        <f>$E$38</f>
        <v>1</v>
      </c>
      <c r="F44" s="752">
        <f>$F$38</f>
        <v>0.48899999999999999</v>
      </c>
      <c r="G44" s="359">
        <f>D44*E44*F44</f>
        <v>-1102325.8049999999</v>
      </c>
      <c r="H44" s="10"/>
      <c r="I44" s="695">
        <f>'WP B.5 F'!Q43</f>
        <v>-2254245</v>
      </c>
      <c r="J44" s="753">
        <f>E44</f>
        <v>1</v>
      </c>
      <c r="K44" s="752">
        <f>F44</f>
        <v>0.48899999999999999</v>
      </c>
      <c r="L44" s="359">
        <f>I44*J44*K44</f>
        <v>-1102325.8049999999</v>
      </c>
      <c r="M44" s="177"/>
      <c r="P44" s="752"/>
      <c r="Q44" s="752"/>
    </row>
    <row r="45" spans="1:17">
      <c r="A45" s="2">
        <v>33</v>
      </c>
      <c r="D45" s="10"/>
      <c r="E45" s="2"/>
      <c r="F45" s="2"/>
      <c r="G45" s="10"/>
      <c r="H45" s="10"/>
      <c r="I45" s="10"/>
      <c r="J45" s="2"/>
      <c r="K45" s="2"/>
      <c r="L45" s="10"/>
      <c r="M45" s="177"/>
      <c r="P45" s="231"/>
      <c r="Q45" s="231"/>
    </row>
    <row r="46" spans="1:17">
      <c r="A46" s="2">
        <v>34</v>
      </c>
      <c r="C46" s="19" t="s">
        <v>416</v>
      </c>
      <c r="D46" s="749">
        <f>SUM(D38:D44)</f>
        <v>-369681.78102916712</v>
      </c>
      <c r="E46" s="2"/>
      <c r="F46" s="2"/>
      <c r="G46" s="749">
        <f>SUM(G38:G44)</f>
        <v>-180774.39092326269</v>
      </c>
      <c r="I46" s="749">
        <f>SUM(I38:I44)</f>
        <v>-369681.78102916712</v>
      </c>
      <c r="J46" s="38"/>
      <c r="K46" s="38"/>
      <c r="L46" s="749">
        <f>SUM(L38:L44)</f>
        <v>-180774.39092326269</v>
      </c>
      <c r="M46" s="177"/>
    </row>
    <row r="47" spans="1:17">
      <c r="A47" s="2">
        <v>35</v>
      </c>
      <c r="E47" s="38"/>
      <c r="F47" s="38"/>
      <c r="J47" s="38"/>
      <c r="K47" s="38"/>
      <c r="M47" s="177"/>
    </row>
    <row r="48" spans="1:17">
      <c r="A48" s="2">
        <v>36</v>
      </c>
      <c r="E48" s="38"/>
      <c r="F48" s="38"/>
      <c r="J48" s="38"/>
      <c r="K48" s="38"/>
      <c r="M48" s="177"/>
    </row>
    <row r="49" spans="1:12" ht="15.75">
      <c r="A49" s="2">
        <v>37</v>
      </c>
      <c r="C49" s="295" t="s">
        <v>693</v>
      </c>
      <c r="D49" s="756">
        <f>D46+D36+D28+D19</f>
        <v>-271039409.10200739</v>
      </c>
      <c r="E49" s="38"/>
      <c r="F49" s="38"/>
      <c r="G49" s="756">
        <f>G46+G36+G28+G19</f>
        <v>-102544322.95573734</v>
      </c>
      <c r="I49" s="756">
        <f>I46+I36+I28+I19</f>
        <v>-271039409.10200739</v>
      </c>
      <c r="J49" s="38"/>
      <c r="K49" s="38"/>
      <c r="L49" s="756">
        <f>L46+L36+L28+L19</f>
        <v>-102544322.95573734</v>
      </c>
    </row>
    <row r="50" spans="1:12">
      <c r="A50" s="2">
        <v>38</v>
      </c>
      <c r="C50" s="441" t="s">
        <v>1380</v>
      </c>
      <c r="E50" s="38"/>
      <c r="F50" s="38"/>
      <c r="J50" s="38"/>
      <c r="K50" s="38"/>
    </row>
    <row r="51" spans="1:12" ht="15.75">
      <c r="A51" s="2">
        <v>39</v>
      </c>
      <c r="C51" s="59" t="s">
        <v>1374</v>
      </c>
      <c r="E51" s="38"/>
      <c r="F51" s="38"/>
      <c r="J51" s="38"/>
      <c r="K51" s="38"/>
      <c r="L51" s="329">
        <f>I73</f>
        <v>-5815333.1511946116</v>
      </c>
    </row>
    <row r="52" spans="1:12">
      <c r="A52" s="2">
        <v>40</v>
      </c>
      <c r="C52"/>
      <c r="E52" s="38"/>
      <c r="F52" s="38"/>
      <c r="J52" s="38"/>
      <c r="K52" s="38"/>
    </row>
    <row r="53" spans="1:12" ht="16.5" thickBot="1">
      <c r="A53" s="2">
        <v>41</v>
      </c>
      <c r="C53" s="59" t="s">
        <v>1375</v>
      </c>
      <c r="E53" s="38"/>
      <c r="F53" s="38"/>
      <c r="J53" s="38"/>
      <c r="K53" s="38"/>
      <c r="L53" s="757">
        <f>L49+L51</f>
        <v>-108359656.10693195</v>
      </c>
    </row>
    <row r="54" spans="1:12" ht="15.75" thickTop="1">
      <c r="A54" s="2">
        <v>42</v>
      </c>
      <c r="E54" s="38"/>
      <c r="F54" s="38"/>
      <c r="J54" s="38"/>
      <c r="K54" s="38"/>
    </row>
    <row r="55" spans="1:12" ht="15.75">
      <c r="A55" s="2">
        <v>43</v>
      </c>
      <c r="C55" s="443" t="s">
        <v>1358</v>
      </c>
      <c r="D55" s="42"/>
      <c r="E55" s="196"/>
      <c r="F55" s="196"/>
      <c r="G55" s="42"/>
      <c r="H55" s="42"/>
      <c r="I55" s="42"/>
      <c r="J55" s="38"/>
      <c r="K55" s="38"/>
    </row>
    <row r="56" spans="1:12" ht="15.75">
      <c r="A56" s="2">
        <v>44</v>
      </c>
      <c r="C56" s="444" t="s">
        <v>1359</v>
      </c>
      <c r="E56" s="38"/>
      <c r="F56" s="38"/>
      <c r="J56" s="38"/>
      <c r="K56" s="38"/>
    </row>
    <row r="57" spans="1:12">
      <c r="A57" s="2">
        <v>45</v>
      </c>
      <c r="F57" s="2" t="s">
        <v>56</v>
      </c>
      <c r="I57" s="2"/>
      <c r="J57" s="38"/>
      <c r="K57" s="38"/>
    </row>
    <row r="58" spans="1:12">
      <c r="A58" s="2">
        <v>46</v>
      </c>
      <c r="C58" s="5" t="s">
        <v>1361</v>
      </c>
      <c r="D58" s="434"/>
      <c r="E58" s="434"/>
      <c r="F58" s="436" t="s">
        <v>96</v>
      </c>
      <c r="G58" s="434"/>
      <c r="H58" s="434"/>
      <c r="I58" s="436"/>
      <c r="J58" s="38"/>
      <c r="K58" s="38"/>
    </row>
    <row r="59" spans="1:12">
      <c r="A59" s="2">
        <v>47</v>
      </c>
      <c r="F59" s="38"/>
      <c r="J59" s="38"/>
      <c r="K59" s="38"/>
    </row>
    <row r="60" spans="1:12">
      <c r="A60" s="2">
        <v>48</v>
      </c>
      <c r="C60" s="1" t="s">
        <v>1360</v>
      </c>
      <c r="F60" s="38" t="s">
        <v>1362</v>
      </c>
      <c r="I60" s="694">
        <f>'B.1 F '!F27</f>
        <v>628286275.63234186</v>
      </c>
      <c r="J60" s="38"/>
      <c r="K60" s="38"/>
    </row>
    <row r="61" spans="1:12">
      <c r="A61" s="2">
        <v>49</v>
      </c>
      <c r="F61" s="38"/>
      <c r="J61" s="38"/>
      <c r="K61" s="38"/>
    </row>
    <row r="62" spans="1:12">
      <c r="A62" s="2">
        <v>50</v>
      </c>
      <c r="C62" s="1" t="s">
        <v>1363</v>
      </c>
      <c r="F62" s="38" t="s">
        <v>1364</v>
      </c>
      <c r="I62" s="694">
        <f>A.1!G24</f>
        <v>52147761</v>
      </c>
      <c r="J62" s="38"/>
      <c r="K62" s="38"/>
    </row>
    <row r="63" spans="1:12">
      <c r="A63" s="2">
        <v>51</v>
      </c>
      <c r="F63" s="38"/>
      <c r="J63" s="38"/>
      <c r="K63" s="38"/>
    </row>
    <row r="64" spans="1:12">
      <c r="A64" s="2">
        <v>52</v>
      </c>
      <c r="C64" s="1" t="s">
        <v>203</v>
      </c>
      <c r="F64" s="38" t="s">
        <v>1365</v>
      </c>
      <c r="I64" s="694">
        <f>E!G32</f>
        <v>10241210.798650566</v>
      </c>
      <c r="J64" s="38"/>
      <c r="K64" s="38"/>
    </row>
    <row r="65" spans="1:13">
      <c r="A65" s="2">
        <v>53</v>
      </c>
      <c r="F65" s="38"/>
      <c r="J65" s="38"/>
      <c r="K65" s="38"/>
    </row>
    <row r="66" spans="1:13">
      <c r="A66" s="2">
        <v>54</v>
      </c>
      <c r="C66" s="1" t="s">
        <v>1366</v>
      </c>
      <c r="F66" s="38" t="s">
        <v>1384</v>
      </c>
      <c r="I66" s="329">
        <f>I62-I64</f>
        <v>41906550.201349437</v>
      </c>
      <c r="J66" s="38"/>
      <c r="K66" s="38"/>
    </row>
    <row r="67" spans="1:13">
      <c r="A67" s="2">
        <v>55</v>
      </c>
      <c r="F67" s="38"/>
      <c r="J67" s="38"/>
      <c r="K67" s="38"/>
    </row>
    <row r="68" spans="1:13">
      <c r="A68" s="2">
        <v>56</v>
      </c>
      <c r="C68" s="1" t="s">
        <v>1367</v>
      </c>
      <c r="D68" s="685">
        <f>Allocation!E25</f>
        <v>0.2495</v>
      </c>
      <c r="F68" s="38" t="s">
        <v>1386</v>
      </c>
      <c r="I68" s="329">
        <f>I66/(1-D68)</f>
        <v>55838174.818586864</v>
      </c>
      <c r="J68" s="38"/>
      <c r="K68" s="38"/>
    </row>
    <row r="69" spans="1:13">
      <c r="A69" s="2">
        <v>57</v>
      </c>
      <c r="F69" s="38"/>
      <c r="J69" s="38"/>
      <c r="K69" s="38"/>
    </row>
    <row r="70" spans="1:13">
      <c r="A70" s="2">
        <v>58</v>
      </c>
      <c r="C70" s="1" t="s">
        <v>1376</v>
      </c>
      <c r="D70" s="683">
        <f>D68</f>
        <v>0.2495</v>
      </c>
      <c r="F70" s="38" t="s">
        <v>1385</v>
      </c>
      <c r="I70" s="758">
        <f>I68*D70</f>
        <v>13931624.617237423</v>
      </c>
      <c r="J70" s="38"/>
      <c r="K70" s="38"/>
    </row>
    <row r="71" spans="1:13">
      <c r="A71" s="2">
        <v>59</v>
      </c>
      <c r="F71" s="38"/>
      <c r="J71" s="38"/>
      <c r="K71" s="38"/>
    </row>
    <row r="72" spans="1:13">
      <c r="A72" s="2">
        <v>60</v>
      </c>
      <c r="C72" s="1" t="s">
        <v>1372</v>
      </c>
      <c r="F72" s="38" t="s">
        <v>1387</v>
      </c>
      <c r="I72" s="694">
        <f>L49-'B.5 B'!L49</f>
        <v>-7752994.8053373545</v>
      </c>
      <c r="J72" s="38"/>
      <c r="K72" s="38"/>
    </row>
    <row r="73" spans="1:13">
      <c r="A73" s="2">
        <v>61</v>
      </c>
      <c r="C73" s="1" t="s">
        <v>1373</v>
      </c>
      <c r="F73" s="38"/>
      <c r="I73" s="434">
        <v>-5815333.1511946116</v>
      </c>
      <c r="J73" s="38"/>
      <c r="M73" s="389"/>
    </row>
    <row r="74" spans="1:13">
      <c r="A74" s="2">
        <v>62</v>
      </c>
      <c r="F74" s="38"/>
      <c r="J74" s="38"/>
      <c r="K74" s="38"/>
    </row>
    <row r="75" spans="1:13" ht="16.5" thickBot="1">
      <c r="A75" s="2">
        <v>63</v>
      </c>
      <c r="C75" s="59" t="s">
        <v>1378</v>
      </c>
      <c r="D75" s="59"/>
      <c r="E75" s="59"/>
      <c r="F75" s="169" t="s">
        <v>1368</v>
      </c>
      <c r="G75" s="59"/>
      <c r="H75" s="59"/>
      <c r="I75" s="759">
        <f>SUM(I72:I73)</f>
        <v>-13568327.956531966</v>
      </c>
      <c r="J75" s="38"/>
      <c r="K75" s="38"/>
    </row>
    <row r="76" spans="1:13" ht="15.75" thickTop="1">
      <c r="A76" s="2">
        <v>64</v>
      </c>
      <c r="J76" s="38"/>
      <c r="K76" s="389"/>
    </row>
    <row r="77" spans="1:13">
      <c r="A77" s="2">
        <v>65</v>
      </c>
      <c r="J77" s="38"/>
      <c r="K77" s="38"/>
    </row>
    <row r="78" spans="1:13" ht="15.75">
      <c r="A78" s="2">
        <v>66</v>
      </c>
      <c r="C78" s="440" t="s">
        <v>1371</v>
      </c>
      <c r="D78" s="434"/>
      <c r="E78" s="434"/>
      <c r="F78" s="434"/>
      <c r="G78" s="434"/>
      <c r="H78" s="434"/>
      <c r="I78" s="434"/>
      <c r="J78" s="38"/>
      <c r="K78" s="38"/>
    </row>
    <row r="79" spans="1:13" ht="15.75">
      <c r="A79" s="2">
        <v>67</v>
      </c>
      <c r="C79" s="59" t="s">
        <v>1508</v>
      </c>
      <c r="D79" s="59"/>
      <c r="E79" s="59"/>
      <c r="F79" s="169" t="s">
        <v>1377</v>
      </c>
      <c r="G79" s="59"/>
      <c r="H79" s="59"/>
      <c r="I79" s="760">
        <f>'B.5 B'!L49</f>
        <v>-94791328.150399983</v>
      </c>
      <c r="J79" s="38"/>
      <c r="K79" s="38"/>
    </row>
    <row r="80" spans="1:13">
      <c r="A80" s="2">
        <v>68</v>
      </c>
      <c r="J80" s="38"/>
      <c r="K80" s="38"/>
    </row>
    <row r="81" spans="1:12">
      <c r="A81" s="2">
        <v>69</v>
      </c>
      <c r="C81" s="1" t="s">
        <v>1369</v>
      </c>
      <c r="F81" s="38" t="s">
        <v>1382</v>
      </c>
      <c r="I81" s="329">
        <f>L49</f>
        <v>-102544322.95573734</v>
      </c>
      <c r="J81" s="38"/>
      <c r="K81" s="38"/>
    </row>
    <row r="82" spans="1:12">
      <c r="A82" s="2">
        <v>70</v>
      </c>
      <c r="C82" t="s">
        <v>1355</v>
      </c>
      <c r="F82" s="38" t="s">
        <v>1383</v>
      </c>
      <c r="I82" s="761">
        <f>I73</f>
        <v>-5815333.1511946116</v>
      </c>
      <c r="J82" s="38"/>
      <c r="K82" s="38"/>
    </row>
    <row r="83" spans="1:12" ht="15.75">
      <c r="A83" s="2">
        <v>71</v>
      </c>
      <c r="C83" s="59" t="s">
        <v>1375</v>
      </c>
      <c r="D83" s="59"/>
      <c r="E83" s="59"/>
      <c r="F83" s="59"/>
      <c r="G83" s="59"/>
      <c r="H83" s="59"/>
      <c r="I83" s="762">
        <f>SUM(I81:I82)</f>
        <v>-108359656.10693195</v>
      </c>
      <c r="J83" s="38"/>
      <c r="K83" s="38"/>
    </row>
    <row r="84" spans="1:12" ht="15.75">
      <c r="A84" s="2">
        <v>72</v>
      </c>
      <c r="C84" s="59"/>
      <c r="I84" s="59"/>
      <c r="J84" s="38"/>
      <c r="K84" s="38"/>
    </row>
    <row r="85" spans="1:12" ht="16.5" thickBot="1">
      <c r="A85" s="2">
        <v>73</v>
      </c>
      <c r="C85" s="59" t="s">
        <v>1370</v>
      </c>
      <c r="F85" s="1" t="s">
        <v>1381</v>
      </c>
      <c r="I85" s="759">
        <f>I83-I79</f>
        <v>-13568327.956531972</v>
      </c>
      <c r="J85" s="38"/>
      <c r="K85" s="38"/>
    </row>
    <row r="86" spans="1:12" ht="16.5" thickTop="1">
      <c r="A86" s="2">
        <v>74</v>
      </c>
      <c r="C86" s="59"/>
      <c r="I86" s="59"/>
      <c r="J86" s="38"/>
      <c r="K86" s="38"/>
    </row>
    <row r="87" spans="1:12">
      <c r="A87" s="2">
        <v>75</v>
      </c>
      <c r="J87" s="38"/>
      <c r="K87" s="38"/>
    </row>
    <row r="88" spans="1:12">
      <c r="A88" s="2">
        <v>76</v>
      </c>
      <c r="C88" s="441" t="s">
        <v>1379</v>
      </c>
      <c r="E88" s="38"/>
      <c r="F88" s="38"/>
      <c r="J88" s="38"/>
      <c r="K88" s="38"/>
    </row>
    <row r="89" spans="1:12">
      <c r="E89" s="38"/>
      <c r="F89" s="38"/>
      <c r="J89" s="38"/>
      <c r="K89" s="38"/>
    </row>
    <row r="90" spans="1:12">
      <c r="E90" s="38"/>
      <c r="F90" s="38"/>
      <c r="J90" s="38"/>
      <c r="K90" s="38"/>
      <c r="L90" s="82"/>
    </row>
    <row r="91" spans="1:12">
      <c r="E91" s="38"/>
      <c r="F91" s="38"/>
      <c r="J91" s="38"/>
      <c r="K91" s="38"/>
      <c r="L91" s="82"/>
    </row>
    <row r="92" spans="1:12">
      <c r="E92" s="38"/>
      <c r="F92" s="38"/>
      <c r="J92" s="38"/>
      <c r="K92" s="38"/>
      <c r="L92" s="432"/>
    </row>
    <row r="93" spans="1:12">
      <c r="E93" s="38"/>
      <c r="F93" s="38"/>
      <c r="J93" s="38"/>
      <c r="K93" s="38"/>
      <c r="L93" s="82"/>
    </row>
    <row r="94" spans="1:12">
      <c r="E94" s="38"/>
      <c r="F94" s="38"/>
      <c r="J94" s="38"/>
      <c r="K94" s="38"/>
    </row>
    <row r="95" spans="1:12">
      <c r="E95" s="38"/>
      <c r="F95" s="38"/>
      <c r="J95" s="38"/>
      <c r="K95" s="38"/>
    </row>
    <row r="96" spans="1:12">
      <c r="E96" s="38"/>
      <c r="F96" s="38"/>
      <c r="J96" s="38"/>
      <c r="K96" s="38"/>
    </row>
    <row r="97" spans="5:11">
      <c r="E97" s="38"/>
      <c r="F97" s="38"/>
      <c r="J97" s="38"/>
      <c r="K97" s="38"/>
    </row>
    <row r="98" spans="5:11">
      <c r="E98" s="38"/>
      <c r="F98" s="38"/>
      <c r="J98" s="38"/>
      <c r="K98" s="38"/>
    </row>
    <row r="99" spans="5:11">
      <c r="E99" s="38"/>
      <c r="F99" s="38"/>
      <c r="J99" s="38"/>
      <c r="K99" s="38"/>
    </row>
    <row r="100" spans="5:11">
      <c r="E100" s="38"/>
      <c r="F100" s="38"/>
      <c r="J100" s="38"/>
      <c r="K100" s="38"/>
    </row>
    <row r="101" spans="5:11">
      <c r="E101" s="38"/>
      <c r="F101" s="38"/>
      <c r="J101" s="38"/>
      <c r="K101" s="38"/>
    </row>
    <row r="102" spans="5:11">
      <c r="E102" s="38"/>
      <c r="F102" s="38"/>
      <c r="J102" s="38"/>
      <c r="K102" s="38"/>
    </row>
    <row r="103" spans="5:11">
      <c r="E103" s="38"/>
      <c r="F103" s="38"/>
      <c r="J103" s="38"/>
      <c r="K103" s="38"/>
    </row>
    <row r="104" spans="5:11">
      <c r="E104" s="38"/>
      <c r="F104" s="38"/>
      <c r="J104" s="38"/>
      <c r="K104" s="38"/>
    </row>
    <row r="105" spans="5:11">
      <c r="E105" s="38"/>
      <c r="F105" s="38"/>
      <c r="J105" s="38"/>
      <c r="K105" s="38"/>
    </row>
    <row r="106" spans="5:11">
      <c r="J106" s="38"/>
      <c r="K106" s="38"/>
    </row>
    <row r="107" spans="5:11">
      <c r="J107" s="38"/>
      <c r="K107" s="38"/>
    </row>
    <row r="108" spans="5:11">
      <c r="J108" s="38"/>
      <c r="K108" s="38"/>
    </row>
    <row r="109" spans="5:11">
      <c r="J109" s="38"/>
      <c r="K109" s="38"/>
    </row>
    <row r="110" spans="5:11">
      <c r="J110" s="38"/>
      <c r="K110" s="38"/>
    </row>
    <row r="111" spans="5:11">
      <c r="J111" s="38"/>
      <c r="K111" s="38"/>
    </row>
    <row r="112" spans="5:11">
      <c r="J112" s="38"/>
      <c r="K112" s="38"/>
    </row>
    <row r="113" spans="10:11">
      <c r="J113" s="38"/>
      <c r="K113" s="38"/>
    </row>
    <row r="114" spans="10:11">
      <c r="J114" s="38"/>
      <c r="K114" s="38"/>
    </row>
    <row r="115" spans="10:11">
      <c r="J115" s="38"/>
      <c r="K115" s="38"/>
    </row>
    <row r="116" spans="10:11">
      <c r="J116" s="38"/>
      <c r="K116" s="38"/>
    </row>
    <row r="117" spans="10:11">
      <c r="J117" s="38"/>
      <c r="K117" s="38"/>
    </row>
    <row r="118" spans="10:11">
      <c r="J118" s="38"/>
      <c r="K118" s="38"/>
    </row>
    <row r="119" spans="10:11">
      <c r="J119" s="38"/>
      <c r="K119" s="38"/>
    </row>
    <row r="120" spans="10:11">
      <c r="J120" s="38"/>
      <c r="K120" s="38"/>
    </row>
    <row r="121" spans="10:11">
      <c r="J121" s="38"/>
      <c r="K121" s="38"/>
    </row>
    <row r="122" spans="10:11">
      <c r="J122" s="38"/>
      <c r="K122" s="38"/>
    </row>
    <row r="123" spans="10:11">
      <c r="J123" s="38"/>
      <c r="K123" s="38"/>
    </row>
    <row r="124" spans="10:11">
      <c r="J124" s="38"/>
      <c r="K124" s="38"/>
    </row>
    <row r="125" spans="10:11">
      <c r="J125" s="38"/>
      <c r="K125" s="38"/>
    </row>
    <row r="126" spans="10:11">
      <c r="J126" s="38"/>
      <c r="K126" s="38"/>
    </row>
    <row r="127" spans="10:11">
      <c r="J127" s="38"/>
      <c r="K127" s="38"/>
    </row>
    <row r="128" spans="10:11">
      <c r="J128" s="38"/>
      <c r="K128" s="38"/>
    </row>
    <row r="129" spans="10:11">
      <c r="J129" s="38"/>
      <c r="K129" s="38"/>
    </row>
    <row r="130" spans="10:11">
      <c r="J130" s="38"/>
      <c r="K130" s="38"/>
    </row>
    <row r="131" spans="10:11">
      <c r="J131" s="38"/>
      <c r="K131" s="38"/>
    </row>
    <row r="132" spans="10:11">
      <c r="J132" s="38"/>
      <c r="K132" s="38"/>
    </row>
    <row r="133" spans="10:11">
      <c r="J133" s="38"/>
      <c r="K133" s="38"/>
    </row>
    <row r="134" spans="10:11">
      <c r="J134" s="38"/>
      <c r="K134" s="38"/>
    </row>
    <row r="135" spans="10:11">
      <c r="J135" s="38"/>
      <c r="K135" s="38"/>
    </row>
    <row r="136" spans="10:11">
      <c r="J136" s="38"/>
      <c r="K136" s="38"/>
    </row>
    <row r="137" spans="10:11">
      <c r="J137" s="38"/>
      <c r="K137" s="38"/>
    </row>
    <row r="138" spans="10:11">
      <c r="J138" s="38"/>
      <c r="K138" s="38"/>
    </row>
    <row r="139" spans="10:11">
      <c r="J139" s="38"/>
      <c r="K139" s="38"/>
    </row>
    <row r="140" spans="10:11">
      <c r="J140" s="38"/>
      <c r="K140" s="38"/>
    </row>
  </sheetData>
  <mergeCells count="4">
    <mergeCell ref="A1:L1"/>
    <mergeCell ref="A2:L2"/>
    <mergeCell ref="A3:L3"/>
    <mergeCell ref="A4:L4"/>
  </mergeCells>
  <phoneticPr fontId="20" type="noConversion"/>
  <printOptions horizontalCentered="1"/>
  <pageMargins left="0.75" right="0.75" top="0.6" bottom="0.5" header="0.5" footer="0.17"/>
  <pageSetup scale="57" fitToHeight="2" orientation="landscape" verticalDpi="300" r:id="rId1"/>
  <headerFooter alignWithMargins="0">
    <oddFooter>&amp;RSchedule &amp;A
Page &amp;P of &amp;N</oddFooter>
  </headerFooter>
  <rowBreaks count="1" manualBreakCount="1">
    <brk id="54" max="1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92D050"/>
    <pageSetUpPr fitToPage="1"/>
  </sheetPr>
  <dimension ref="A1:L28"/>
  <sheetViews>
    <sheetView view="pageBreakPreview" zoomScale="80" zoomScaleNormal="100" zoomScaleSheetLayoutView="80" workbookViewId="0">
      <selection activeCell="L8" sqref="L8"/>
    </sheetView>
  </sheetViews>
  <sheetFormatPr defaultColWidth="8.44140625" defaultRowHeight="15"/>
  <cols>
    <col min="1" max="1" width="5.77734375" style="1" customWidth="1"/>
    <col min="2" max="2" width="6.44140625" style="1" customWidth="1"/>
    <col min="3" max="3" width="49.33203125" style="1" bestFit="1" customWidth="1"/>
    <col min="4" max="4" width="11.5546875" style="1" bestFit="1" customWidth="1"/>
    <col min="5" max="5" width="11.77734375" style="38" bestFit="1" customWidth="1"/>
    <col min="6" max="6" width="11.77734375" style="38" customWidth="1"/>
    <col min="7" max="7" width="11.88671875" style="1" bestFit="1" customWidth="1"/>
    <col min="8" max="8" width="4.33203125" style="1" customWidth="1"/>
    <col min="9" max="9" width="11.5546875" style="1" bestFit="1" customWidth="1"/>
    <col min="10" max="11" width="11.88671875" style="38" customWidth="1"/>
    <col min="12" max="12" width="14.77734375" style="1" customWidth="1"/>
    <col min="13" max="16384" width="8.44140625" style="1"/>
  </cols>
  <sheetData>
    <row r="1" spans="1:12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</row>
    <row r="2" spans="1:12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</row>
    <row r="3" spans="1:12">
      <c r="A3" s="1060" t="s">
        <v>606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</row>
    <row r="4" spans="1:12">
      <c r="A4" s="1059" t="str">
        <f>'B.1 B'!A4</f>
        <v>Base Period: Twelve Months Ended December 31, 2024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</row>
    <row r="5" spans="1:12">
      <c r="A5" s="26"/>
      <c r="B5" s="25"/>
      <c r="C5" s="25"/>
      <c r="D5" s="25"/>
      <c r="G5" s="25"/>
      <c r="H5" s="25"/>
      <c r="I5" s="25"/>
    </row>
    <row r="6" spans="1:12">
      <c r="A6" s="4" t="s">
        <v>758</v>
      </c>
      <c r="B6" s="4"/>
      <c r="L6" s="84" t="s">
        <v>1338</v>
      </c>
    </row>
    <row r="7" spans="1:12">
      <c r="A7" s="4" t="s">
        <v>1080</v>
      </c>
      <c r="C7" s="4"/>
      <c r="L7" s="84" t="s">
        <v>682</v>
      </c>
    </row>
    <row r="8" spans="1:12">
      <c r="A8" s="5" t="s">
        <v>405</v>
      </c>
      <c r="B8" s="6"/>
      <c r="C8" s="6"/>
      <c r="D8" s="6"/>
      <c r="E8" s="214"/>
      <c r="F8" s="214"/>
      <c r="G8" s="28"/>
      <c r="I8" s="6"/>
      <c r="J8" s="214"/>
      <c r="K8" s="40"/>
      <c r="L8" s="633" t="s">
        <v>1646</v>
      </c>
    </row>
    <row r="9" spans="1:12">
      <c r="A9" s="325"/>
      <c r="D9" s="296"/>
      <c r="E9" s="38" t="s">
        <v>12</v>
      </c>
      <c r="F9" s="2" t="s">
        <v>10</v>
      </c>
      <c r="G9" s="278" t="s">
        <v>92</v>
      </c>
      <c r="H9" s="2"/>
      <c r="I9" s="297"/>
      <c r="J9" s="38" t="s">
        <v>12</v>
      </c>
      <c r="K9" s="2" t="s">
        <v>10</v>
      </c>
      <c r="L9" s="227"/>
    </row>
    <row r="10" spans="1:12">
      <c r="A10" s="193" t="s">
        <v>88</v>
      </c>
      <c r="B10" s="2"/>
      <c r="D10" s="194" t="s">
        <v>1017</v>
      </c>
      <c r="E10" s="2" t="s">
        <v>13</v>
      </c>
      <c r="F10" s="2" t="s">
        <v>567</v>
      </c>
      <c r="G10" s="190" t="s">
        <v>1124</v>
      </c>
      <c r="H10" s="2"/>
      <c r="I10" s="193" t="s">
        <v>87</v>
      </c>
      <c r="J10" s="2" t="s">
        <v>13</v>
      </c>
      <c r="K10" s="2" t="s">
        <v>567</v>
      </c>
      <c r="L10" s="190" t="s">
        <v>11</v>
      </c>
    </row>
    <row r="11" spans="1:12">
      <c r="A11" s="326" t="s">
        <v>94</v>
      </c>
      <c r="B11" s="9"/>
      <c r="C11" s="214" t="s">
        <v>329</v>
      </c>
      <c r="D11" s="279"/>
      <c r="E11" s="27" t="s">
        <v>600</v>
      </c>
      <c r="F11" s="27" t="s">
        <v>600</v>
      </c>
      <c r="G11" s="327" t="s">
        <v>100</v>
      </c>
      <c r="H11" s="2"/>
      <c r="I11" s="191" t="s">
        <v>93</v>
      </c>
      <c r="J11" s="27" t="s">
        <v>600</v>
      </c>
      <c r="K11" s="27" t="s">
        <v>600</v>
      </c>
      <c r="L11" s="328" t="s">
        <v>99</v>
      </c>
    </row>
    <row r="12" spans="1:12" ht="15.75">
      <c r="B12" s="12" t="s">
        <v>205</v>
      </c>
    </row>
    <row r="13" spans="1:12">
      <c r="A13" s="2">
        <v>1</v>
      </c>
      <c r="B13" s="215">
        <v>15560</v>
      </c>
      <c r="C13" s="4" t="s">
        <v>50</v>
      </c>
      <c r="D13" s="763">
        <f>'WP B.6 B'!P13</f>
        <v>-736136.34</v>
      </c>
      <c r="E13" s="274">
        <v>1</v>
      </c>
      <c r="F13" s="748">
        <f>E13</f>
        <v>1</v>
      </c>
      <c r="G13" s="764">
        <f>D13*E13*F13</f>
        <v>-736136.34</v>
      </c>
      <c r="H13" s="10"/>
      <c r="I13" s="765">
        <f>'WP B.6 B'!Q13</f>
        <v>-736136.34</v>
      </c>
      <c r="J13" s="755">
        <f>E13</f>
        <v>1</v>
      </c>
      <c r="K13" s="755">
        <f>F13</f>
        <v>1</v>
      </c>
      <c r="L13" s="764">
        <f>I13*J13*K13</f>
        <v>-736136.34</v>
      </c>
    </row>
    <row r="14" spans="1:12">
      <c r="A14" s="389">
        <f>A13+1</f>
        <v>2</v>
      </c>
      <c r="B14" s="216"/>
      <c r="D14" s="10"/>
      <c r="E14" s="2"/>
      <c r="F14" s="2"/>
      <c r="G14" s="10"/>
      <c r="H14" s="10"/>
      <c r="I14" s="10"/>
      <c r="J14" s="2"/>
      <c r="K14" s="2"/>
      <c r="L14" s="10"/>
    </row>
    <row r="15" spans="1:12" ht="15.75">
      <c r="A15" s="389">
        <f t="shared" ref="A15:A24" si="0">A14+1</f>
        <v>3</v>
      </c>
      <c r="B15" s="12" t="s">
        <v>206</v>
      </c>
    </row>
    <row r="16" spans="1:12">
      <c r="A16" s="389">
        <f t="shared" si="0"/>
        <v>4</v>
      </c>
      <c r="B16" s="215">
        <v>15560</v>
      </c>
      <c r="C16" s="4" t="s">
        <v>50</v>
      </c>
      <c r="D16" s="766">
        <f>'WP B.6 B'!P16</f>
        <v>0</v>
      </c>
      <c r="E16" s="767">
        <f>Allocation!G14</f>
        <v>9.1300000000000006E-2</v>
      </c>
      <c r="F16" s="767">
        <f>Allocation!H14</f>
        <v>0.49969999999999998</v>
      </c>
      <c r="G16" s="768">
        <f>D16*E16*F16</f>
        <v>0</v>
      </c>
      <c r="H16" s="10"/>
      <c r="I16" s="769">
        <f>'WP B.6 B'!Q16</f>
        <v>0</v>
      </c>
      <c r="J16" s="721">
        <f>E16</f>
        <v>9.1300000000000006E-2</v>
      </c>
      <c r="K16" s="721">
        <f>F16</f>
        <v>0.49969999999999998</v>
      </c>
      <c r="L16" s="768">
        <f>I16*J16*K16</f>
        <v>0</v>
      </c>
    </row>
    <row r="17" spans="1:12">
      <c r="A17" s="389">
        <f t="shared" si="0"/>
        <v>5</v>
      </c>
      <c r="B17" s="217"/>
      <c r="C17" s="4"/>
      <c r="D17" s="10"/>
      <c r="E17" s="2"/>
      <c r="F17" s="2"/>
      <c r="G17" s="10"/>
      <c r="H17" s="10"/>
      <c r="L17" s="10"/>
    </row>
    <row r="18" spans="1:12" ht="15.75">
      <c r="A18" s="389">
        <f t="shared" si="0"/>
        <v>6</v>
      </c>
      <c r="B18" s="12" t="s">
        <v>1075</v>
      </c>
    </row>
    <row r="19" spans="1:12">
      <c r="A19" s="389">
        <f t="shared" si="0"/>
        <v>7</v>
      </c>
      <c r="B19" s="215">
        <v>15560</v>
      </c>
      <c r="C19" s="4" t="s">
        <v>50</v>
      </c>
      <c r="D19" s="766">
        <f>'WP B.6 B'!P19</f>
        <v>0</v>
      </c>
      <c r="E19" s="767">
        <f>Allocation!G15</f>
        <v>0.109</v>
      </c>
      <c r="F19" s="767">
        <f>Allocation!H15</f>
        <v>0.49459999999999998</v>
      </c>
      <c r="G19" s="768">
        <f>D19*E19*F19</f>
        <v>0</v>
      </c>
      <c r="H19" s="10"/>
      <c r="I19" s="769">
        <f>'WP B.6 B'!Q19</f>
        <v>0</v>
      </c>
      <c r="J19" s="721">
        <f>E19</f>
        <v>0.109</v>
      </c>
      <c r="K19" s="721">
        <f>F19</f>
        <v>0.49459999999999998</v>
      </c>
      <c r="L19" s="768">
        <f>I19*J19*K19</f>
        <v>0</v>
      </c>
    </row>
    <row r="20" spans="1:12">
      <c r="A20" s="389">
        <f t="shared" si="0"/>
        <v>8</v>
      </c>
      <c r="B20" s="217"/>
      <c r="C20" s="4"/>
      <c r="D20" s="10"/>
      <c r="E20" s="2"/>
      <c r="F20" s="2"/>
      <c r="G20" s="10"/>
      <c r="H20" s="10"/>
      <c r="L20" s="10"/>
    </row>
    <row r="21" spans="1:12" ht="15.75">
      <c r="A21" s="389">
        <f t="shared" si="0"/>
        <v>9</v>
      </c>
      <c r="B21" s="12" t="s">
        <v>649</v>
      </c>
    </row>
    <row r="22" spans="1:12">
      <c r="A22" s="389">
        <f t="shared" si="0"/>
        <v>10</v>
      </c>
      <c r="B22" s="215">
        <v>15560</v>
      </c>
      <c r="C22" s="4" t="s">
        <v>50</v>
      </c>
      <c r="D22" s="766">
        <f>'WP B.6 B'!P22</f>
        <v>0</v>
      </c>
      <c r="E22" s="274">
        <v>1</v>
      </c>
      <c r="F22" s="767">
        <f>Allocation!H17</f>
        <v>0.49969999999999998</v>
      </c>
      <c r="G22" s="768">
        <f>D22*E22*F22</f>
        <v>0</v>
      </c>
      <c r="H22" s="10"/>
      <c r="I22" s="769">
        <f>'WP B.6 B'!Q22</f>
        <v>0</v>
      </c>
      <c r="J22" s="770">
        <f>$E$22</f>
        <v>1</v>
      </c>
      <c r="K22" s="771">
        <f>$F$22</f>
        <v>0.49969999999999998</v>
      </c>
      <c r="L22" s="768">
        <f>I22*J22*K22</f>
        <v>0</v>
      </c>
    </row>
    <row r="23" spans="1:12">
      <c r="A23" s="389">
        <f t="shared" si="0"/>
        <v>11</v>
      </c>
      <c r="B23" s="216"/>
      <c r="D23" s="10"/>
      <c r="E23" s="2"/>
      <c r="F23" s="2"/>
      <c r="G23" s="10"/>
      <c r="H23" s="10"/>
      <c r="I23" s="10"/>
      <c r="J23" s="2"/>
      <c r="K23" s="2"/>
      <c r="L23" s="10"/>
    </row>
    <row r="24" spans="1:12" ht="15.75" thickBot="1">
      <c r="A24" s="389">
        <f t="shared" si="0"/>
        <v>12</v>
      </c>
      <c r="C24" s="48" t="s">
        <v>692</v>
      </c>
      <c r="D24" s="772">
        <f>D22+D19+D16+D13</f>
        <v>-736136.34</v>
      </c>
      <c r="G24" s="772">
        <f>G22+G19+G16+G13</f>
        <v>-736136.34</v>
      </c>
      <c r="I24" s="772">
        <f>I22+I19+I16+I13</f>
        <v>-736136.34</v>
      </c>
      <c r="L24" s="772">
        <f>L22+L19+L16+L13</f>
        <v>-736136.34</v>
      </c>
    </row>
    <row r="25" spans="1:12" ht="15.75" thickTop="1">
      <c r="A25" s="2"/>
    </row>
    <row r="26" spans="1:12">
      <c r="A26" s="38"/>
      <c r="C26" s="4"/>
    </row>
    <row r="28" spans="1:12">
      <c r="C28" s="84"/>
    </row>
  </sheetData>
  <mergeCells count="4">
    <mergeCell ref="A1:L1"/>
    <mergeCell ref="A2:L2"/>
    <mergeCell ref="A3:L3"/>
    <mergeCell ref="A4:L4"/>
  </mergeCells>
  <phoneticPr fontId="20" type="noConversion"/>
  <printOptions horizontalCentered="1"/>
  <pageMargins left="0.75" right="0.75" top="1" bottom="1" header="0.5" footer="0.17"/>
  <pageSetup scale="62" orientation="landscape" verticalDpi="300" r:id="rId1"/>
  <headerFooter alignWithMargins="0">
    <oddFooter>&amp;RSchedule &amp;A
Page &amp;P of &amp;N</oddFooter>
  </headerFooter>
  <rowBreaks count="1" manualBreakCount="1">
    <brk id="17" max="11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92D050"/>
    <pageSetUpPr fitToPage="1"/>
  </sheetPr>
  <dimension ref="A1:L28"/>
  <sheetViews>
    <sheetView view="pageBreakPreview" zoomScale="80" zoomScaleNormal="100" zoomScaleSheetLayoutView="80" workbookViewId="0">
      <selection activeCell="L8" sqref="L8"/>
    </sheetView>
  </sheetViews>
  <sheetFormatPr defaultColWidth="8.44140625" defaultRowHeight="15"/>
  <cols>
    <col min="1" max="1" width="5.77734375" style="1" customWidth="1"/>
    <col min="2" max="2" width="7" style="1" customWidth="1"/>
    <col min="3" max="3" width="49.33203125" style="1" bestFit="1" customWidth="1"/>
    <col min="4" max="4" width="11.5546875" style="1" bestFit="1" customWidth="1"/>
    <col min="5" max="5" width="11.77734375" style="1" bestFit="1" customWidth="1"/>
    <col min="6" max="6" width="11.77734375" style="1" customWidth="1"/>
    <col min="7" max="7" width="11.88671875" style="1" bestFit="1" customWidth="1"/>
    <col min="8" max="8" width="4.33203125" style="1" customWidth="1"/>
    <col min="9" max="9" width="11.5546875" style="1" bestFit="1" customWidth="1"/>
    <col min="10" max="11" width="11.88671875" style="1" customWidth="1"/>
    <col min="12" max="12" width="14.77734375" style="1" customWidth="1"/>
    <col min="13" max="16384" width="8.44140625" style="1"/>
  </cols>
  <sheetData>
    <row r="1" spans="1:12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</row>
    <row r="2" spans="1:12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</row>
    <row r="3" spans="1:12">
      <c r="A3" s="1060" t="s">
        <v>606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</row>
    <row r="4" spans="1:12">
      <c r="A4" s="1059" t="str">
        <f>'B.1 F '!A4</f>
        <v>Forecasted Test Period:  Twelve Months Ended March 31, 2026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</row>
    <row r="5" spans="1:12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>
      <c r="A6" s="4" t="s">
        <v>1016</v>
      </c>
      <c r="B6" s="4"/>
      <c r="L6" s="84" t="s">
        <v>1338</v>
      </c>
    </row>
    <row r="7" spans="1:12">
      <c r="A7" s="4" t="s">
        <v>1080</v>
      </c>
      <c r="C7" s="4"/>
      <c r="L7" s="84" t="s">
        <v>683</v>
      </c>
    </row>
    <row r="8" spans="1:12">
      <c r="A8" s="5" t="s">
        <v>405</v>
      </c>
      <c r="B8" s="6"/>
      <c r="C8" s="6"/>
      <c r="D8" s="6"/>
      <c r="E8" s="6"/>
      <c r="F8" s="6"/>
      <c r="G8" s="28"/>
      <c r="I8" s="6"/>
      <c r="J8" s="6"/>
      <c r="K8" s="28"/>
      <c r="L8" s="633" t="s">
        <v>1646</v>
      </c>
    </row>
    <row r="9" spans="1:12">
      <c r="A9" s="325"/>
      <c r="D9" s="296"/>
      <c r="E9" s="38" t="s">
        <v>12</v>
      </c>
      <c r="F9" s="2" t="s">
        <v>10</v>
      </c>
      <c r="G9" s="278" t="s">
        <v>92</v>
      </c>
      <c r="H9" s="2"/>
      <c r="I9" s="297"/>
      <c r="J9" s="38" t="s">
        <v>12</v>
      </c>
      <c r="K9" s="2" t="s">
        <v>10</v>
      </c>
      <c r="L9" s="227"/>
    </row>
    <row r="10" spans="1:12">
      <c r="A10" s="193" t="s">
        <v>88</v>
      </c>
      <c r="B10" s="2"/>
      <c r="D10" s="194" t="s">
        <v>1017</v>
      </c>
      <c r="E10" s="2" t="s">
        <v>13</v>
      </c>
      <c r="F10" s="2" t="s">
        <v>567</v>
      </c>
      <c r="G10" s="190" t="s">
        <v>1124</v>
      </c>
      <c r="H10" s="2"/>
      <c r="I10" s="193" t="s">
        <v>87</v>
      </c>
      <c r="J10" s="2" t="s">
        <v>13</v>
      </c>
      <c r="K10" s="2" t="s">
        <v>567</v>
      </c>
      <c r="L10" s="190" t="s">
        <v>11</v>
      </c>
    </row>
    <row r="11" spans="1:12">
      <c r="A11" s="326" t="s">
        <v>94</v>
      </c>
      <c r="B11" s="9"/>
      <c r="C11" s="214" t="s">
        <v>329</v>
      </c>
      <c r="D11" s="279"/>
      <c r="E11" s="27" t="s">
        <v>600</v>
      </c>
      <c r="F11" s="27" t="s">
        <v>600</v>
      </c>
      <c r="G11" s="327" t="s">
        <v>100</v>
      </c>
      <c r="H11" s="2"/>
      <c r="I11" s="191" t="s">
        <v>93</v>
      </c>
      <c r="J11" s="27" t="s">
        <v>600</v>
      </c>
      <c r="K11" s="27" t="s">
        <v>600</v>
      </c>
      <c r="L11" s="328" t="s">
        <v>99</v>
      </c>
    </row>
    <row r="12" spans="1:12" ht="15.75">
      <c r="B12" s="12" t="s">
        <v>205</v>
      </c>
    </row>
    <row r="13" spans="1:12">
      <c r="A13" s="2">
        <v>1</v>
      </c>
      <c r="B13" s="215">
        <v>15560</v>
      </c>
      <c r="C13" s="4" t="s">
        <v>50</v>
      </c>
      <c r="D13" s="763">
        <f>'WP B.6 F'!P13</f>
        <v>-736136.34</v>
      </c>
      <c r="E13" s="274">
        <v>1</v>
      </c>
      <c r="F13" s="748">
        <f>E13</f>
        <v>1</v>
      </c>
      <c r="G13" s="764">
        <f>D13*E13*F13</f>
        <v>-736136.34</v>
      </c>
      <c r="H13" s="10"/>
      <c r="I13" s="765">
        <f>'WP B.6 F'!Q13</f>
        <v>-736136.34</v>
      </c>
      <c r="J13" s="755">
        <f>E13</f>
        <v>1</v>
      </c>
      <c r="K13" s="755">
        <f>F13</f>
        <v>1</v>
      </c>
      <c r="L13" s="764">
        <f>I13*J13*K13</f>
        <v>-736136.34</v>
      </c>
    </row>
    <row r="14" spans="1:12">
      <c r="A14" s="389">
        <f>A13+1</f>
        <v>2</v>
      </c>
      <c r="B14" s="216"/>
      <c r="D14" s="10"/>
      <c r="E14" s="2"/>
      <c r="F14" s="2"/>
      <c r="G14" s="10"/>
      <c r="H14" s="10"/>
      <c r="I14" s="10"/>
      <c r="J14" s="2"/>
      <c r="K14" s="2"/>
      <c r="L14" s="10"/>
    </row>
    <row r="15" spans="1:12" ht="15.75">
      <c r="A15" s="389">
        <f t="shared" ref="A15:A24" si="0">A14+1</f>
        <v>3</v>
      </c>
      <c r="B15" s="12" t="s">
        <v>206</v>
      </c>
      <c r="E15" s="38"/>
      <c r="F15" s="38"/>
      <c r="I15" s="220"/>
      <c r="J15" s="38"/>
      <c r="K15" s="38"/>
    </row>
    <row r="16" spans="1:12">
      <c r="A16" s="389">
        <f t="shared" si="0"/>
        <v>4</v>
      </c>
      <c r="B16" s="215">
        <v>15560</v>
      </c>
      <c r="C16" s="4" t="s">
        <v>50</v>
      </c>
      <c r="D16" s="766">
        <f>'WP B.6 F'!P16</f>
        <v>0</v>
      </c>
      <c r="E16" s="767">
        <f>Allocation!C14</f>
        <v>8.8999999999999996E-2</v>
      </c>
      <c r="F16" s="767">
        <f>Allocation!D14</f>
        <v>0.48899999999999999</v>
      </c>
      <c r="G16" s="768">
        <f>D16*E16*F16</f>
        <v>0</v>
      </c>
      <c r="H16" s="10"/>
      <c r="I16" s="769">
        <f>'WP B.6 F'!Q16</f>
        <v>0</v>
      </c>
      <c r="J16" s="721">
        <f>E16</f>
        <v>8.8999999999999996E-2</v>
      </c>
      <c r="K16" s="721">
        <f>F16</f>
        <v>0.48899999999999999</v>
      </c>
      <c r="L16" s="768">
        <f>I16*J16*K16</f>
        <v>0</v>
      </c>
    </row>
    <row r="17" spans="1:12">
      <c r="A17" s="389">
        <f t="shared" si="0"/>
        <v>5</v>
      </c>
      <c r="B17" s="217"/>
      <c r="C17" s="4"/>
      <c r="D17" s="10"/>
      <c r="E17" s="2"/>
      <c r="F17" s="2"/>
      <c r="G17" s="10"/>
      <c r="H17" s="10"/>
      <c r="J17" s="38"/>
      <c r="K17" s="38"/>
      <c r="L17" s="10"/>
    </row>
    <row r="18" spans="1:12" ht="15.75">
      <c r="A18" s="389">
        <f t="shared" si="0"/>
        <v>6</v>
      </c>
      <c r="B18" s="12" t="s">
        <v>1075</v>
      </c>
      <c r="E18" s="38"/>
      <c r="F18" s="38"/>
      <c r="G18" s="221"/>
      <c r="J18" s="38"/>
      <c r="K18" s="38"/>
    </row>
    <row r="19" spans="1:12">
      <c r="A19" s="389">
        <f t="shared" si="0"/>
        <v>7</v>
      </c>
      <c r="B19" s="215">
        <v>15560</v>
      </c>
      <c r="C19" s="4" t="s">
        <v>50</v>
      </c>
      <c r="D19" s="766">
        <f>'WP B.6 F'!P19</f>
        <v>0</v>
      </c>
      <c r="E19" s="767">
        <f>Allocation!C15</f>
        <v>0.1086</v>
      </c>
      <c r="F19" s="767">
        <f>Allocation!D15</f>
        <v>0.48899999999999999</v>
      </c>
      <c r="G19" s="768">
        <f>D19*E19*F19</f>
        <v>0</v>
      </c>
      <c r="H19" s="10"/>
      <c r="I19" s="769">
        <f>'WP B.6 F'!Q19</f>
        <v>0</v>
      </c>
      <c r="J19" s="721">
        <f>E19</f>
        <v>0.1086</v>
      </c>
      <c r="K19" s="721">
        <f>F19</f>
        <v>0.48899999999999999</v>
      </c>
      <c r="L19" s="768">
        <f>I19*J19*K19</f>
        <v>0</v>
      </c>
    </row>
    <row r="20" spans="1:12">
      <c r="A20" s="389">
        <f t="shared" si="0"/>
        <v>8</v>
      </c>
      <c r="B20" s="217"/>
      <c r="C20" s="4"/>
      <c r="D20" s="10"/>
      <c r="E20" s="2"/>
      <c r="F20" s="2"/>
      <c r="G20" s="10"/>
      <c r="H20" s="10"/>
      <c r="J20" s="38"/>
      <c r="K20" s="38"/>
      <c r="L20" s="10"/>
    </row>
    <row r="21" spans="1:12" ht="15.75">
      <c r="A21" s="389">
        <f t="shared" si="0"/>
        <v>9</v>
      </c>
      <c r="B21" s="12" t="s">
        <v>649</v>
      </c>
      <c r="E21" s="38"/>
      <c r="F21" s="38"/>
      <c r="J21" s="38"/>
      <c r="K21" s="38"/>
    </row>
    <row r="22" spans="1:12">
      <c r="A22" s="389">
        <f t="shared" si="0"/>
        <v>10</v>
      </c>
      <c r="B22" s="215">
        <v>15560</v>
      </c>
      <c r="C22" s="4" t="s">
        <v>50</v>
      </c>
      <c r="D22" s="695">
        <f>'WP B.6 F'!P22</f>
        <v>0</v>
      </c>
      <c r="E22" s="274">
        <v>1</v>
      </c>
      <c r="F22" s="767">
        <f>Allocation!D17</f>
        <v>0.48899999999999999</v>
      </c>
      <c r="G22" s="359">
        <f>D22*$E$22*F22</f>
        <v>0</v>
      </c>
      <c r="H22" s="10"/>
      <c r="I22" s="694">
        <f>'WP B.6 F'!Q22</f>
        <v>0</v>
      </c>
      <c r="J22" s="770">
        <f>$E$22</f>
        <v>1</v>
      </c>
      <c r="K22" s="771">
        <f>$F$22</f>
        <v>0.48899999999999999</v>
      </c>
      <c r="L22" s="359">
        <f>I22*J22*K22</f>
        <v>0</v>
      </c>
    </row>
    <row r="23" spans="1:12">
      <c r="A23" s="389">
        <f t="shared" si="0"/>
        <v>11</v>
      </c>
      <c r="B23" s="216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5.75" thickBot="1">
      <c r="A24" s="389">
        <f t="shared" si="0"/>
        <v>12</v>
      </c>
      <c r="C24" s="4" t="s">
        <v>692</v>
      </c>
      <c r="D24" s="772">
        <f>D22+D19+D16+D13</f>
        <v>-736136.34</v>
      </c>
      <c r="G24" s="772">
        <f>G22+G19+G16+G13</f>
        <v>-736136.34</v>
      </c>
      <c r="I24" s="772">
        <f>I22+I19+I16+I13</f>
        <v>-736136.34</v>
      </c>
      <c r="L24" s="772">
        <f>L22+L19+L16+L13</f>
        <v>-736136.34</v>
      </c>
    </row>
    <row r="25" spans="1:12" ht="15.75" thickTop="1"/>
    <row r="26" spans="1:12">
      <c r="C26" s="4"/>
    </row>
    <row r="28" spans="1:12">
      <c r="C28" s="84"/>
    </row>
  </sheetData>
  <mergeCells count="4">
    <mergeCell ref="A1:L1"/>
    <mergeCell ref="A2:L2"/>
    <mergeCell ref="A3:L3"/>
    <mergeCell ref="A4:L4"/>
  </mergeCells>
  <phoneticPr fontId="20" type="noConversion"/>
  <printOptions horizontalCentered="1"/>
  <pageMargins left="0.75" right="0.75" top="1" bottom="1" header="0.5" footer="0.17"/>
  <pageSetup scale="62" orientation="landscape" verticalDpi="300" r:id="rId1"/>
  <headerFooter alignWithMargins="0">
    <oddFooter>&amp;RSchedule &amp;A
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R66"/>
  <sheetViews>
    <sheetView view="pageBreakPreview" zoomScale="80" zoomScaleNormal="100" zoomScaleSheetLayoutView="80" workbookViewId="0">
      <selection activeCell="C15" sqref="C15"/>
    </sheetView>
  </sheetViews>
  <sheetFormatPr defaultColWidth="8.88671875" defaultRowHeight="15"/>
  <cols>
    <col min="1" max="1" width="4.33203125" bestFit="1" customWidth="1"/>
    <col min="2" max="2" width="47.21875" bestFit="1" customWidth="1"/>
    <col min="3" max="11" width="12" bestFit="1" customWidth="1"/>
    <col min="12" max="12" width="12.6640625" customWidth="1"/>
    <col min="13" max="13" width="12.5546875" bestFit="1" customWidth="1"/>
    <col min="14" max="14" width="12" bestFit="1" customWidth="1"/>
    <col min="15" max="15" width="12.77734375" customWidth="1"/>
    <col min="16" max="16" width="12" bestFit="1" customWidth="1"/>
    <col min="17" max="17" width="10.44140625" bestFit="1" customWidth="1"/>
    <col min="18" max="18" width="7.109375" customWidth="1"/>
  </cols>
  <sheetData>
    <row r="1" spans="1:18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</row>
    <row r="2" spans="1:18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</row>
    <row r="3" spans="1:18">
      <c r="A3" s="1057" t="str">
        <f>'Table of Contents'!A3:C3</f>
        <v>Base Period: Twelve Months Ended December 31, 2024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1057"/>
      <c r="P3" s="1057"/>
    </row>
    <row r="4" spans="1:18">
      <c r="A4" s="1053" t="s">
        <v>107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053"/>
    </row>
    <row r="5" spans="1:18">
      <c r="P5" s="286"/>
    </row>
    <row r="6" spans="1:18" s="1" customFormat="1">
      <c r="A6" s="699" t="str">
        <f>'B.1 B'!A6</f>
        <v>Data:__X___Base Period______Forecasted Period</v>
      </c>
      <c r="B6" s="4"/>
      <c r="P6" s="286" t="s">
        <v>1335</v>
      </c>
      <c r="Q6" s="536"/>
    </row>
    <row r="7" spans="1:18" s="1" customFormat="1">
      <c r="A7" s="699" t="str">
        <f>'B.1 B'!A7</f>
        <v>Type of Filing:___X____Original________Updated ________Revised</v>
      </c>
      <c r="C7" s="4"/>
      <c r="P7" s="181" t="s">
        <v>1648</v>
      </c>
      <c r="Q7" s="536"/>
    </row>
    <row r="8" spans="1:18" s="1" customFormat="1">
      <c r="A8" s="717" t="str">
        <f>'B.1 B'!A8</f>
        <v>Workpaper Reference No(s).</v>
      </c>
      <c r="B8" s="6"/>
      <c r="C8" s="6"/>
      <c r="D8" s="6"/>
      <c r="E8" s="6"/>
      <c r="F8" s="6"/>
      <c r="G8" s="28"/>
      <c r="H8" s="28"/>
      <c r="I8" s="6"/>
      <c r="J8" s="6"/>
      <c r="K8" s="28"/>
      <c r="L8" s="6"/>
      <c r="M8" s="28"/>
      <c r="N8" s="28"/>
      <c r="O8" s="28"/>
      <c r="P8" s="1042" t="str">
        <f>+'B.5 B'!L8</f>
        <v>Witness: Waller, Multer</v>
      </c>
      <c r="Q8" s="1040"/>
    </row>
    <row r="9" spans="1:18">
      <c r="A9" t="s">
        <v>88</v>
      </c>
      <c r="C9" s="37" t="s">
        <v>102</v>
      </c>
      <c r="D9" s="37" t="s">
        <v>102</v>
      </c>
      <c r="E9" s="37" t="s">
        <v>102</v>
      </c>
      <c r="F9" s="37" t="s">
        <v>102</v>
      </c>
      <c r="G9" s="37" t="s">
        <v>102</v>
      </c>
      <c r="H9" s="37" t="s">
        <v>102</v>
      </c>
      <c r="I9" s="37" t="s">
        <v>102</v>
      </c>
      <c r="J9" s="37" t="s">
        <v>1528</v>
      </c>
      <c r="K9" s="37" t="s">
        <v>1528</v>
      </c>
      <c r="L9" s="37" t="s">
        <v>1528</v>
      </c>
      <c r="M9" s="37" t="s">
        <v>1528</v>
      </c>
      <c r="N9" s="37" t="s">
        <v>1528</v>
      </c>
      <c r="O9" s="37" t="s">
        <v>1528</v>
      </c>
      <c r="P9" s="37" t="s">
        <v>43</v>
      </c>
    </row>
    <row r="10" spans="1:18">
      <c r="A10" s="36" t="s">
        <v>94</v>
      </c>
      <c r="B10" s="36" t="s">
        <v>949</v>
      </c>
      <c r="C10" s="773">
        <f>O10-365</f>
        <v>45262</v>
      </c>
      <c r="D10" s="774">
        <f>'C.2.2 B 09'!D10</f>
        <v>45292</v>
      </c>
      <c r="E10" s="774">
        <f>'C.2.2 B 09'!E10</f>
        <v>45323</v>
      </c>
      <c r="F10" s="774">
        <f>'C.2.2 B 09'!F10</f>
        <v>45352</v>
      </c>
      <c r="G10" s="774">
        <f>'C.2.2 B 09'!G10</f>
        <v>45383</v>
      </c>
      <c r="H10" s="774">
        <f>'C.2.2 B 09'!H10</f>
        <v>45413</v>
      </c>
      <c r="I10" s="774">
        <f>'C.2.2 B 09'!I10</f>
        <v>45444</v>
      </c>
      <c r="J10" s="774">
        <f>'C.2.2 B 09'!J10</f>
        <v>45474</v>
      </c>
      <c r="K10" s="774">
        <f>'C.2.2 B 09'!K10</f>
        <v>45505</v>
      </c>
      <c r="L10" s="774">
        <f>'C.2.2 B 09'!L10</f>
        <v>45536</v>
      </c>
      <c r="M10" s="774">
        <f>'C.2.2 B 09'!M10</f>
        <v>45566</v>
      </c>
      <c r="N10" s="774">
        <f>'C.2.2 B 09'!N10</f>
        <v>45597</v>
      </c>
      <c r="O10" s="774">
        <f>'C.2.2 B 09'!O10</f>
        <v>45627</v>
      </c>
      <c r="P10" s="41" t="s">
        <v>93</v>
      </c>
      <c r="Q10" s="329"/>
      <c r="R10" s="329"/>
    </row>
    <row r="12" spans="1:18" ht="15.75">
      <c r="A12" s="37">
        <v>1</v>
      </c>
      <c r="B12" s="295" t="s">
        <v>258</v>
      </c>
    </row>
    <row r="13" spans="1:18">
      <c r="A13" s="37">
        <f>+A12+1</f>
        <v>2</v>
      </c>
      <c r="B13" s="48"/>
      <c r="R13" s="375"/>
    </row>
    <row r="14" spans="1:18">
      <c r="A14" s="37">
        <f t="shared" ref="A14:A56" si="0">+A13+1</f>
        <v>3</v>
      </c>
      <c r="B14" s="48" t="s">
        <v>1129</v>
      </c>
    </row>
    <row r="15" spans="1:18">
      <c r="A15" s="37">
        <f t="shared" si="0"/>
        <v>4</v>
      </c>
      <c r="B15" s="184" t="s">
        <v>487</v>
      </c>
      <c r="C15" s="720">
        <v>0</v>
      </c>
      <c r="D15" s="720">
        <v>0</v>
      </c>
      <c r="E15" s="720">
        <v>0</v>
      </c>
      <c r="F15" s="720">
        <v>0</v>
      </c>
      <c r="G15" s="720">
        <v>0</v>
      </c>
      <c r="H15" s="720">
        <v>0</v>
      </c>
      <c r="I15" s="720">
        <v>0</v>
      </c>
      <c r="J15" s="720">
        <v>0</v>
      </c>
      <c r="K15" s="720">
        <v>0</v>
      </c>
      <c r="L15" s="720">
        <v>0</v>
      </c>
      <c r="M15" s="720">
        <v>0</v>
      </c>
      <c r="N15" s="720">
        <v>0</v>
      </c>
      <c r="O15" s="720">
        <v>0</v>
      </c>
      <c r="R15" s="375"/>
    </row>
    <row r="16" spans="1:18">
      <c r="A16" s="37">
        <f t="shared" si="0"/>
        <v>5</v>
      </c>
      <c r="B16" s="184" t="s">
        <v>1590</v>
      </c>
      <c r="C16" s="720">
        <v>0</v>
      </c>
      <c r="D16" s="720">
        <v>0</v>
      </c>
      <c r="E16" s="720">
        <v>0</v>
      </c>
      <c r="F16" s="720">
        <v>0</v>
      </c>
      <c r="G16" s="720">
        <v>0</v>
      </c>
      <c r="H16" s="720">
        <v>0</v>
      </c>
      <c r="I16" s="720">
        <v>0</v>
      </c>
      <c r="J16" s="720">
        <v>0</v>
      </c>
      <c r="K16" s="720">
        <v>0</v>
      </c>
      <c r="L16" s="720">
        <v>0</v>
      </c>
      <c r="M16" s="720">
        <v>0</v>
      </c>
      <c r="N16" s="720">
        <v>0</v>
      </c>
      <c r="O16" s="720">
        <v>0</v>
      </c>
      <c r="R16" s="375"/>
    </row>
    <row r="17" spans="1:18">
      <c r="A17" s="37">
        <f t="shared" si="0"/>
        <v>6</v>
      </c>
      <c r="B17" s="184" t="s">
        <v>488</v>
      </c>
      <c r="C17" s="720">
        <v>-23215.950000000004</v>
      </c>
      <c r="D17" s="720">
        <v>-26849.439999999999</v>
      </c>
      <c r="E17" s="720">
        <v>-28789.24</v>
      </c>
      <c r="F17" s="720">
        <v>-27632.180000000004</v>
      </c>
      <c r="G17" s="720">
        <v>-28866.750000000007</v>
      </c>
      <c r="H17" s="720">
        <v>-32568.060000000005</v>
      </c>
      <c r="I17" s="720">
        <v>-32352.450000000004</v>
      </c>
      <c r="J17" s="720">
        <v>-29509.686666666672</v>
      </c>
      <c r="K17" s="720">
        <v>-29509.686666666672</v>
      </c>
      <c r="L17" s="720">
        <v>-29509.686666666672</v>
      </c>
      <c r="M17" s="720">
        <v>-29509.686666666672</v>
      </c>
      <c r="N17" s="720">
        <v>-29509.686666666672</v>
      </c>
      <c r="O17" s="720">
        <v>-29509.686666666672</v>
      </c>
    </row>
    <row r="18" spans="1:18">
      <c r="A18" s="37">
        <f t="shared" si="0"/>
        <v>7</v>
      </c>
      <c r="B18" s="165" t="s">
        <v>489</v>
      </c>
      <c r="C18" s="775">
        <f t="shared" ref="C18" si="1">SUM(C15:C17)</f>
        <v>-23215.950000000004</v>
      </c>
      <c r="D18" s="775">
        <f t="shared" ref="D18:O18" si="2">SUM(D15:D17)</f>
        <v>-26849.439999999999</v>
      </c>
      <c r="E18" s="775">
        <f t="shared" si="2"/>
        <v>-28789.24</v>
      </c>
      <c r="F18" s="775">
        <f t="shared" si="2"/>
        <v>-27632.180000000004</v>
      </c>
      <c r="G18" s="775">
        <f t="shared" si="2"/>
        <v>-28866.750000000007</v>
      </c>
      <c r="H18" s="775">
        <f t="shared" si="2"/>
        <v>-32568.060000000005</v>
      </c>
      <c r="I18" s="775">
        <f t="shared" si="2"/>
        <v>-32352.450000000004</v>
      </c>
      <c r="J18" s="775">
        <f t="shared" si="2"/>
        <v>-29509.686666666672</v>
      </c>
      <c r="K18" s="775">
        <f t="shared" si="2"/>
        <v>-29509.686666666672</v>
      </c>
      <c r="L18" s="775">
        <f t="shared" si="2"/>
        <v>-29509.686666666672</v>
      </c>
      <c r="M18" s="775">
        <f t="shared" si="2"/>
        <v>-29509.686666666672</v>
      </c>
      <c r="N18" s="775">
        <f t="shared" si="2"/>
        <v>-29509.686666666672</v>
      </c>
      <c r="O18" s="775">
        <f t="shared" si="2"/>
        <v>-29509.686666666672</v>
      </c>
      <c r="P18" s="707">
        <f>(SUM(C18:O18))/13</f>
        <v>-29025.553076923075</v>
      </c>
    </row>
    <row r="19" spans="1:18">
      <c r="A19" s="37">
        <f t="shared" si="0"/>
        <v>8</v>
      </c>
      <c r="B19" s="184"/>
    </row>
    <row r="20" spans="1:18">
      <c r="A20" s="37">
        <f t="shared" si="0"/>
        <v>9</v>
      </c>
      <c r="B20" s="184" t="s">
        <v>1130</v>
      </c>
    </row>
    <row r="21" spans="1:18">
      <c r="A21" s="37">
        <f t="shared" si="0"/>
        <v>10</v>
      </c>
      <c r="B21" s="184" t="s">
        <v>487</v>
      </c>
      <c r="C21" s="720">
        <v>955500.25</v>
      </c>
      <c r="D21" s="720">
        <v>955500.25</v>
      </c>
      <c r="E21" s="720">
        <v>878944.01</v>
      </c>
      <c r="F21" s="720">
        <v>878944.01</v>
      </c>
      <c r="G21" s="720">
        <v>878944.01</v>
      </c>
      <c r="H21" s="720">
        <v>842833.36</v>
      </c>
      <c r="I21" s="720">
        <v>814631.35</v>
      </c>
      <c r="J21" s="720">
        <v>874966.16500000004</v>
      </c>
      <c r="K21" s="720">
        <v>874966.16500000004</v>
      </c>
      <c r="L21" s="720">
        <v>874966.16500000004</v>
      </c>
      <c r="M21" s="720">
        <v>874966.16500000004</v>
      </c>
      <c r="N21" s="720">
        <v>874966.16500000004</v>
      </c>
      <c r="O21" s="720">
        <v>874966.16500000004</v>
      </c>
    </row>
    <row r="22" spans="1:18">
      <c r="A22" s="37">
        <f t="shared" ref="A22" si="3">+A21+1</f>
        <v>11</v>
      </c>
      <c r="B22" s="184" t="s">
        <v>1590</v>
      </c>
      <c r="C22" s="720">
        <v>0</v>
      </c>
      <c r="D22" s="720">
        <v>0</v>
      </c>
      <c r="E22" s="720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R22" s="375"/>
    </row>
    <row r="23" spans="1:18">
      <c r="A23" s="37">
        <f t="shared" si="0"/>
        <v>12</v>
      </c>
      <c r="B23" s="184" t="s">
        <v>488</v>
      </c>
      <c r="C23" s="709">
        <v>110383.75</v>
      </c>
      <c r="D23" s="709">
        <v>143619.99999999997</v>
      </c>
      <c r="E23" s="709">
        <v>175677.49999999997</v>
      </c>
      <c r="F23" s="709">
        <v>210611.31</v>
      </c>
      <c r="G23" s="709">
        <v>242357.4</v>
      </c>
      <c r="H23" s="709">
        <v>275359.77000000008</v>
      </c>
      <c r="I23" s="709">
        <v>305726.55999999994</v>
      </c>
      <c r="J23" s="709">
        <v>225558.75666666668</v>
      </c>
      <c r="K23" s="709">
        <v>225558.75666666668</v>
      </c>
      <c r="L23" s="709">
        <v>225558.75666666668</v>
      </c>
      <c r="M23" s="709">
        <v>225558.75666666668</v>
      </c>
      <c r="N23" s="709">
        <v>225558.75666666668</v>
      </c>
      <c r="O23" s="709">
        <v>225558.75666666668</v>
      </c>
    </row>
    <row r="24" spans="1:18">
      <c r="A24" s="37">
        <f t="shared" si="0"/>
        <v>13</v>
      </c>
      <c r="B24" s="165" t="s">
        <v>489</v>
      </c>
      <c r="C24" s="775">
        <f t="shared" ref="C24" si="4">SUM(C21:C23)</f>
        <v>1065884</v>
      </c>
      <c r="D24" s="775">
        <f t="shared" ref="D24:O24" si="5">SUM(D21:D23)</f>
        <v>1099120.25</v>
      </c>
      <c r="E24" s="775">
        <f t="shared" si="5"/>
        <v>1054621.51</v>
      </c>
      <c r="F24" s="775">
        <f t="shared" si="5"/>
        <v>1089555.32</v>
      </c>
      <c r="G24" s="775">
        <f t="shared" si="5"/>
        <v>1121301.4099999999</v>
      </c>
      <c r="H24" s="775">
        <f t="shared" si="5"/>
        <v>1118193.1300000001</v>
      </c>
      <c r="I24" s="775">
        <f t="shared" si="5"/>
        <v>1120357.9099999999</v>
      </c>
      <c r="J24" s="775">
        <f t="shared" si="5"/>
        <v>1100524.9216666666</v>
      </c>
      <c r="K24" s="775">
        <f t="shared" si="5"/>
        <v>1100524.9216666666</v>
      </c>
      <c r="L24" s="775">
        <f t="shared" si="5"/>
        <v>1100524.9216666666</v>
      </c>
      <c r="M24" s="775">
        <f t="shared" si="5"/>
        <v>1100524.9216666666</v>
      </c>
      <c r="N24" s="775">
        <f t="shared" si="5"/>
        <v>1100524.9216666666</v>
      </c>
      <c r="O24" s="775">
        <f t="shared" si="5"/>
        <v>1100524.9216666666</v>
      </c>
      <c r="P24" s="707">
        <f>(SUM(C24:O24))/13</f>
        <v>1097860.2353846154</v>
      </c>
    </row>
    <row r="25" spans="1:18">
      <c r="A25" s="37">
        <f t="shared" si="0"/>
        <v>14</v>
      </c>
      <c r="B25" s="184"/>
    </row>
    <row r="26" spans="1:18">
      <c r="A26" s="37">
        <f t="shared" si="0"/>
        <v>15</v>
      </c>
      <c r="B26" s="184" t="s">
        <v>1131</v>
      </c>
    </row>
    <row r="27" spans="1:18">
      <c r="A27" s="37">
        <f t="shared" si="0"/>
        <v>16</v>
      </c>
      <c r="B27" s="184" t="s">
        <v>487</v>
      </c>
      <c r="C27" s="776">
        <v>0</v>
      </c>
      <c r="D27" s="776">
        <v>0</v>
      </c>
      <c r="E27" s="776">
        <v>0</v>
      </c>
      <c r="F27" s="776">
        <v>0</v>
      </c>
      <c r="G27" s="776">
        <v>0</v>
      </c>
      <c r="H27" s="776">
        <v>0</v>
      </c>
      <c r="I27" s="776">
        <v>0</v>
      </c>
      <c r="J27" s="776">
        <v>0</v>
      </c>
      <c r="K27" s="776">
        <v>0</v>
      </c>
      <c r="L27" s="776">
        <v>0</v>
      </c>
      <c r="M27" s="776">
        <v>0</v>
      </c>
      <c r="N27" s="776">
        <v>0</v>
      </c>
      <c r="O27" s="776">
        <v>0</v>
      </c>
    </row>
    <row r="28" spans="1:18">
      <c r="A28" s="37">
        <f t="shared" si="0"/>
        <v>17</v>
      </c>
      <c r="B28" s="184" t="s">
        <v>1590</v>
      </c>
      <c r="C28" s="720">
        <v>311365.11</v>
      </c>
      <c r="D28" s="720">
        <v>311882.03999999998</v>
      </c>
      <c r="E28" s="720">
        <v>312398.96999999997</v>
      </c>
      <c r="F28" s="720">
        <v>312398.96999999997</v>
      </c>
      <c r="G28" s="720">
        <v>312398.96999999997</v>
      </c>
      <c r="H28" s="720">
        <v>312915.90000000002</v>
      </c>
      <c r="I28" s="720">
        <v>315546.02</v>
      </c>
      <c r="J28" s="720">
        <v>312923.47833333333</v>
      </c>
      <c r="K28" s="720">
        <v>312923.47833333333</v>
      </c>
      <c r="L28" s="720">
        <v>312923.47833333333</v>
      </c>
      <c r="M28" s="720">
        <v>312923.47833333333</v>
      </c>
      <c r="N28" s="720">
        <v>312923.47833333333</v>
      </c>
      <c r="O28" s="720">
        <v>312923.47833333333</v>
      </c>
      <c r="R28" s="375"/>
    </row>
    <row r="29" spans="1:18">
      <c r="A29" s="37">
        <f t="shared" si="0"/>
        <v>18</v>
      </c>
      <c r="B29" s="184" t="s">
        <v>488</v>
      </c>
      <c r="C29" s="709">
        <v>0</v>
      </c>
      <c r="D29" s="709">
        <v>-1.0000000009313226E-2</v>
      </c>
      <c r="E29" s="709">
        <v>0</v>
      </c>
      <c r="F29" s="709">
        <v>0</v>
      </c>
      <c r="G29" s="709">
        <v>1.0000000067520887E-2</v>
      </c>
      <c r="H29" s="709">
        <v>9.9999998928979039E-3</v>
      </c>
      <c r="I29" s="709">
        <v>0</v>
      </c>
      <c r="J29" s="709">
        <v>1.6666666585175942E-3</v>
      </c>
      <c r="K29" s="709">
        <v>1.6666666585175942E-3</v>
      </c>
      <c r="L29" s="709">
        <v>1.6666666585175942E-3</v>
      </c>
      <c r="M29" s="709">
        <v>1.6666666585175942E-3</v>
      </c>
      <c r="N29" s="709">
        <v>1.6666666585175942E-3</v>
      </c>
      <c r="O29" s="709">
        <v>1.6666666585175942E-3</v>
      </c>
    </row>
    <row r="30" spans="1:18">
      <c r="A30" s="37">
        <f t="shared" si="0"/>
        <v>19</v>
      </c>
      <c r="B30" s="165" t="s">
        <v>489</v>
      </c>
      <c r="C30" s="775">
        <f t="shared" ref="C30" si="6">SUM(C27:C29)</f>
        <v>311365.11</v>
      </c>
      <c r="D30" s="775">
        <f t="shared" ref="D30:O30" si="7">SUM(D27:D29)</f>
        <v>311882.02999999997</v>
      </c>
      <c r="E30" s="775">
        <f t="shared" si="7"/>
        <v>312398.96999999997</v>
      </c>
      <c r="F30" s="775">
        <f t="shared" si="7"/>
        <v>312398.96999999997</v>
      </c>
      <c r="G30" s="775">
        <f t="shared" si="7"/>
        <v>312398.98000000004</v>
      </c>
      <c r="H30" s="775">
        <f t="shared" si="7"/>
        <v>312915.90999999992</v>
      </c>
      <c r="I30" s="775">
        <f t="shared" si="7"/>
        <v>315546.02</v>
      </c>
      <c r="J30" s="775">
        <f t="shared" si="7"/>
        <v>312923.48</v>
      </c>
      <c r="K30" s="775">
        <f t="shared" si="7"/>
        <v>312923.48</v>
      </c>
      <c r="L30" s="775">
        <f t="shared" si="7"/>
        <v>312923.48</v>
      </c>
      <c r="M30" s="775">
        <f t="shared" si="7"/>
        <v>312923.48</v>
      </c>
      <c r="N30" s="775">
        <f t="shared" si="7"/>
        <v>312923.48</v>
      </c>
      <c r="O30" s="775">
        <f t="shared" si="7"/>
        <v>312923.48</v>
      </c>
      <c r="P30" s="707">
        <f>(SUM(C30:O30))/13</f>
        <v>312803.60538461537</v>
      </c>
    </row>
    <row r="31" spans="1:18">
      <c r="A31" s="37">
        <f t="shared" si="0"/>
        <v>20</v>
      </c>
      <c r="B31" s="184"/>
    </row>
    <row r="32" spans="1:18">
      <c r="A32" s="37">
        <f t="shared" si="0"/>
        <v>21</v>
      </c>
      <c r="B32" s="184" t="s">
        <v>1132</v>
      </c>
    </row>
    <row r="33" spans="1:18">
      <c r="A33" s="37">
        <f t="shared" si="0"/>
        <v>22</v>
      </c>
      <c r="B33" s="184" t="s">
        <v>487</v>
      </c>
      <c r="C33" s="776">
        <v>0</v>
      </c>
      <c r="D33" s="776">
        <v>0</v>
      </c>
      <c r="E33" s="776">
        <v>0</v>
      </c>
      <c r="F33" s="776">
        <v>0</v>
      </c>
      <c r="G33" s="776">
        <v>0</v>
      </c>
      <c r="H33" s="776">
        <v>0</v>
      </c>
      <c r="I33" s="776">
        <v>0</v>
      </c>
      <c r="J33" s="776">
        <v>0</v>
      </c>
      <c r="K33" s="776">
        <v>0</v>
      </c>
      <c r="L33" s="776">
        <v>0</v>
      </c>
      <c r="M33" s="776">
        <v>0</v>
      </c>
      <c r="N33" s="776">
        <v>0</v>
      </c>
      <c r="O33" s="776">
        <v>0</v>
      </c>
    </row>
    <row r="34" spans="1:18">
      <c r="A34" s="37">
        <f t="shared" ref="A34" si="8">+A33+1</f>
        <v>23</v>
      </c>
      <c r="B34" s="184" t="s">
        <v>1590</v>
      </c>
      <c r="C34" s="720">
        <v>0</v>
      </c>
      <c r="D34" s="720">
        <v>0</v>
      </c>
      <c r="E34" s="720">
        <v>0</v>
      </c>
      <c r="F34" s="720">
        <v>0</v>
      </c>
      <c r="G34" s="720">
        <v>0</v>
      </c>
      <c r="H34" s="720">
        <v>0</v>
      </c>
      <c r="I34" s="720">
        <v>0</v>
      </c>
      <c r="J34" s="720">
        <v>0</v>
      </c>
      <c r="K34" s="720">
        <v>0</v>
      </c>
      <c r="L34" s="720">
        <v>0</v>
      </c>
      <c r="M34" s="720">
        <v>0</v>
      </c>
      <c r="N34" s="720">
        <v>0</v>
      </c>
      <c r="O34" s="720">
        <v>0</v>
      </c>
      <c r="R34" s="375"/>
    </row>
    <row r="35" spans="1:18">
      <c r="A35" s="37">
        <f t="shared" si="0"/>
        <v>24</v>
      </c>
      <c r="B35" s="184" t="s">
        <v>488</v>
      </c>
      <c r="C35" s="709">
        <v>0</v>
      </c>
      <c r="D35" s="709">
        <v>0</v>
      </c>
      <c r="E35" s="709">
        <v>0</v>
      </c>
      <c r="F35" s="709">
        <v>0</v>
      </c>
      <c r="G35" s="709">
        <v>0</v>
      </c>
      <c r="H35" s="709">
        <v>0</v>
      </c>
      <c r="I35" s="709">
        <v>0</v>
      </c>
      <c r="J35" s="709">
        <v>0</v>
      </c>
      <c r="K35" s="709">
        <v>0</v>
      </c>
      <c r="L35" s="709">
        <v>0</v>
      </c>
      <c r="M35" s="709">
        <v>0</v>
      </c>
      <c r="N35" s="709">
        <v>0</v>
      </c>
      <c r="O35" s="709">
        <v>0</v>
      </c>
    </row>
    <row r="36" spans="1:18">
      <c r="A36" s="37">
        <f t="shared" si="0"/>
        <v>25</v>
      </c>
      <c r="B36" s="165" t="s">
        <v>489</v>
      </c>
      <c r="C36" s="775">
        <f t="shared" ref="C36:G36" si="9">SUM(C33:C35)</f>
        <v>0</v>
      </c>
      <c r="D36" s="775">
        <f t="shared" si="9"/>
        <v>0</v>
      </c>
      <c r="E36" s="775">
        <f t="shared" si="9"/>
        <v>0</v>
      </c>
      <c r="F36" s="775">
        <f t="shared" si="9"/>
        <v>0</v>
      </c>
      <c r="G36" s="775">
        <f t="shared" si="9"/>
        <v>0</v>
      </c>
      <c r="H36" s="775">
        <f t="shared" ref="H36:M36" si="10">SUM(H33:H35)</f>
        <v>0</v>
      </c>
      <c r="I36" s="775">
        <f t="shared" si="10"/>
        <v>0</v>
      </c>
      <c r="J36" s="775">
        <f t="shared" si="10"/>
        <v>0</v>
      </c>
      <c r="K36" s="775">
        <f t="shared" si="10"/>
        <v>0</v>
      </c>
      <c r="L36" s="775">
        <f t="shared" si="10"/>
        <v>0</v>
      </c>
      <c r="M36" s="775">
        <f t="shared" si="10"/>
        <v>0</v>
      </c>
      <c r="N36" s="775">
        <f t="shared" ref="N36:O36" si="11">SUM(N33:N35)</f>
        <v>0</v>
      </c>
      <c r="O36" s="775">
        <f t="shared" si="11"/>
        <v>0</v>
      </c>
      <c r="P36" s="707">
        <f>(SUM(C36:O36))/13</f>
        <v>0</v>
      </c>
    </row>
    <row r="37" spans="1:18">
      <c r="A37" s="37">
        <f t="shared" si="0"/>
        <v>26</v>
      </c>
      <c r="B37" s="184"/>
    </row>
    <row r="38" spans="1:18" ht="15.75">
      <c r="A38" s="37">
        <f t="shared" si="0"/>
        <v>27</v>
      </c>
      <c r="B38" s="295" t="s">
        <v>490</v>
      </c>
    </row>
    <row r="39" spans="1:18">
      <c r="A39" s="37">
        <f t="shared" si="0"/>
        <v>28</v>
      </c>
      <c r="B39" s="45"/>
    </row>
    <row r="40" spans="1:18">
      <c r="A40" s="37">
        <f t="shared" si="0"/>
        <v>29</v>
      </c>
      <c r="B40" s="184" t="s">
        <v>1129</v>
      </c>
      <c r="C40" s="720">
        <v>24055138.810000002</v>
      </c>
      <c r="D40" s="720">
        <v>19877503.109999999</v>
      </c>
      <c r="E40" s="720">
        <v>15740886.760000002</v>
      </c>
      <c r="F40" s="720">
        <v>11948688.120000001</v>
      </c>
      <c r="G40" s="720">
        <v>12852492.760000002</v>
      </c>
      <c r="H40" s="720">
        <v>14187794.6</v>
      </c>
      <c r="I40" s="720">
        <v>16572131.84</v>
      </c>
      <c r="J40" s="720">
        <v>16917150.140000001</v>
      </c>
      <c r="K40" s="720">
        <v>18070892.857015979</v>
      </c>
      <c r="L40" s="720">
        <v>19869475.176577017</v>
      </c>
      <c r="M40" s="720">
        <v>21715422.884575099</v>
      </c>
      <c r="N40" s="720">
        <v>18850359.315159813</v>
      </c>
      <c r="O40" s="720">
        <v>14105107.93756515</v>
      </c>
      <c r="P40" s="707">
        <f>(SUM(C40:O40))/13</f>
        <v>17289464.946991775</v>
      </c>
      <c r="Q40" s="329"/>
      <c r="R40" s="329"/>
    </row>
    <row r="41" spans="1:18">
      <c r="A41" s="37">
        <f t="shared" si="0"/>
        <v>30</v>
      </c>
      <c r="B41" s="184"/>
      <c r="K41" s="209"/>
      <c r="L41" s="209"/>
      <c r="M41" s="209"/>
      <c r="N41" s="209"/>
      <c r="O41" s="209"/>
    </row>
    <row r="42" spans="1:18">
      <c r="A42" s="37">
        <f t="shared" si="0"/>
        <v>31</v>
      </c>
      <c r="B42" s="184" t="s">
        <v>1130</v>
      </c>
      <c r="C42" s="546">
        <v>0</v>
      </c>
      <c r="D42" s="264">
        <v>0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v>0</v>
      </c>
      <c r="N42" s="264">
        <v>0</v>
      </c>
      <c r="O42" s="264">
        <v>0</v>
      </c>
      <c r="P42" s="707">
        <f>(SUM(C42:O42))/13</f>
        <v>0</v>
      </c>
    </row>
    <row r="43" spans="1:18">
      <c r="A43" s="37">
        <f t="shared" si="0"/>
        <v>32</v>
      </c>
      <c r="B43" s="184"/>
    </row>
    <row r="44" spans="1:18">
      <c r="A44" s="37">
        <f t="shared" si="0"/>
        <v>33</v>
      </c>
      <c r="B44" s="184" t="s">
        <v>1131</v>
      </c>
      <c r="C44" s="264">
        <v>0</v>
      </c>
      <c r="D44" s="264">
        <v>0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v>0</v>
      </c>
      <c r="N44" s="264">
        <v>0</v>
      </c>
      <c r="O44" s="264">
        <v>0</v>
      </c>
      <c r="P44" s="707">
        <f>(SUM(C44:O44))/13</f>
        <v>0</v>
      </c>
    </row>
    <row r="45" spans="1:18">
      <c r="A45" s="37">
        <f t="shared" si="0"/>
        <v>34</v>
      </c>
      <c r="B45" s="184"/>
    </row>
    <row r="46" spans="1:18">
      <c r="A46" s="37">
        <f t="shared" si="0"/>
        <v>35</v>
      </c>
      <c r="B46" s="184" t="s">
        <v>1132</v>
      </c>
      <c r="C46" s="264">
        <v>0</v>
      </c>
      <c r="D46" s="264">
        <v>0</v>
      </c>
      <c r="E46" s="264">
        <v>0</v>
      </c>
      <c r="F46" s="264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64">
        <v>0</v>
      </c>
      <c r="O46" s="264">
        <v>0</v>
      </c>
      <c r="P46" s="707">
        <f>(SUM(C46:O46))/13</f>
        <v>0</v>
      </c>
    </row>
    <row r="47" spans="1:18">
      <c r="A47" s="37">
        <f t="shared" si="0"/>
        <v>36</v>
      </c>
      <c r="B47" s="165"/>
    </row>
    <row r="48" spans="1:18" ht="15.75">
      <c r="A48" s="37">
        <f t="shared" si="0"/>
        <v>37</v>
      </c>
      <c r="B48" s="295" t="s">
        <v>491</v>
      </c>
    </row>
    <row r="49" spans="1:16">
      <c r="A49" s="37">
        <f t="shared" si="0"/>
        <v>38</v>
      </c>
      <c r="B49" s="48"/>
    </row>
    <row r="50" spans="1:16">
      <c r="A50" s="37">
        <f t="shared" si="0"/>
        <v>39</v>
      </c>
      <c r="B50" s="184" t="s">
        <v>1129</v>
      </c>
      <c r="C50" s="707">
        <f>0</f>
        <v>0</v>
      </c>
      <c r="D50" s="707">
        <f>0</f>
        <v>0</v>
      </c>
      <c r="E50" s="707">
        <f>0</f>
        <v>0</v>
      </c>
      <c r="F50" s="707">
        <f>0</f>
        <v>0</v>
      </c>
      <c r="G50" s="707">
        <f>0</f>
        <v>0</v>
      </c>
      <c r="H50" s="707">
        <f>0</f>
        <v>0</v>
      </c>
      <c r="I50" s="707">
        <f>0</f>
        <v>0</v>
      </c>
      <c r="J50" s="707">
        <f>0</f>
        <v>0</v>
      </c>
      <c r="K50" s="707">
        <f>0</f>
        <v>0</v>
      </c>
      <c r="L50" s="707">
        <f>0</f>
        <v>0</v>
      </c>
      <c r="M50" s="707">
        <f>0</f>
        <v>0</v>
      </c>
      <c r="N50" s="707">
        <f>0</f>
        <v>0</v>
      </c>
      <c r="O50" s="707">
        <f>0</f>
        <v>0</v>
      </c>
      <c r="P50" s="707">
        <f>(SUM(C50:O50))/13</f>
        <v>0</v>
      </c>
    </row>
    <row r="51" spans="1:16">
      <c r="A51" s="37">
        <f t="shared" si="0"/>
        <v>40</v>
      </c>
      <c r="B51" s="184"/>
    </row>
    <row r="52" spans="1:16">
      <c r="A52" s="37">
        <f t="shared" si="0"/>
        <v>41</v>
      </c>
      <c r="B52" s="184" t="s">
        <v>1130</v>
      </c>
      <c r="C52" s="707">
        <f>0</f>
        <v>0</v>
      </c>
      <c r="D52" s="707">
        <f>0</f>
        <v>0</v>
      </c>
      <c r="E52" s="707">
        <f>0</f>
        <v>0</v>
      </c>
      <c r="F52" s="707">
        <f>0</f>
        <v>0</v>
      </c>
      <c r="G52" s="707">
        <f>0</f>
        <v>0</v>
      </c>
      <c r="H52" s="707">
        <f>0</f>
        <v>0</v>
      </c>
      <c r="I52" s="707">
        <f>0</f>
        <v>0</v>
      </c>
      <c r="J52" s="707">
        <f>0</f>
        <v>0</v>
      </c>
      <c r="K52" s="707">
        <f>0</f>
        <v>0</v>
      </c>
      <c r="L52" s="707">
        <f>0</f>
        <v>0</v>
      </c>
      <c r="M52" s="707">
        <f>0</f>
        <v>0</v>
      </c>
      <c r="N52" s="707">
        <f>0</f>
        <v>0</v>
      </c>
      <c r="O52" s="707">
        <f>0</f>
        <v>0</v>
      </c>
      <c r="P52" s="707">
        <f>(SUM(C52:O52))/13</f>
        <v>0</v>
      </c>
    </row>
    <row r="53" spans="1:16">
      <c r="A53" s="37">
        <f t="shared" si="0"/>
        <v>42</v>
      </c>
      <c r="B53" s="184"/>
    </row>
    <row r="54" spans="1:16">
      <c r="A54" s="37">
        <f t="shared" si="0"/>
        <v>43</v>
      </c>
      <c r="B54" s="184" t="s">
        <v>1131</v>
      </c>
      <c r="C54" s="707">
        <f>0</f>
        <v>0</v>
      </c>
      <c r="D54" s="707">
        <f>0</f>
        <v>0</v>
      </c>
      <c r="E54" s="707">
        <f>0</f>
        <v>0</v>
      </c>
      <c r="F54" s="707">
        <f>0</f>
        <v>0</v>
      </c>
      <c r="G54" s="707">
        <f>0</f>
        <v>0</v>
      </c>
      <c r="H54" s="707">
        <f>0</f>
        <v>0</v>
      </c>
      <c r="I54" s="707">
        <f>0</f>
        <v>0</v>
      </c>
      <c r="J54" s="707">
        <f>0</f>
        <v>0</v>
      </c>
      <c r="K54" s="707">
        <f>0</f>
        <v>0</v>
      </c>
      <c r="L54" s="707">
        <f>0</f>
        <v>0</v>
      </c>
      <c r="M54" s="707">
        <f>0</f>
        <v>0</v>
      </c>
      <c r="N54" s="707">
        <f>0</f>
        <v>0</v>
      </c>
      <c r="O54" s="707">
        <f>0</f>
        <v>0</v>
      </c>
      <c r="P54" s="707">
        <f>(SUM(C54:O54))/13</f>
        <v>0</v>
      </c>
    </row>
    <row r="55" spans="1:16">
      <c r="A55" s="37">
        <f t="shared" si="0"/>
        <v>44</v>
      </c>
      <c r="B55" s="184"/>
    </row>
    <row r="56" spans="1:16">
      <c r="A56" s="37">
        <f t="shared" si="0"/>
        <v>45</v>
      </c>
      <c r="B56" s="184" t="s">
        <v>1132</v>
      </c>
      <c r="C56" s="707">
        <f>0</f>
        <v>0</v>
      </c>
      <c r="D56" s="707">
        <f>0</f>
        <v>0</v>
      </c>
      <c r="E56" s="707">
        <f>0</f>
        <v>0</v>
      </c>
      <c r="F56" s="707">
        <f>0</f>
        <v>0</v>
      </c>
      <c r="G56" s="707">
        <f>0</f>
        <v>0</v>
      </c>
      <c r="H56" s="707">
        <f>0</f>
        <v>0</v>
      </c>
      <c r="I56" s="707">
        <f>0</f>
        <v>0</v>
      </c>
      <c r="J56" s="707">
        <f>0</f>
        <v>0</v>
      </c>
      <c r="K56" s="707">
        <f>0</f>
        <v>0</v>
      </c>
      <c r="L56" s="707">
        <f>0</f>
        <v>0</v>
      </c>
      <c r="M56" s="707">
        <f>0</f>
        <v>0</v>
      </c>
      <c r="N56" s="707">
        <f>0</f>
        <v>0</v>
      </c>
      <c r="O56" s="707">
        <f>0</f>
        <v>0</v>
      </c>
      <c r="P56" s="707">
        <f>(SUM(C56:O56))/13</f>
        <v>0</v>
      </c>
    </row>
    <row r="61" spans="1:16">
      <c r="B61" t="s">
        <v>492</v>
      </c>
    </row>
    <row r="62" spans="1:16">
      <c r="B62" t="s">
        <v>1532</v>
      </c>
    </row>
    <row r="63" spans="1:16">
      <c r="B63" t="s">
        <v>1666</v>
      </c>
    </row>
    <row r="64" spans="1:16">
      <c r="B64" t="s">
        <v>1614</v>
      </c>
    </row>
    <row r="65" spans="3:3">
      <c r="C65" s="329"/>
    </row>
    <row r="66" spans="3:3">
      <c r="C66" s="329"/>
    </row>
  </sheetData>
  <mergeCells count="4">
    <mergeCell ref="A1:P1"/>
    <mergeCell ref="A2:P2"/>
    <mergeCell ref="A3:P3"/>
    <mergeCell ref="A4:P4"/>
  </mergeCells>
  <phoneticPr fontId="20" type="noConversion"/>
  <pageMargins left="0.56000000000000005" right="0.47" top="1" bottom="1" header="0.5" footer="0.5"/>
  <pageSetup scale="48" orientation="landscape" r:id="rId1"/>
  <headerFooter alignWithMargins="0">
    <oddFooter>&amp;R&amp;A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  <pageSetUpPr fitToPage="1"/>
  </sheetPr>
  <dimension ref="A1:R64"/>
  <sheetViews>
    <sheetView view="pageBreakPreview" topLeftCell="A23" zoomScale="80" zoomScaleNormal="100" zoomScaleSheetLayoutView="80" workbookViewId="0">
      <selection activeCell="B63" sqref="B63:B64"/>
    </sheetView>
  </sheetViews>
  <sheetFormatPr defaultColWidth="8.88671875" defaultRowHeight="15"/>
  <cols>
    <col min="1" max="1" width="4.33203125" bestFit="1" customWidth="1"/>
    <col min="2" max="2" width="44.21875" customWidth="1"/>
    <col min="3" max="3" width="12.5546875" bestFit="1" customWidth="1"/>
    <col min="4" max="4" width="12.6640625" bestFit="1" customWidth="1"/>
    <col min="5" max="7" width="12" bestFit="1" customWidth="1"/>
    <col min="8" max="8" width="12.44140625" customWidth="1"/>
    <col min="9" max="14" width="12" bestFit="1" customWidth="1"/>
    <col min="15" max="15" width="12.5546875" bestFit="1" customWidth="1"/>
    <col min="16" max="16" width="12" bestFit="1" customWidth="1"/>
    <col min="17" max="17" width="10.44140625" bestFit="1" customWidth="1"/>
    <col min="18" max="18" width="12" customWidth="1"/>
  </cols>
  <sheetData>
    <row r="1" spans="1:18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</row>
    <row r="2" spans="1:18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</row>
    <row r="3" spans="1:18">
      <c r="A3" s="1057" t="str">
        <f>'Table of Contents'!A4:C4</f>
        <v>Forecasted Test Period:  Twelve Months Ended March 31, 2026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1057"/>
      <c r="P3" s="1057"/>
    </row>
    <row r="4" spans="1:18">
      <c r="A4" s="1053" t="s">
        <v>107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053"/>
    </row>
    <row r="6" spans="1:18" s="1" customFormat="1">
      <c r="A6" s="699" t="str">
        <f>'B.1 B'!A6</f>
        <v>Data:__X___Base Period______Forecasted Period</v>
      </c>
      <c r="B6" s="4"/>
      <c r="P6" s="286" t="s">
        <v>1335</v>
      </c>
      <c r="Q6" s="536"/>
    </row>
    <row r="7" spans="1:18" s="1" customFormat="1">
      <c r="A7" s="699" t="str">
        <f>'B.1 B'!A7</f>
        <v>Type of Filing:___X____Original________Updated ________Revised</v>
      </c>
      <c r="C7" s="4"/>
      <c r="P7" s="181" t="s">
        <v>1648</v>
      </c>
      <c r="Q7" s="536"/>
    </row>
    <row r="8" spans="1:18" s="1" customFormat="1">
      <c r="A8" s="717" t="str">
        <f>'B.1 B'!A8</f>
        <v>Workpaper Reference No(s).</v>
      </c>
      <c r="B8" s="6"/>
      <c r="C8" s="6"/>
      <c r="D8" s="6"/>
      <c r="E8" s="6"/>
      <c r="F8" s="6"/>
      <c r="G8" s="28"/>
      <c r="H8" s="28"/>
      <c r="I8" s="6"/>
      <c r="J8" s="6"/>
      <c r="K8" s="28"/>
      <c r="L8" s="6"/>
      <c r="M8" s="28"/>
      <c r="N8" s="28"/>
      <c r="O8" s="28"/>
      <c r="P8" s="1042" t="str">
        <f>+'B.5 B'!L8</f>
        <v>Witness: Waller, Multer</v>
      </c>
      <c r="Q8" s="1040"/>
    </row>
    <row r="10" spans="1:18">
      <c r="A10" t="s">
        <v>88</v>
      </c>
      <c r="C10" s="37" t="s">
        <v>41</v>
      </c>
      <c r="D10" s="37" t="s">
        <v>41</v>
      </c>
      <c r="E10" s="37" t="s">
        <v>41</v>
      </c>
      <c r="F10" s="37" t="s">
        <v>41</v>
      </c>
      <c r="G10" s="37" t="s">
        <v>41</v>
      </c>
      <c r="H10" s="37" t="s">
        <v>41</v>
      </c>
      <c r="I10" s="37" t="s">
        <v>41</v>
      </c>
      <c r="J10" s="37" t="s">
        <v>41</v>
      </c>
      <c r="K10" s="37" t="s">
        <v>41</v>
      </c>
      <c r="L10" s="37" t="s">
        <v>41</v>
      </c>
      <c r="M10" s="37" t="s">
        <v>41</v>
      </c>
      <c r="N10" s="37" t="s">
        <v>41</v>
      </c>
      <c r="O10" s="37" t="s">
        <v>41</v>
      </c>
      <c r="P10" s="37" t="s">
        <v>43</v>
      </c>
    </row>
    <row r="11" spans="1:18">
      <c r="A11" s="36" t="s">
        <v>94</v>
      </c>
      <c r="B11" s="36" t="s">
        <v>949</v>
      </c>
      <c r="C11" s="773">
        <f>O11-365</f>
        <v>45717</v>
      </c>
      <c r="D11" s="774">
        <f>'C.2.2-F 09'!D10</f>
        <v>45748</v>
      </c>
      <c r="E11" s="774">
        <f>'C.2.2-F 09'!E10</f>
        <v>45778</v>
      </c>
      <c r="F11" s="774">
        <f>'C.2.2-F 09'!F10</f>
        <v>45809</v>
      </c>
      <c r="G11" s="774">
        <f>'C.2.2-F 09'!G10</f>
        <v>45839</v>
      </c>
      <c r="H11" s="774">
        <f>'C.2.2-F 09'!H10</f>
        <v>45870</v>
      </c>
      <c r="I11" s="774">
        <f>'C.2.2-F 09'!I10</f>
        <v>45901</v>
      </c>
      <c r="J11" s="774">
        <f>'C.2.2-F 09'!J10</f>
        <v>45931</v>
      </c>
      <c r="K11" s="774">
        <f>'C.2.2-F 09'!K10</f>
        <v>45962</v>
      </c>
      <c r="L11" s="774">
        <f>'C.2.2-F 09'!L10</f>
        <v>45992</v>
      </c>
      <c r="M11" s="774">
        <f>'C.2.2-F 09'!M10</f>
        <v>46023</v>
      </c>
      <c r="N11" s="774">
        <f>'C.2.2-F 09'!N10</f>
        <v>46054</v>
      </c>
      <c r="O11" s="774">
        <f>'C.2.2-F 09'!O10</f>
        <v>46082</v>
      </c>
      <c r="P11" s="41" t="s">
        <v>93</v>
      </c>
      <c r="Q11" s="329"/>
      <c r="R11" s="329"/>
    </row>
    <row r="13" spans="1:18" ht="15.75">
      <c r="A13" s="37">
        <v>1</v>
      </c>
      <c r="B13" s="295" t="s">
        <v>258</v>
      </c>
    </row>
    <row r="14" spans="1:18">
      <c r="A14" s="37">
        <f>+A13+1</f>
        <v>2</v>
      </c>
      <c r="B14" s="48"/>
    </row>
    <row r="15" spans="1:18">
      <c r="A15" s="37">
        <f t="shared" ref="A15:A57" si="0">+A14+1</f>
        <v>3</v>
      </c>
      <c r="B15" s="48" t="s">
        <v>1129</v>
      </c>
    </row>
    <row r="16" spans="1:18">
      <c r="A16" s="37">
        <f t="shared" si="0"/>
        <v>4</v>
      </c>
      <c r="B16" s="184" t="s">
        <v>487</v>
      </c>
      <c r="C16" s="720">
        <v>0</v>
      </c>
      <c r="D16" s="720">
        <v>0</v>
      </c>
      <c r="E16" s="720">
        <v>0</v>
      </c>
      <c r="F16" s="720">
        <v>0</v>
      </c>
      <c r="G16" s="720">
        <v>0</v>
      </c>
      <c r="H16" s="720">
        <v>0</v>
      </c>
      <c r="I16" s="720">
        <v>0</v>
      </c>
      <c r="J16" s="720">
        <v>0</v>
      </c>
      <c r="K16" s="720">
        <v>0</v>
      </c>
      <c r="L16" s="720">
        <v>0</v>
      </c>
      <c r="M16" s="720">
        <v>0</v>
      </c>
      <c r="N16" s="720">
        <v>0</v>
      </c>
      <c r="O16" s="720">
        <v>0</v>
      </c>
    </row>
    <row r="17" spans="1:18">
      <c r="A17" s="37">
        <f t="shared" si="0"/>
        <v>5</v>
      </c>
      <c r="B17" s="184" t="s">
        <v>1590</v>
      </c>
      <c r="C17" s="720">
        <v>0</v>
      </c>
      <c r="D17" s="720">
        <v>0</v>
      </c>
      <c r="E17" s="720">
        <v>0</v>
      </c>
      <c r="F17" s="720">
        <v>0</v>
      </c>
      <c r="G17" s="720">
        <v>0</v>
      </c>
      <c r="H17" s="72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0</v>
      </c>
      <c r="R17" s="375"/>
    </row>
    <row r="18" spans="1:18">
      <c r="A18" s="37">
        <f t="shared" si="0"/>
        <v>6</v>
      </c>
      <c r="B18" s="184" t="s">
        <v>488</v>
      </c>
      <c r="C18" s="709">
        <v>-29509.686666666672</v>
      </c>
      <c r="D18" s="709">
        <v>-29509.686666666672</v>
      </c>
      <c r="E18" s="709">
        <v>-29509.686666666672</v>
      </c>
      <c r="F18" s="709">
        <v>-29509.686666666672</v>
      </c>
      <c r="G18" s="709">
        <v>-29509.686666666672</v>
      </c>
      <c r="H18" s="709">
        <v>-29509.686666666672</v>
      </c>
      <c r="I18" s="709">
        <v>-29509.686666666672</v>
      </c>
      <c r="J18" s="709">
        <v>-29509.686666666672</v>
      </c>
      <c r="K18" s="709">
        <v>-29509.686666666672</v>
      </c>
      <c r="L18" s="709">
        <v>-29509.686666666672</v>
      </c>
      <c r="M18" s="709">
        <v>-29509.686666666672</v>
      </c>
      <c r="N18" s="709">
        <v>-29509.686666666672</v>
      </c>
      <c r="O18" s="709">
        <v>-29509.686666666672</v>
      </c>
    </row>
    <row r="19" spans="1:18">
      <c r="A19" s="37">
        <f t="shared" si="0"/>
        <v>7</v>
      </c>
      <c r="B19" s="165" t="s">
        <v>489</v>
      </c>
      <c r="C19" s="775">
        <f>SUM(C16:C18)</f>
        <v>-29509.686666666672</v>
      </c>
      <c r="D19" s="775">
        <f t="shared" ref="D19:O19" si="1">SUM(D16:D18)</f>
        <v>-29509.686666666672</v>
      </c>
      <c r="E19" s="775">
        <f t="shared" si="1"/>
        <v>-29509.686666666672</v>
      </c>
      <c r="F19" s="775">
        <f t="shared" si="1"/>
        <v>-29509.686666666672</v>
      </c>
      <c r="G19" s="775">
        <f t="shared" si="1"/>
        <v>-29509.686666666672</v>
      </c>
      <c r="H19" s="775">
        <f t="shared" si="1"/>
        <v>-29509.686666666672</v>
      </c>
      <c r="I19" s="775">
        <f t="shared" si="1"/>
        <v>-29509.686666666672</v>
      </c>
      <c r="J19" s="775">
        <f t="shared" si="1"/>
        <v>-29509.686666666672</v>
      </c>
      <c r="K19" s="775">
        <f t="shared" si="1"/>
        <v>-29509.686666666672</v>
      </c>
      <c r="L19" s="775">
        <f t="shared" si="1"/>
        <v>-29509.686666666672</v>
      </c>
      <c r="M19" s="775">
        <f t="shared" si="1"/>
        <v>-29509.686666666672</v>
      </c>
      <c r="N19" s="775">
        <f t="shared" si="1"/>
        <v>-29509.686666666672</v>
      </c>
      <c r="O19" s="775">
        <f t="shared" si="1"/>
        <v>-29509.686666666672</v>
      </c>
      <c r="P19" s="707">
        <f>(SUM(C19:O19))/13</f>
        <v>-29509.686666666665</v>
      </c>
    </row>
    <row r="20" spans="1:18">
      <c r="A20" s="37">
        <f t="shared" si="0"/>
        <v>8</v>
      </c>
      <c r="B20" s="184"/>
    </row>
    <row r="21" spans="1:18">
      <c r="A21" s="37">
        <f t="shared" si="0"/>
        <v>9</v>
      </c>
      <c r="B21" s="184" t="s">
        <v>1130</v>
      </c>
    </row>
    <row r="22" spans="1:18">
      <c r="A22" s="37">
        <f t="shared" si="0"/>
        <v>10</v>
      </c>
      <c r="B22" s="184" t="s">
        <v>487</v>
      </c>
      <c r="C22" s="720">
        <v>874966.16500000004</v>
      </c>
      <c r="D22" s="720">
        <v>874966.16500000004</v>
      </c>
      <c r="E22" s="720">
        <v>874966.16500000004</v>
      </c>
      <c r="F22" s="720">
        <v>874966.16500000004</v>
      </c>
      <c r="G22" s="720">
        <v>874966.16500000004</v>
      </c>
      <c r="H22" s="720">
        <v>874966.16500000004</v>
      </c>
      <c r="I22" s="720">
        <v>874966.16500000004</v>
      </c>
      <c r="J22" s="720">
        <v>874966.16500000004</v>
      </c>
      <c r="K22" s="720">
        <v>874966.16500000004</v>
      </c>
      <c r="L22" s="720">
        <v>874966.16500000004</v>
      </c>
      <c r="M22" s="720">
        <v>874966.16500000004</v>
      </c>
      <c r="N22" s="720">
        <v>874966.16500000004</v>
      </c>
      <c r="O22" s="720">
        <v>874966.16500000004</v>
      </c>
    </row>
    <row r="23" spans="1:18">
      <c r="A23" s="37">
        <f t="shared" si="0"/>
        <v>11</v>
      </c>
      <c r="B23" s="184" t="s">
        <v>1590</v>
      </c>
      <c r="C23" s="720">
        <v>0</v>
      </c>
      <c r="D23" s="720">
        <v>0</v>
      </c>
      <c r="E23" s="720">
        <v>0</v>
      </c>
      <c r="F23" s="720">
        <v>0</v>
      </c>
      <c r="G23" s="720">
        <v>0</v>
      </c>
      <c r="H23" s="72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0</v>
      </c>
      <c r="R23" s="375"/>
    </row>
    <row r="24" spans="1:18">
      <c r="A24" s="37">
        <f t="shared" si="0"/>
        <v>12</v>
      </c>
      <c r="B24" s="184" t="s">
        <v>488</v>
      </c>
      <c r="C24" s="709">
        <v>225558.75666666668</v>
      </c>
      <c r="D24" s="709">
        <v>225558.75666666668</v>
      </c>
      <c r="E24" s="709">
        <v>225558.75666666668</v>
      </c>
      <c r="F24" s="709">
        <v>225558.75666666668</v>
      </c>
      <c r="G24" s="709">
        <v>225558.75666666668</v>
      </c>
      <c r="H24" s="709">
        <v>225558.75666666668</v>
      </c>
      <c r="I24" s="709">
        <v>225558.75666666668</v>
      </c>
      <c r="J24" s="709">
        <v>225558.75666666668</v>
      </c>
      <c r="K24" s="709">
        <v>225558.75666666668</v>
      </c>
      <c r="L24" s="709">
        <v>225558.75666666668</v>
      </c>
      <c r="M24" s="709">
        <v>225558.75666666668</v>
      </c>
      <c r="N24" s="709">
        <v>225558.75666666668</v>
      </c>
      <c r="O24" s="709">
        <v>225558.75666666668</v>
      </c>
    </row>
    <row r="25" spans="1:18">
      <c r="A25" s="37">
        <f t="shared" si="0"/>
        <v>13</v>
      </c>
      <c r="B25" s="165" t="s">
        <v>489</v>
      </c>
      <c r="C25" s="775">
        <f>SUM(C22:C24)</f>
        <v>1100524.9216666666</v>
      </c>
      <c r="D25" s="775">
        <f t="shared" ref="D25:O25" si="2">SUM(D22:D24)</f>
        <v>1100524.9216666666</v>
      </c>
      <c r="E25" s="775">
        <f t="shared" si="2"/>
        <v>1100524.9216666666</v>
      </c>
      <c r="F25" s="775">
        <f t="shared" si="2"/>
        <v>1100524.9216666666</v>
      </c>
      <c r="G25" s="775">
        <f t="shared" si="2"/>
        <v>1100524.9216666666</v>
      </c>
      <c r="H25" s="775">
        <f t="shared" si="2"/>
        <v>1100524.9216666666</v>
      </c>
      <c r="I25" s="775">
        <f t="shared" si="2"/>
        <v>1100524.9216666666</v>
      </c>
      <c r="J25" s="775">
        <f t="shared" si="2"/>
        <v>1100524.9216666666</v>
      </c>
      <c r="K25" s="775">
        <f t="shared" si="2"/>
        <v>1100524.9216666666</v>
      </c>
      <c r="L25" s="775">
        <f>SUM(L22:L24)</f>
        <v>1100524.9216666666</v>
      </c>
      <c r="M25" s="775">
        <f t="shared" si="2"/>
        <v>1100524.9216666666</v>
      </c>
      <c r="N25" s="775">
        <f t="shared" si="2"/>
        <v>1100524.9216666666</v>
      </c>
      <c r="O25" s="775">
        <f t="shared" si="2"/>
        <v>1100524.9216666666</v>
      </c>
      <c r="P25" s="707">
        <f>(SUM(C25:O25))/13</f>
        <v>1100524.9216666666</v>
      </c>
    </row>
    <row r="26" spans="1:18">
      <c r="A26" s="37">
        <f t="shared" si="0"/>
        <v>14</v>
      </c>
      <c r="B26" s="184"/>
    </row>
    <row r="27" spans="1:18">
      <c r="A27" s="37">
        <f t="shared" si="0"/>
        <v>15</v>
      </c>
      <c r="B27" s="184" t="s">
        <v>1131</v>
      </c>
    </row>
    <row r="28" spans="1:18">
      <c r="A28" s="37">
        <f t="shared" si="0"/>
        <v>16</v>
      </c>
      <c r="B28" s="184" t="s">
        <v>487</v>
      </c>
      <c r="C28" s="776">
        <v>0</v>
      </c>
      <c r="D28" s="776">
        <v>0</v>
      </c>
      <c r="E28" s="776">
        <v>0</v>
      </c>
      <c r="F28" s="776">
        <v>0</v>
      </c>
      <c r="G28" s="776">
        <v>0</v>
      </c>
      <c r="H28" s="776">
        <v>0</v>
      </c>
      <c r="I28" s="776">
        <v>0</v>
      </c>
      <c r="J28" s="776">
        <v>0</v>
      </c>
      <c r="K28" s="776">
        <v>0</v>
      </c>
      <c r="L28" s="776">
        <v>0</v>
      </c>
      <c r="M28" s="776">
        <v>0</v>
      </c>
      <c r="N28" s="776">
        <v>0</v>
      </c>
      <c r="O28" s="776">
        <v>0</v>
      </c>
    </row>
    <row r="29" spans="1:18">
      <c r="A29" s="37">
        <f t="shared" si="0"/>
        <v>17</v>
      </c>
      <c r="B29" s="184" t="s">
        <v>1590</v>
      </c>
      <c r="C29" s="720">
        <v>312923.47833333333</v>
      </c>
      <c r="D29" s="720">
        <v>312923.47833333333</v>
      </c>
      <c r="E29" s="720">
        <v>312923.47833333333</v>
      </c>
      <c r="F29" s="720">
        <v>312923.47833333333</v>
      </c>
      <c r="G29" s="720">
        <v>312923.47833333333</v>
      </c>
      <c r="H29" s="720">
        <v>312923.47833333333</v>
      </c>
      <c r="I29" s="720">
        <v>312923.47833333333</v>
      </c>
      <c r="J29" s="720">
        <v>312923.47833333333</v>
      </c>
      <c r="K29" s="720">
        <v>312923.47833333333</v>
      </c>
      <c r="L29" s="720">
        <v>312923.47833333333</v>
      </c>
      <c r="M29" s="720">
        <v>312923.47833333333</v>
      </c>
      <c r="N29" s="720">
        <v>312923.47833333333</v>
      </c>
      <c r="O29" s="720">
        <v>312923.47833333333</v>
      </c>
      <c r="R29" s="375"/>
    </row>
    <row r="30" spans="1:18">
      <c r="A30" s="37">
        <f t="shared" si="0"/>
        <v>18</v>
      </c>
      <c r="B30" s="184" t="s">
        <v>488</v>
      </c>
      <c r="C30" s="709">
        <v>1.6666666585175942E-3</v>
      </c>
      <c r="D30" s="709">
        <v>1.6666666585175942E-3</v>
      </c>
      <c r="E30" s="709">
        <v>1.6666666585175942E-3</v>
      </c>
      <c r="F30" s="709">
        <v>1.6666666585175942E-3</v>
      </c>
      <c r="G30" s="709">
        <v>1.6666666585175942E-3</v>
      </c>
      <c r="H30" s="709">
        <v>1.6666666585175942E-3</v>
      </c>
      <c r="I30" s="709">
        <v>1.6666666585175942E-3</v>
      </c>
      <c r="J30" s="709">
        <v>1.6666666585175942E-3</v>
      </c>
      <c r="K30" s="709">
        <v>1.6666666585175942E-3</v>
      </c>
      <c r="L30" s="709">
        <v>1.6666666585175942E-3</v>
      </c>
      <c r="M30" s="709">
        <v>1.6666666585175942E-3</v>
      </c>
      <c r="N30" s="709">
        <v>1.6666666585175942E-3</v>
      </c>
      <c r="O30" s="709">
        <v>1.6666666585175942E-3</v>
      </c>
    </row>
    <row r="31" spans="1:18">
      <c r="A31" s="37">
        <f t="shared" si="0"/>
        <v>19</v>
      </c>
      <c r="B31" s="165" t="s">
        <v>489</v>
      </c>
      <c r="C31" s="775">
        <f t="shared" ref="C31:O31" si="3">SUM(C28:C30)</f>
        <v>312923.48</v>
      </c>
      <c r="D31" s="775">
        <f t="shared" si="3"/>
        <v>312923.48</v>
      </c>
      <c r="E31" s="775">
        <f t="shared" si="3"/>
        <v>312923.48</v>
      </c>
      <c r="F31" s="775">
        <f t="shared" si="3"/>
        <v>312923.48</v>
      </c>
      <c r="G31" s="775">
        <f t="shared" si="3"/>
        <v>312923.48</v>
      </c>
      <c r="H31" s="775">
        <f t="shared" si="3"/>
        <v>312923.48</v>
      </c>
      <c r="I31" s="775">
        <f t="shared" si="3"/>
        <v>312923.48</v>
      </c>
      <c r="J31" s="775">
        <f t="shared" si="3"/>
        <v>312923.48</v>
      </c>
      <c r="K31" s="775">
        <f t="shared" si="3"/>
        <v>312923.48</v>
      </c>
      <c r="L31" s="775">
        <f t="shared" si="3"/>
        <v>312923.48</v>
      </c>
      <c r="M31" s="775">
        <f t="shared" si="3"/>
        <v>312923.48</v>
      </c>
      <c r="N31" s="775">
        <f t="shared" si="3"/>
        <v>312923.48</v>
      </c>
      <c r="O31" s="775">
        <f t="shared" si="3"/>
        <v>312923.48</v>
      </c>
      <c r="P31" s="707">
        <f>(SUM(C31:O31))/13</f>
        <v>312923.48</v>
      </c>
    </row>
    <row r="32" spans="1:18">
      <c r="A32" s="37">
        <f t="shared" si="0"/>
        <v>20</v>
      </c>
      <c r="B32" s="184"/>
    </row>
    <row r="33" spans="1:18">
      <c r="A33" s="37">
        <f t="shared" si="0"/>
        <v>21</v>
      </c>
      <c r="B33" s="184" t="s">
        <v>1132</v>
      </c>
    </row>
    <row r="34" spans="1:18">
      <c r="A34" s="37">
        <f t="shared" si="0"/>
        <v>22</v>
      </c>
      <c r="B34" s="184" t="s">
        <v>487</v>
      </c>
      <c r="C34" s="776">
        <v>0</v>
      </c>
      <c r="D34" s="776">
        <v>0</v>
      </c>
      <c r="E34" s="776">
        <v>0</v>
      </c>
      <c r="F34" s="776">
        <v>0</v>
      </c>
      <c r="G34" s="776">
        <v>0</v>
      </c>
      <c r="H34" s="776">
        <v>0</v>
      </c>
      <c r="I34" s="776">
        <v>0</v>
      </c>
      <c r="J34" s="776">
        <v>0</v>
      </c>
      <c r="K34" s="776">
        <v>0</v>
      </c>
      <c r="L34" s="776">
        <v>0</v>
      </c>
      <c r="M34" s="776">
        <v>0</v>
      </c>
      <c r="N34" s="776">
        <v>0</v>
      </c>
      <c r="O34" s="776">
        <v>0</v>
      </c>
    </row>
    <row r="35" spans="1:18">
      <c r="A35" s="37">
        <f t="shared" si="0"/>
        <v>23</v>
      </c>
      <c r="B35" s="184" t="s">
        <v>1590</v>
      </c>
      <c r="C35" s="720">
        <v>0</v>
      </c>
      <c r="D35" s="720">
        <v>0</v>
      </c>
      <c r="E35" s="720">
        <v>0</v>
      </c>
      <c r="F35" s="720">
        <v>0</v>
      </c>
      <c r="G35" s="720">
        <v>0</v>
      </c>
      <c r="H35" s="720">
        <v>0</v>
      </c>
      <c r="I35" s="720">
        <v>0</v>
      </c>
      <c r="J35" s="720">
        <v>0</v>
      </c>
      <c r="K35" s="720">
        <v>0</v>
      </c>
      <c r="L35" s="720">
        <v>0</v>
      </c>
      <c r="M35" s="720">
        <v>0</v>
      </c>
      <c r="N35" s="720">
        <v>0</v>
      </c>
      <c r="O35" s="720">
        <v>0</v>
      </c>
      <c r="R35" s="375"/>
    </row>
    <row r="36" spans="1:18">
      <c r="A36" s="37">
        <f t="shared" si="0"/>
        <v>24</v>
      </c>
      <c r="B36" s="184" t="s">
        <v>488</v>
      </c>
      <c r="C36" s="709">
        <v>0</v>
      </c>
      <c r="D36" s="709">
        <v>0</v>
      </c>
      <c r="E36" s="709">
        <v>0</v>
      </c>
      <c r="F36" s="709">
        <v>0</v>
      </c>
      <c r="G36" s="709">
        <v>0</v>
      </c>
      <c r="H36" s="709">
        <v>0</v>
      </c>
      <c r="I36" s="709">
        <v>0</v>
      </c>
      <c r="J36" s="709">
        <v>0</v>
      </c>
      <c r="K36" s="709">
        <v>0</v>
      </c>
      <c r="L36" s="709">
        <v>0</v>
      </c>
      <c r="M36" s="709">
        <v>0</v>
      </c>
      <c r="N36" s="709">
        <v>0</v>
      </c>
      <c r="O36" s="709">
        <v>0</v>
      </c>
    </row>
    <row r="37" spans="1:18">
      <c r="A37" s="37">
        <f t="shared" si="0"/>
        <v>25</v>
      </c>
      <c r="B37" s="165" t="s">
        <v>489</v>
      </c>
      <c r="C37" s="775">
        <f>SUM(C34:C36)</f>
        <v>0</v>
      </c>
      <c r="D37" s="775">
        <f t="shared" ref="D37:O37" si="4">SUM(D34:D36)</f>
        <v>0</v>
      </c>
      <c r="E37" s="775">
        <f t="shared" si="4"/>
        <v>0</v>
      </c>
      <c r="F37" s="775">
        <f t="shared" si="4"/>
        <v>0</v>
      </c>
      <c r="G37" s="775">
        <f t="shared" si="4"/>
        <v>0</v>
      </c>
      <c r="H37" s="775">
        <f t="shared" si="4"/>
        <v>0</v>
      </c>
      <c r="I37" s="775">
        <f t="shared" si="4"/>
        <v>0</v>
      </c>
      <c r="J37" s="775">
        <f t="shared" si="4"/>
        <v>0</v>
      </c>
      <c r="K37" s="775">
        <f t="shared" si="4"/>
        <v>0</v>
      </c>
      <c r="L37" s="775">
        <f t="shared" si="4"/>
        <v>0</v>
      </c>
      <c r="M37" s="775">
        <f t="shared" si="4"/>
        <v>0</v>
      </c>
      <c r="N37" s="775">
        <f t="shared" si="4"/>
        <v>0</v>
      </c>
      <c r="O37" s="775">
        <f t="shared" si="4"/>
        <v>0</v>
      </c>
      <c r="P37" s="707">
        <f>(SUM(C37:O37))/13</f>
        <v>0</v>
      </c>
    </row>
    <row r="38" spans="1:18">
      <c r="A38" s="37">
        <f t="shared" si="0"/>
        <v>26</v>
      </c>
      <c r="B38" s="184"/>
    </row>
    <row r="39" spans="1:18" ht="15.75">
      <c r="A39" s="37">
        <f t="shared" si="0"/>
        <v>27</v>
      </c>
      <c r="B39" s="295" t="s">
        <v>490</v>
      </c>
    </row>
    <row r="40" spans="1:18">
      <c r="A40" s="37">
        <f t="shared" si="0"/>
        <v>28</v>
      </c>
      <c r="B40" s="45"/>
      <c r="R40" s="329"/>
    </row>
    <row r="41" spans="1:18">
      <c r="A41" s="37">
        <f t="shared" si="0"/>
        <v>29</v>
      </c>
      <c r="B41" s="184" t="s">
        <v>1129</v>
      </c>
      <c r="C41" s="720">
        <v>-4613646.6663560867</v>
      </c>
      <c r="D41" s="720">
        <v>-866643.16166107729</v>
      </c>
      <c r="E41" s="720">
        <v>2940314.2197972145</v>
      </c>
      <c r="F41" s="720">
        <v>6942440.6043359758</v>
      </c>
      <c r="G41" s="720">
        <v>11158870.20794349</v>
      </c>
      <c r="H41" s="720">
        <v>15380402.269147879</v>
      </c>
      <c r="I41" s="720">
        <v>19682298.037503045</v>
      </c>
      <c r="J41" s="720">
        <v>24334987.765643377</v>
      </c>
      <c r="K41" s="720">
        <v>21164722.166493595</v>
      </c>
      <c r="L41" s="720">
        <v>15918588.602850724</v>
      </c>
      <c r="M41" s="720">
        <v>10013766.597925214</v>
      </c>
      <c r="N41" s="720">
        <v>2119079.8261730745</v>
      </c>
      <c r="O41" s="720">
        <v>-4797385.2125037136</v>
      </c>
      <c r="P41" s="707">
        <f>(SUM(C41:O41))/13</f>
        <v>9182907.3274840545</v>
      </c>
      <c r="R41" s="329"/>
    </row>
    <row r="42" spans="1:18">
      <c r="A42" s="37">
        <f t="shared" si="0"/>
        <v>30</v>
      </c>
      <c r="B42" s="184"/>
      <c r="K42" s="203"/>
      <c r="L42" s="203"/>
      <c r="M42" s="203"/>
      <c r="N42" s="203"/>
      <c r="O42" s="203"/>
    </row>
    <row r="43" spans="1:18">
      <c r="A43" s="37">
        <f t="shared" si="0"/>
        <v>31</v>
      </c>
      <c r="B43" s="184" t="s">
        <v>1130</v>
      </c>
      <c r="C43" s="203">
        <v>0</v>
      </c>
      <c r="D43" s="203">
        <v>0</v>
      </c>
      <c r="E43" s="203">
        <v>0</v>
      </c>
      <c r="F43" s="203">
        <v>0</v>
      </c>
      <c r="G43" s="203">
        <v>0</v>
      </c>
      <c r="H43" s="203">
        <v>0</v>
      </c>
      <c r="I43" s="203">
        <v>0</v>
      </c>
      <c r="J43" s="203">
        <v>0</v>
      </c>
      <c r="K43" s="203">
        <v>0</v>
      </c>
      <c r="L43" s="203">
        <v>0</v>
      </c>
      <c r="M43" s="203">
        <v>0</v>
      </c>
      <c r="N43" s="203">
        <v>0</v>
      </c>
      <c r="O43" s="203">
        <v>0</v>
      </c>
      <c r="P43" s="707">
        <f>(SUM(C43:O43))/13</f>
        <v>0</v>
      </c>
    </row>
    <row r="44" spans="1:18">
      <c r="A44" s="37">
        <f t="shared" si="0"/>
        <v>32</v>
      </c>
      <c r="B44" s="184"/>
    </row>
    <row r="45" spans="1:18">
      <c r="A45" s="37">
        <f t="shared" si="0"/>
        <v>33</v>
      </c>
      <c r="B45" s="184" t="s">
        <v>1131</v>
      </c>
      <c r="C45" s="203">
        <v>0</v>
      </c>
      <c r="D45" s="203">
        <v>0</v>
      </c>
      <c r="E45" s="203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707">
        <f>(SUM(C45:O45))/13</f>
        <v>0</v>
      </c>
    </row>
    <row r="46" spans="1:18">
      <c r="A46" s="37">
        <f t="shared" si="0"/>
        <v>34</v>
      </c>
      <c r="B46" s="184"/>
    </row>
    <row r="47" spans="1:18">
      <c r="A47" s="37">
        <f t="shared" si="0"/>
        <v>35</v>
      </c>
      <c r="B47" s="184" t="s">
        <v>1132</v>
      </c>
      <c r="C47" s="203">
        <v>0</v>
      </c>
      <c r="D47" s="203">
        <v>0</v>
      </c>
      <c r="E47" s="203">
        <v>0</v>
      </c>
      <c r="F47" s="203">
        <v>0</v>
      </c>
      <c r="G47" s="203">
        <v>0</v>
      </c>
      <c r="H47" s="203">
        <v>0</v>
      </c>
      <c r="I47" s="203">
        <v>0</v>
      </c>
      <c r="J47" s="203">
        <v>0</v>
      </c>
      <c r="K47" s="203">
        <v>0</v>
      </c>
      <c r="L47" s="203">
        <v>0</v>
      </c>
      <c r="M47" s="203">
        <v>0</v>
      </c>
      <c r="N47" s="203">
        <v>0</v>
      </c>
      <c r="O47" s="203">
        <v>0</v>
      </c>
      <c r="P47" s="707">
        <f>(SUM(C47:O47))/13</f>
        <v>0</v>
      </c>
    </row>
    <row r="48" spans="1:18">
      <c r="A48" s="37">
        <f t="shared" si="0"/>
        <v>36</v>
      </c>
      <c r="B48" s="165"/>
    </row>
    <row r="49" spans="1:16" ht="15.75">
      <c r="A49" s="37">
        <f t="shared" si="0"/>
        <v>37</v>
      </c>
      <c r="B49" s="295" t="s">
        <v>491</v>
      </c>
    </row>
    <row r="50" spans="1:16">
      <c r="A50" s="37">
        <f t="shared" si="0"/>
        <v>38</v>
      </c>
      <c r="B50" s="48"/>
    </row>
    <row r="51" spans="1:16">
      <c r="A51" s="37">
        <f t="shared" si="0"/>
        <v>39</v>
      </c>
      <c r="B51" s="184" t="s">
        <v>1129</v>
      </c>
      <c r="C51" s="707">
        <f>0</f>
        <v>0</v>
      </c>
      <c r="D51" s="707">
        <f>0</f>
        <v>0</v>
      </c>
      <c r="E51" s="707">
        <f>0</f>
        <v>0</v>
      </c>
      <c r="F51" s="707">
        <f>0</f>
        <v>0</v>
      </c>
      <c r="G51" s="707">
        <f>0</f>
        <v>0</v>
      </c>
      <c r="H51" s="707">
        <f>0</f>
        <v>0</v>
      </c>
      <c r="I51" s="707">
        <f>0</f>
        <v>0</v>
      </c>
      <c r="J51" s="707">
        <f>0</f>
        <v>0</v>
      </c>
      <c r="K51" s="707">
        <f>0</f>
        <v>0</v>
      </c>
      <c r="L51" s="707">
        <f>0</f>
        <v>0</v>
      </c>
      <c r="M51" s="707">
        <f>0</f>
        <v>0</v>
      </c>
      <c r="N51" s="707">
        <f>0</f>
        <v>0</v>
      </c>
      <c r="O51" s="707">
        <f>0</f>
        <v>0</v>
      </c>
      <c r="P51" s="707">
        <f>(SUM(C51:O51))/13</f>
        <v>0</v>
      </c>
    </row>
    <row r="52" spans="1:16">
      <c r="A52" s="37">
        <f t="shared" si="0"/>
        <v>40</v>
      </c>
      <c r="B52" s="184"/>
    </row>
    <row r="53" spans="1:16">
      <c r="A53" s="37">
        <f t="shared" si="0"/>
        <v>41</v>
      </c>
      <c r="B53" s="184" t="s">
        <v>1130</v>
      </c>
      <c r="C53" s="707">
        <f>0</f>
        <v>0</v>
      </c>
      <c r="D53" s="707">
        <f>0</f>
        <v>0</v>
      </c>
      <c r="E53" s="707">
        <f>0</f>
        <v>0</v>
      </c>
      <c r="F53" s="707">
        <f>0</f>
        <v>0</v>
      </c>
      <c r="G53" s="707">
        <f>0</f>
        <v>0</v>
      </c>
      <c r="H53" s="707">
        <f>0</f>
        <v>0</v>
      </c>
      <c r="I53" s="707">
        <f>0</f>
        <v>0</v>
      </c>
      <c r="J53" s="707">
        <f>0</f>
        <v>0</v>
      </c>
      <c r="K53" s="707">
        <f>0</f>
        <v>0</v>
      </c>
      <c r="L53" s="707">
        <f>0</f>
        <v>0</v>
      </c>
      <c r="M53" s="707">
        <f>0</f>
        <v>0</v>
      </c>
      <c r="N53" s="707">
        <f>0</f>
        <v>0</v>
      </c>
      <c r="O53" s="707">
        <f>0</f>
        <v>0</v>
      </c>
      <c r="P53" s="707">
        <f>(SUM(C53:O53))/13</f>
        <v>0</v>
      </c>
    </row>
    <row r="54" spans="1:16">
      <c r="A54" s="37">
        <f t="shared" si="0"/>
        <v>42</v>
      </c>
      <c r="B54" s="184"/>
    </row>
    <row r="55" spans="1:16">
      <c r="A55" s="37">
        <f t="shared" si="0"/>
        <v>43</v>
      </c>
      <c r="B55" s="184" t="s">
        <v>1131</v>
      </c>
      <c r="C55" s="707">
        <f>0</f>
        <v>0</v>
      </c>
      <c r="D55" s="707">
        <f>0</f>
        <v>0</v>
      </c>
      <c r="E55" s="707">
        <f>0</f>
        <v>0</v>
      </c>
      <c r="F55" s="707">
        <f>0</f>
        <v>0</v>
      </c>
      <c r="G55" s="707">
        <f>0</f>
        <v>0</v>
      </c>
      <c r="H55" s="707">
        <f>0</f>
        <v>0</v>
      </c>
      <c r="I55" s="707">
        <f>0</f>
        <v>0</v>
      </c>
      <c r="J55" s="707">
        <f>0</f>
        <v>0</v>
      </c>
      <c r="K55" s="707">
        <f>0</f>
        <v>0</v>
      </c>
      <c r="L55" s="707">
        <f>0</f>
        <v>0</v>
      </c>
      <c r="M55" s="707">
        <f>0</f>
        <v>0</v>
      </c>
      <c r="N55" s="707">
        <f>0</f>
        <v>0</v>
      </c>
      <c r="O55" s="707">
        <f>0</f>
        <v>0</v>
      </c>
      <c r="P55" s="707">
        <f>(SUM(C55:O55))/13</f>
        <v>0</v>
      </c>
    </row>
    <row r="56" spans="1:16">
      <c r="A56" s="37">
        <f t="shared" si="0"/>
        <v>44</v>
      </c>
      <c r="B56" s="184"/>
    </row>
    <row r="57" spans="1:16">
      <c r="A57" s="37">
        <f t="shared" si="0"/>
        <v>45</v>
      </c>
      <c r="B57" s="184" t="s">
        <v>1132</v>
      </c>
      <c r="C57" s="777">
        <f>0</f>
        <v>0</v>
      </c>
      <c r="D57" s="777">
        <f>0</f>
        <v>0</v>
      </c>
      <c r="E57" s="777">
        <f>0</f>
        <v>0</v>
      </c>
      <c r="F57" s="777">
        <f>0</f>
        <v>0</v>
      </c>
      <c r="G57" s="777">
        <f>0</f>
        <v>0</v>
      </c>
      <c r="H57" s="777">
        <f>0</f>
        <v>0</v>
      </c>
      <c r="I57" s="777">
        <f>0</f>
        <v>0</v>
      </c>
      <c r="J57" s="777">
        <f>0</f>
        <v>0</v>
      </c>
      <c r="K57" s="777">
        <f>0</f>
        <v>0</v>
      </c>
      <c r="L57" s="777">
        <f>0</f>
        <v>0</v>
      </c>
      <c r="M57" s="777">
        <f>0</f>
        <v>0</v>
      </c>
      <c r="N57" s="777">
        <f>0</f>
        <v>0</v>
      </c>
      <c r="O57" s="777">
        <f>0</f>
        <v>0</v>
      </c>
      <c r="P57" s="707">
        <f>(SUM(C57:O57))/13</f>
        <v>0</v>
      </c>
    </row>
    <row r="61" spans="1:16">
      <c r="L61" t="s">
        <v>314</v>
      </c>
    </row>
    <row r="62" spans="1:16">
      <c r="B62" t="s">
        <v>492</v>
      </c>
      <c r="C62" s="329"/>
    </row>
    <row r="63" spans="1:16">
      <c r="B63" t="s">
        <v>1667</v>
      </c>
      <c r="C63" s="329"/>
    </row>
    <row r="64" spans="1:16">
      <c r="B64" t="s">
        <v>1614</v>
      </c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62" right="0.44" top="1" bottom="1" header="0.5" footer="0.5"/>
  <pageSetup scale="48" orientation="landscape" r:id="rId1"/>
  <headerFooter alignWithMargins="0">
    <oddFooter>&amp;R&amp;A
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92D050"/>
    <pageSetUpPr fitToPage="1"/>
  </sheetPr>
  <dimension ref="A1:R78"/>
  <sheetViews>
    <sheetView view="pageBreakPreview" zoomScale="80" zoomScaleNormal="100" zoomScaleSheetLayoutView="80" workbookViewId="0">
      <selection activeCell="D13" sqref="D13"/>
    </sheetView>
  </sheetViews>
  <sheetFormatPr defaultColWidth="8.44140625" defaultRowHeight="15"/>
  <cols>
    <col min="1" max="1" width="5.77734375" style="1" customWidth="1"/>
    <col min="2" max="2" width="7.109375" style="1" customWidth="1"/>
    <col min="3" max="3" width="48.33203125" style="1" customWidth="1"/>
    <col min="4" max="6" width="14.109375" style="1" bestFit="1" customWidth="1"/>
    <col min="7" max="9" width="13.77734375" style="1" bestFit="1" customWidth="1"/>
    <col min="10" max="10" width="14.6640625" style="1" bestFit="1" customWidth="1"/>
    <col min="11" max="14" width="16.21875" style="1" customWidth="1"/>
    <col min="15" max="16" width="14.6640625" style="1" bestFit="1" customWidth="1"/>
    <col min="17" max="17" width="13.77734375" style="1" customWidth="1"/>
    <col min="18" max="16384" width="8.44140625" style="1"/>
  </cols>
  <sheetData>
    <row r="1" spans="1:18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</row>
    <row r="2" spans="1:18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</row>
    <row r="3" spans="1:18">
      <c r="A3" s="1060" t="s">
        <v>484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375"/>
    </row>
    <row r="4" spans="1:18">
      <c r="A4" s="1059" t="str">
        <f>Allocation!A3</f>
        <v>Base Period: Twelve Months Ended December 31, 2024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</row>
    <row r="5" spans="1:18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8">
      <c r="A6" s="699" t="str">
        <f>'B.1 B'!A6</f>
        <v>Data:__X___Base Period______Forecasted Period</v>
      </c>
      <c r="B6" s="4"/>
      <c r="Q6" s="536" t="s">
        <v>1337</v>
      </c>
    </row>
    <row r="7" spans="1:18">
      <c r="A7" s="699" t="str">
        <f>'B.1 B'!A7</f>
        <v>Type of Filing:___X____Original________Updated ________Revised</v>
      </c>
      <c r="C7" s="4"/>
      <c r="Q7" s="536" t="s">
        <v>690</v>
      </c>
    </row>
    <row r="8" spans="1:18">
      <c r="A8" s="717" t="str">
        <f>'B.1 B'!A8</f>
        <v>Workpaper Reference No(s).</v>
      </c>
      <c r="B8" s="6"/>
      <c r="C8" s="6"/>
      <c r="D8" s="6"/>
      <c r="E8" s="6"/>
      <c r="F8" s="6"/>
      <c r="G8" s="28"/>
      <c r="H8" s="28"/>
      <c r="I8" s="6"/>
      <c r="J8" s="6"/>
      <c r="K8" s="28"/>
      <c r="L8" s="6"/>
      <c r="M8" s="28"/>
      <c r="N8" s="28"/>
      <c r="O8" s="28"/>
      <c r="P8" s="28"/>
      <c r="Q8" s="1042" t="str">
        <f>+'B.5 B'!L8</f>
        <v>Witness: Waller, Multer</v>
      </c>
    </row>
    <row r="9" spans="1:18">
      <c r="D9" s="38"/>
      <c r="E9" s="38"/>
      <c r="F9" s="2"/>
      <c r="G9" s="2"/>
      <c r="H9" s="2"/>
      <c r="I9" s="2"/>
      <c r="J9" s="38"/>
      <c r="K9" s="2"/>
    </row>
    <row r="10" spans="1:18">
      <c r="A10" s="2" t="s">
        <v>88</v>
      </c>
      <c r="B10" s="2" t="s">
        <v>89</v>
      </c>
      <c r="D10" s="37" t="s">
        <v>102</v>
      </c>
      <c r="E10" s="37" t="s">
        <v>102</v>
      </c>
      <c r="F10" s="37" t="s">
        <v>102</v>
      </c>
      <c r="G10" s="37" t="s">
        <v>102</v>
      </c>
      <c r="H10" s="37" t="s">
        <v>102</v>
      </c>
      <c r="I10" s="37" t="s">
        <v>102</v>
      </c>
      <c r="J10" s="37" t="s">
        <v>102</v>
      </c>
      <c r="K10" s="37" t="s">
        <v>1196</v>
      </c>
      <c r="L10" s="37" t="s">
        <v>1196</v>
      </c>
      <c r="M10" s="37" t="s">
        <v>1196</v>
      </c>
      <c r="N10" s="37" t="s">
        <v>1196</v>
      </c>
      <c r="O10" s="37" t="s">
        <v>1196</v>
      </c>
      <c r="P10" s="37" t="s">
        <v>1196</v>
      </c>
      <c r="Q10" s="37" t="s">
        <v>306</v>
      </c>
    </row>
    <row r="11" spans="1:18">
      <c r="A11" s="9" t="s">
        <v>94</v>
      </c>
      <c r="B11" s="9" t="s">
        <v>95</v>
      </c>
      <c r="C11" s="6"/>
      <c r="D11" s="774">
        <f>'WP B.4.1B'!C10</f>
        <v>45262</v>
      </c>
      <c r="E11" s="774">
        <f>'WP B.4.1B'!D10</f>
        <v>45292</v>
      </c>
      <c r="F11" s="774">
        <f>'WP B.4.1B'!E10</f>
        <v>45323</v>
      </c>
      <c r="G11" s="774">
        <f>'WP B.4.1B'!F10</f>
        <v>45352</v>
      </c>
      <c r="H11" s="774">
        <f>'WP B.4.1B'!G10</f>
        <v>45383</v>
      </c>
      <c r="I11" s="774">
        <f>'WP B.4.1B'!H10</f>
        <v>45413</v>
      </c>
      <c r="J11" s="774">
        <f>'WP B.4.1B'!I10</f>
        <v>45444</v>
      </c>
      <c r="K11" s="774">
        <f>'WP B.4.1B'!J10</f>
        <v>45474</v>
      </c>
      <c r="L11" s="774">
        <f>'WP B.4.1B'!K10</f>
        <v>45505</v>
      </c>
      <c r="M11" s="774">
        <f>'WP B.4.1B'!L10</f>
        <v>45536</v>
      </c>
      <c r="N11" s="774">
        <f>'WP B.4.1B'!M10</f>
        <v>45566</v>
      </c>
      <c r="O11" s="774">
        <f>'WP B.4.1B'!N10</f>
        <v>45597</v>
      </c>
      <c r="P11" s="774">
        <f>'WP B.4.1B'!O10</f>
        <v>45627</v>
      </c>
      <c r="Q11" s="40" t="s">
        <v>93</v>
      </c>
    </row>
    <row r="12" spans="1:18" ht="15.75">
      <c r="B12" s="12" t="s">
        <v>205</v>
      </c>
    </row>
    <row r="13" spans="1:18">
      <c r="A13" s="2">
        <v>1</v>
      </c>
      <c r="C13" s="16" t="s">
        <v>646</v>
      </c>
      <c r="D13" s="778">
        <v>46226565.796139121</v>
      </c>
      <c r="E13" s="778">
        <v>46046151.380638964</v>
      </c>
      <c r="F13" s="778">
        <v>45865736.965138808</v>
      </c>
      <c r="G13" s="778">
        <v>46787224.829638645</v>
      </c>
      <c r="H13" s="778">
        <v>46606810.414138488</v>
      </c>
      <c r="I13" s="778">
        <v>46426395.998638332</v>
      </c>
      <c r="J13" s="778">
        <v>45685896.863138169</v>
      </c>
      <c r="K13" s="778">
        <v>45685896.863138169</v>
      </c>
      <c r="L13" s="778">
        <v>45685896.863138169</v>
      </c>
      <c r="M13" s="778">
        <v>45685896.863138169</v>
      </c>
      <c r="N13" s="778">
        <v>45685896.863138169</v>
      </c>
      <c r="O13" s="778">
        <v>45685896.863138169</v>
      </c>
      <c r="P13" s="778">
        <v>45685896.863138169</v>
      </c>
      <c r="Q13" s="777">
        <f>(SUM(D13:P13))/13</f>
        <v>45981551.032792285</v>
      </c>
    </row>
    <row r="14" spans="1:18" ht="14.25" customHeight="1">
      <c r="A14" s="605">
        <f>A13+1</f>
        <v>2</v>
      </c>
      <c r="B14" s="217"/>
      <c r="C14" s="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84"/>
    </row>
    <row r="15" spans="1:18">
      <c r="A15" s="605">
        <f t="shared" ref="A15:A49" si="0">A14+1</f>
        <v>3</v>
      </c>
      <c r="C15" s="16" t="s">
        <v>647</v>
      </c>
      <c r="D15" s="779">
        <v>-128950664.2865382</v>
      </c>
      <c r="E15" s="779">
        <v>-129499648.44717586</v>
      </c>
      <c r="F15" s="779">
        <v>-130052643.00750659</v>
      </c>
      <c r="G15" s="779">
        <v>-130549784.20593277</v>
      </c>
      <c r="H15" s="779">
        <v>-131191913.04903039</v>
      </c>
      <c r="I15" s="779">
        <v>-131590858.91792908</v>
      </c>
      <c r="J15" s="779">
        <v>-132241436.70945245</v>
      </c>
      <c r="K15" s="779">
        <v>-132696522.04930514</v>
      </c>
      <c r="L15" s="779">
        <v>-133237135.09054685</v>
      </c>
      <c r="M15" s="779">
        <v>-134522934.00676215</v>
      </c>
      <c r="N15" s="779">
        <v>-134942475.50216195</v>
      </c>
      <c r="O15" s="779">
        <v>-135368832.34999478</v>
      </c>
      <c r="P15" s="779">
        <v>-135783733.9648726</v>
      </c>
      <c r="Q15" s="780">
        <f>(SUM(D15:P15))/13</f>
        <v>-132356044.73747762</v>
      </c>
    </row>
    <row r="16" spans="1:18">
      <c r="A16" s="605">
        <f t="shared" si="0"/>
        <v>4</v>
      </c>
      <c r="B16" s="217"/>
      <c r="C16" s="4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4"/>
    </row>
    <row r="17" spans="1:18">
      <c r="A17" s="605">
        <f t="shared" si="0"/>
        <v>5</v>
      </c>
      <c r="C17" s="16" t="s">
        <v>648</v>
      </c>
      <c r="D17" s="779">
        <v>-61287</v>
      </c>
      <c r="E17" s="779">
        <v>-61287</v>
      </c>
      <c r="F17" s="779">
        <v>-61287</v>
      </c>
      <c r="G17" s="779">
        <v>-61287</v>
      </c>
      <c r="H17" s="779">
        <v>-61287</v>
      </c>
      <c r="I17" s="779">
        <v>-61287</v>
      </c>
      <c r="J17" s="779">
        <v>-61287</v>
      </c>
      <c r="K17" s="779">
        <v>-61287</v>
      </c>
      <c r="L17" s="779">
        <v>-61287</v>
      </c>
      <c r="M17" s="779">
        <v>-61287</v>
      </c>
      <c r="N17" s="779">
        <v>-61287</v>
      </c>
      <c r="O17" s="779">
        <v>-61287</v>
      </c>
      <c r="P17" s="779">
        <v>-61287</v>
      </c>
      <c r="Q17" s="780">
        <f>(SUM(D17:P17))/13</f>
        <v>-61287</v>
      </c>
    </row>
    <row r="18" spans="1:18" ht="14.25" customHeight="1">
      <c r="A18" s="605">
        <f t="shared" si="0"/>
        <v>6</v>
      </c>
      <c r="B18" s="217"/>
      <c r="C18" s="4"/>
      <c r="D18" s="10"/>
      <c r="E18" s="10"/>
      <c r="F18" s="10"/>
      <c r="G18" s="10"/>
      <c r="H18" s="10"/>
      <c r="L18" s="248"/>
      <c r="M18" s="248"/>
      <c r="N18" s="248"/>
      <c r="O18" s="248"/>
    </row>
    <row r="19" spans="1:18">
      <c r="A19" s="605">
        <f t="shared" si="0"/>
        <v>7</v>
      </c>
      <c r="C19" s="19" t="s">
        <v>30</v>
      </c>
      <c r="D19" s="749">
        <f t="shared" ref="D19:P19" si="1">SUM(D13:D17)</f>
        <v>-82785385.490399078</v>
      </c>
      <c r="E19" s="749">
        <f t="shared" si="1"/>
        <v>-83514784.066536903</v>
      </c>
      <c r="F19" s="749">
        <f t="shared" si="1"/>
        <v>-84248193.042367786</v>
      </c>
      <c r="G19" s="749">
        <f t="shared" si="1"/>
        <v>-83823846.376294121</v>
      </c>
      <c r="H19" s="749">
        <f t="shared" si="1"/>
        <v>-84646389.634891897</v>
      </c>
      <c r="I19" s="749">
        <f t="shared" si="1"/>
        <v>-85225749.919290751</v>
      </c>
      <c r="J19" s="749">
        <f t="shared" si="1"/>
        <v>-86616826.846314281</v>
      </c>
      <c r="K19" s="749">
        <f t="shared" si="1"/>
        <v>-87071912.186166972</v>
      </c>
      <c r="L19" s="749">
        <f t="shared" si="1"/>
        <v>-87612525.227408677</v>
      </c>
      <c r="M19" s="749">
        <f t="shared" si="1"/>
        <v>-88898324.143623978</v>
      </c>
      <c r="N19" s="749">
        <f t="shared" si="1"/>
        <v>-89317865.639023781</v>
      </c>
      <c r="O19" s="749">
        <f t="shared" si="1"/>
        <v>-89744222.48685661</v>
      </c>
      <c r="P19" s="781">
        <f t="shared" si="1"/>
        <v>-90159124.10173443</v>
      </c>
      <c r="Q19" s="781">
        <f>(SUM(D19:P19))/13</f>
        <v>-86435780.704685315</v>
      </c>
      <c r="R19" s="334"/>
    </row>
    <row r="20" spans="1:18" ht="14.25" customHeight="1">
      <c r="A20" s="605">
        <f t="shared" si="0"/>
        <v>8</v>
      </c>
      <c r="B20" s="217"/>
      <c r="C20" s="4"/>
      <c r="D20" s="10"/>
      <c r="E20" s="10"/>
      <c r="F20" s="10"/>
      <c r="G20" s="10"/>
      <c r="H20" s="10"/>
      <c r="L20" s="248"/>
      <c r="M20" s="248"/>
      <c r="N20" s="248"/>
      <c r="O20" s="248"/>
    </row>
    <row r="21" spans="1:18" ht="15.75">
      <c r="A21" s="605">
        <f t="shared" si="0"/>
        <v>9</v>
      </c>
      <c r="B21" s="12" t="s">
        <v>206</v>
      </c>
      <c r="L21" s="248"/>
      <c r="M21" s="248"/>
      <c r="N21" s="248"/>
      <c r="O21" s="248"/>
    </row>
    <row r="22" spans="1:18">
      <c r="A22" s="605">
        <f t="shared" si="0"/>
        <v>10</v>
      </c>
      <c r="C22" s="16" t="s">
        <v>646</v>
      </c>
      <c r="D22" s="778">
        <v>2830458</v>
      </c>
      <c r="E22" s="778">
        <v>2830458</v>
      </c>
      <c r="F22" s="778">
        <v>2830458</v>
      </c>
      <c r="G22" s="778">
        <v>-5142615</v>
      </c>
      <c r="H22" s="778">
        <v>-5142615</v>
      </c>
      <c r="I22" s="778">
        <v>-5142615</v>
      </c>
      <c r="J22" s="778">
        <v>-1757145</v>
      </c>
      <c r="K22" s="778">
        <v>-1757145</v>
      </c>
      <c r="L22" s="778">
        <v>-1757145</v>
      </c>
      <c r="M22" s="778">
        <v>-1757145</v>
      </c>
      <c r="N22" s="778">
        <v>-1757145</v>
      </c>
      <c r="O22" s="778">
        <v>-1757145</v>
      </c>
      <c r="P22" s="778">
        <v>-1757145</v>
      </c>
      <c r="Q22" s="777">
        <f>(SUM(D22:P22))/13</f>
        <v>-1479729.6923076923</v>
      </c>
      <c r="R22" s="329"/>
    </row>
    <row r="23" spans="1:18">
      <c r="A23" s="605">
        <f t="shared" si="0"/>
        <v>11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84"/>
    </row>
    <row r="24" spans="1:18">
      <c r="A24" s="605">
        <f t="shared" si="0"/>
        <v>12</v>
      </c>
      <c r="C24" s="16" t="s">
        <v>647</v>
      </c>
      <c r="D24" s="779">
        <v>-19368656</v>
      </c>
      <c r="E24" s="779">
        <v>-19368656</v>
      </c>
      <c r="F24" s="779">
        <v>-19368656</v>
      </c>
      <c r="G24" s="779">
        <v>-19466317</v>
      </c>
      <c r="H24" s="779">
        <v>-19466317</v>
      </c>
      <c r="I24" s="779">
        <v>-19466317</v>
      </c>
      <c r="J24" s="779">
        <v>-18808093</v>
      </c>
      <c r="K24" s="779">
        <v>-18188497.042587396</v>
      </c>
      <c r="L24" s="779">
        <v>-18052020.362941843</v>
      </c>
      <c r="M24" s="779">
        <v>-17908185.552718021</v>
      </c>
      <c r="N24" s="779">
        <v>-17736593.060248505</v>
      </c>
      <c r="O24" s="779">
        <v>-17570513.485297021</v>
      </c>
      <c r="P24" s="779">
        <v>-17391076.487427536</v>
      </c>
      <c r="Q24" s="780">
        <f>(SUM(D24:P24))/13</f>
        <v>-18627684.460863099</v>
      </c>
    </row>
    <row r="25" spans="1:18" ht="14.25" customHeight="1">
      <c r="A25" s="605">
        <f t="shared" si="0"/>
        <v>13</v>
      </c>
      <c r="B25" s="217"/>
      <c r="C25" s="4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84"/>
    </row>
    <row r="26" spans="1:18">
      <c r="A26" s="605">
        <f t="shared" si="0"/>
        <v>14</v>
      </c>
      <c r="C26" s="16" t="s">
        <v>648</v>
      </c>
      <c r="D26" s="779">
        <v>-135514035.19232875</v>
      </c>
      <c r="E26" s="779">
        <v>-140905243.20100254</v>
      </c>
      <c r="F26" s="779">
        <v>-143459941.08590513</v>
      </c>
      <c r="G26" s="779">
        <v>-143363711.76785812</v>
      </c>
      <c r="H26" s="779">
        <v>-152938225.45624793</v>
      </c>
      <c r="I26" s="779">
        <v>-150351690.08025771</v>
      </c>
      <c r="J26" s="779">
        <v>-147575369.32486749</v>
      </c>
      <c r="K26" s="779">
        <v>-147575369.32486749</v>
      </c>
      <c r="L26" s="779">
        <v>-147575369.32486749</v>
      </c>
      <c r="M26" s="779">
        <v>-147575369.32486749</v>
      </c>
      <c r="N26" s="779">
        <v>-147575369.32486749</v>
      </c>
      <c r="O26" s="779">
        <v>-147575369.32486749</v>
      </c>
      <c r="P26" s="779">
        <v>-147575369.32486749</v>
      </c>
      <c r="Q26" s="780">
        <f>(SUM(D26:P26))/13</f>
        <v>-146120033.23520559</v>
      </c>
    </row>
    <row r="27" spans="1:18" ht="14.25" customHeight="1">
      <c r="A27" s="605">
        <f t="shared" si="0"/>
        <v>15</v>
      </c>
      <c r="B27" s="217"/>
      <c r="C27" s="4"/>
      <c r="D27" s="10"/>
      <c r="E27" s="10"/>
      <c r="F27" s="10"/>
      <c r="G27" s="10"/>
      <c r="H27" s="10"/>
      <c r="L27" s="248"/>
      <c r="M27" s="248"/>
      <c r="N27" s="248"/>
      <c r="O27" s="248"/>
    </row>
    <row r="28" spans="1:18">
      <c r="A28" s="605">
        <f t="shared" si="0"/>
        <v>16</v>
      </c>
      <c r="C28" s="19" t="s">
        <v>66</v>
      </c>
      <c r="D28" s="749">
        <f t="shared" ref="D28:P28" si="2">SUM(D22:D26)</f>
        <v>-152052233.19232875</v>
      </c>
      <c r="E28" s="749">
        <f t="shared" si="2"/>
        <v>-157443441.20100254</v>
      </c>
      <c r="F28" s="749">
        <f t="shared" si="2"/>
        <v>-159998139.08590513</v>
      </c>
      <c r="G28" s="749">
        <f t="shared" si="2"/>
        <v>-167972643.76785812</v>
      </c>
      <c r="H28" s="749">
        <f t="shared" si="2"/>
        <v>-177547157.45624793</v>
      </c>
      <c r="I28" s="749">
        <f t="shared" si="2"/>
        <v>-174960622.08025771</v>
      </c>
      <c r="J28" s="749">
        <f t="shared" si="2"/>
        <v>-168140607.32486749</v>
      </c>
      <c r="K28" s="749">
        <f t="shared" si="2"/>
        <v>-167521011.36745489</v>
      </c>
      <c r="L28" s="749">
        <f t="shared" si="2"/>
        <v>-167384534.68780932</v>
      </c>
      <c r="M28" s="749">
        <f t="shared" si="2"/>
        <v>-167240699.8775855</v>
      </c>
      <c r="N28" s="749">
        <f t="shared" si="2"/>
        <v>-167069107.38511598</v>
      </c>
      <c r="O28" s="749">
        <f t="shared" si="2"/>
        <v>-166903027.81016451</v>
      </c>
      <c r="P28" s="781">
        <f t="shared" si="2"/>
        <v>-166723590.81229502</v>
      </c>
      <c r="Q28" s="781">
        <f>(SUM(D28:P28))/13</f>
        <v>-166227447.38837636</v>
      </c>
      <c r="R28" s="334"/>
    </row>
    <row r="29" spans="1:18" ht="15.75">
      <c r="A29" s="605">
        <f t="shared" si="0"/>
        <v>17</v>
      </c>
      <c r="B29" s="12" t="s">
        <v>1075</v>
      </c>
      <c r="C29" s="19"/>
      <c r="D29" s="2"/>
      <c r="E29" s="2"/>
      <c r="F29" s="2"/>
      <c r="G29" s="38"/>
      <c r="H29" s="38"/>
      <c r="I29" s="38"/>
      <c r="J29" s="38"/>
      <c r="K29" s="38"/>
      <c r="L29" s="248"/>
      <c r="M29" s="248"/>
      <c r="N29" s="248"/>
      <c r="O29" s="248"/>
    </row>
    <row r="30" spans="1:18">
      <c r="A30" s="605">
        <f t="shared" si="0"/>
        <v>18</v>
      </c>
      <c r="C30" s="16" t="s">
        <v>646</v>
      </c>
      <c r="D30" s="778">
        <v>-1200917</v>
      </c>
      <c r="E30" s="778">
        <v>-1200917</v>
      </c>
      <c r="F30" s="778">
        <v>-1200917</v>
      </c>
      <c r="G30" s="778">
        <v>-1211134</v>
      </c>
      <c r="H30" s="778">
        <v>-1211134</v>
      </c>
      <c r="I30" s="778">
        <v>-1211134</v>
      </c>
      <c r="J30" s="778">
        <v>-1216417</v>
      </c>
      <c r="K30" s="778">
        <v>-1216417</v>
      </c>
      <c r="L30" s="778">
        <v>-1216417</v>
      </c>
      <c r="M30" s="778">
        <v>-1216417</v>
      </c>
      <c r="N30" s="778">
        <v>-1216417</v>
      </c>
      <c r="O30" s="778">
        <v>-1216417</v>
      </c>
      <c r="P30" s="778">
        <v>-1216417</v>
      </c>
      <c r="Q30" s="777">
        <f>(SUM(D30:P30))/13</f>
        <v>-1211620.923076923</v>
      </c>
    </row>
    <row r="31" spans="1:18">
      <c r="A31" s="605">
        <f t="shared" si="0"/>
        <v>19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84"/>
    </row>
    <row r="32" spans="1:18">
      <c r="A32" s="605">
        <f t="shared" si="0"/>
        <v>20</v>
      </c>
      <c r="C32" s="16" t="s">
        <v>647</v>
      </c>
      <c r="D32" s="1032">
        <v>-10315424</v>
      </c>
      <c r="E32" s="1032">
        <v>-10315424</v>
      </c>
      <c r="F32" s="1032">
        <v>-10315424</v>
      </c>
      <c r="G32" s="1032">
        <v>-9939247</v>
      </c>
      <c r="H32" s="1032">
        <v>-9939247</v>
      </c>
      <c r="I32" s="1032">
        <v>-9939247</v>
      </c>
      <c r="J32" s="1032">
        <v>-9405484</v>
      </c>
      <c r="K32" s="1032">
        <v>-9299964.9589443505</v>
      </c>
      <c r="L32" s="1032">
        <v>-9168262.5683261827</v>
      </c>
      <c r="M32" s="1032">
        <v>-9040944.6883037128</v>
      </c>
      <c r="N32" s="1032">
        <v>-8912183.0370317865</v>
      </c>
      <c r="O32" s="1032">
        <v>-8784871.6227793358</v>
      </c>
      <c r="P32" s="1032">
        <v>-8657130.5543805473</v>
      </c>
      <c r="Q32" s="780">
        <f>(SUM(D32:P32))/13</f>
        <v>-9540988.8022896852</v>
      </c>
    </row>
    <row r="33" spans="1:18">
      <c r="A33" s="605">
        <f t="shared" si="0"/>
        <v>21</v>
      </c>
      <c r="B33" s="217"/>
      <c r="C33" s="4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84"/>
    </row>
    <row r="34" spans="1:18">
      <c r="A34" s="605">
        <f t="shared" si="0"/>
        <v>22</v>
      </c>
      <c r="C34" s="16" t="s">
        <v>648</v>
      </c>
      <c r="D34" s="1032">
        <v>0</v>
      </c>
      <c r="E34" s="1032">
        <v>0</v>
      </c>
      <c r="F34" s="1032">
        <v>0</v>
      </c>
      <c r="G34" s="1032">
        <v>0</v>
      </c>
      <c r="H34" s="1032">
        <v>0</v>
      </c>
      <c r="I34" s="1032">
        <v>0</v>
      </c>
      <c r="J34" s="1032">
        <v>0</v>
      </c>
      <c r="K34" s="1032">
        <v>0</v>
      </c>
      <c r="L34" s="1032">
        <v>0</v>
      </c>
      <c r="M34" s="1032">
        <v>0</v>
      </c>
      <c r="N34" s="1032">
        <v>0</v>
      </c>
      <c r="O34" s="1032">
        <v>0</v>
      </c>
      <c r="P34" s="1032">
        <v>0</v>
      </c>
      <c r="Q34" s="780">
        <f>(SUM(D34:P34))/13</f>
        <v>0</v>
      </c>
    </row>
    <row r="35" spans="1:18">
      <c r="A35" s="605">
        <f t="shared" si="0"/>
        <v>23</v>
      </c>
      <c r="B35" s="217"/>
      <c r="C35" s="4"/>
      <c r="D35" s="10"/>
      <c r="E35" s="10"/>
      <c r="F35" s="10"/>
      <c r="G35" s="10"/>
      <c r="H35" s="10"/>
      <c r="L35" s="248"/>
      <c r="M35" s="248"/>
      <c r="N35" s="248"/>
      <c r="O35" s="248"/>
    </row>
    <row r="36" spans="1:18">
      <c r="A36" s="605">
        <f t="shared" si="0"/>
        <v>24</v>
      </c>
      <c r="C36" s="19" t="s">
        <v>691</v>
      </c>
      <c r="D36" s="749">
        <f t="shared" ref="D36:P36" si="3">SUM(D30:D34)</f>
        <v>-11516341</v>
      </c>
      <c r="E36" s="749">
        <f t="shared" si="3"/>
        <v>-11516341</v>
      </c>
      <c r="F36" s="749">
        <f t="shared" si="3"/>
        <v>-11516341</v>
      </c>
      <c r="G36" s="749">
        <f t="shared" si="3"/>
        <v>-11150381</v>
      </c>
      <c r="H36" s="749">
        <f t="shared" si="3"/>
        <v>-11150381</v>
      </c>
      <c r="I36" s="749">
        <f t="shared" si="3"/>
        <v>-11150381</v>
      </c>
      <c r="J36" s="749">
        <f t="shared" si="3"/>
        <v>-10621901</v>
      </c>
      <c r="K36" s="749">
        <f>SUM(K30:K34)</f>
        <v>-10516381.95894435</v>
      </c>
      <c r="L36" s="749">
        <f t="shared" si="3"/>
        <v>-10384679.568326183</v>
      </c>
      <c r="M36" s="749">
        <f t="shared" si="3"/>
        <v>-10257361.688303713</v>
      </c>
      <c r="N36" s="749">
        <f t="shared" si="3"/>
        <v>-10128600.037031787</v>
      </c>
      <c r="O36" s="749">
        <f t="shared" si="3"/>
        <v>-10001288.622779336</v>
      </c>
      <c r="P36" s="781">
        <f t="shared" si="3"/>
        <v>-9873547.5543805473</v>
      </c>
      <c r="Q36" s="781">
        <f>(SUM(D36:P36))/13</f>
        <v>-10752609.725366609</v>
      </c>
      <c r="R36" s="334"/>
    </row>
    <row r="37" spans="1:18">
      <c r="A37" s="605">
        <f t="shared" si="0"/>
        <v>25</v>
      </c>
      <c r="C37" s="19"/>
      <c r="D37" s="10"/>
      <c r="E37" s="10"/>
      <c r="F37" s="10"/>
      <c r="L37" s="248"/>
      <c r="M37" s="248"/>
      <c r="N37" s="248"/>
      <c r="O37" s="248"/>
    </row>
    <row r="38" spans="1:18" ht="15.75">
      <c r="A38" s="605">
        <f t="shared" si="0"/>
        <v>26</v>
      </c>
      <c r="B38" s="12" t="s">
        <v>649</v>
      </c>
      <c r="L38" s="248"/>
      <c r="M38" s="248"/>
      <c r="N38" s="248"/>
      <c r="O38" s="248"/>
    </row>
    <row r="39" spans="1:18">
      <c r="A39" s="605">
        <f t="shared" si="0"/>
        <v>27</v>
      </c>
      <c r="C39" s="16" t="s">
        <v>646</v>
      </c>
      <c r="D39" s="778">
        <v>1587162</v>
      </c>
      <c r="E39" s="778">
        <v>1587162</v>
      </c>
      <c r="F39" s="778">
        <v>1587162</v>
      </c>
      <c r="G39" s="778">
        <v>1618882</v>
      </c>
      <c r="H39" s="778">
        <v>1618882</v>
      </c>
      <c r="I39" s="778">
        <v>1618882</v>
      </c>
      <c r="J39" s="778">
        <v>1641942</v>
      </c>
      <c r="K39" s="778">
        <v>1641942</v>
      </c>
      <c r="L39" s="778">
        <v>1641942</v>
      </c>
      <c r="M39" s="778">
        <v>1641942</v>
      </c>
      <c r="N39" s="778">
        <v>1641942</v>
      </c>
      <c r="O39" s="778">
        <v>1641942</v>
      </c>
      <c r="P39" s="778">
        <v>1641942</v>
      </c>
      <c r="Q39" s="777">
        <f>(SUM(D39:P39))/13</f>
        <v>1623978.923076923</v>
      </c>
    </row>
    <row r="40" spans="1:18">
      <c r="A40" s="605">
        <f t="shared" si="0"/>
        <v>28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84"/>
    </row>
    <row r="41" spans="1:18">
      <c r="A41" s="605">
        <f t="shared" si="0"/>
        <v>29</v>
      </c>
      <c r="C41" s="16" t="s">
        <v>647</v>
      </c>
      <c r="D41" s="1032">
        <v>-694095</v>
      </c>
      <c r="E41" s="1032">
        <v>-694095</v>
      </c>
      <c r="F41" s="1032">
        <v>-694095</v>
      </c>
      <c r="G41" s="1032">
        <v>-695528</v>
      </c>
      <c r="H41" s="1032">
        <v>-695528</v>
      </c>
      <c r="I41" s="1032">
        <v>-695528</v>
      </c>
      <c r="J41" s="1032">
        <v>-696959</v>
      </c>
      <c r="K41" s="1032">
        <v>237352.10714758618</v>
      </c>
      <c r="L41" s="1032">
        <v>237676.51962517219</v>
      </c>
      <c r="M41" s="1032">
        <v>238000.93210275832</v>
      </c>
      <c r="N41" s="1032">
        <v>238325.34458034439</v>
      </c>
      <c r="O41" s="1032">
        <v>238649.75705793046</v>
      </c>
      <c r="P41" s="1032">
        <v>238974.16953551659</v>
      </c>
      <c r="Q41" s="780">
        <f>(SUM(D41:P41))/13</f>
        <v>-264373.0130731301</v>
      </c>
    </row>
    <row r="42" spans="1:18">
      <c r="A42" s="605">
        <f t="shared" si="0"/>
        <v>30</v>
      </c>
      <c r="B42" s="2"/>
      <c r="C42" s="4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84"/>
    </row>
    <row r="43" spans="1:18">
      <c r="A43" s="605">
        <f t="shared" si="0"/>
        <v>31</v>
      </c>
      <c r="C43" s="16" t="s">
        <v>648</v>
      </c>
      <c r="D43" s="1032">
        <v>-338915</v>
      </c>
      <c r="E43" s="1032">
        <v>-338915</v>
      </c>
      <c r="F43" s="1032">
        <v>-338915</v>
      </c>
      <c r="G43" s="1032">
        <v>-1958925</v>
      </c>
      <c r="H43" s="1032">
        <v>-1958925</v>
      </c>
      <c r="I43" s="1032">
        <v>-1958925</v>
      </c>
      <c r="J43" s="1032">
        <v>-2254245</v>
      </c>
      <c r="K43" s="1032">
        <v>-2254245</v>
      </c>
      <c r="L43" s="1032">
        <v>-2254245</v>
      </c>
      <c r="M43" s="1032">
        <v>-2254245</v>
      </c>
      <c r="N43" s="1032">
        <v>-2254245</v>
      </c>
      <c r="O43" s="1032">
        <v>-2254245</v>
      </c>
      <c r="P43" s="1032">
        <v>-2254245</v>
      </c>
      <c r="Q43" s="780">
        <f>(SUM(D43:P43))/13</f>
        <v>-1744095</v>
      </c>
    </row>
    <row r="44" spans="1:18">
      <c r="A44" s="605">
        <f t="shared" si="0"/>
        <v>32</v>
      </c>
      <c r="C44" s="4"/>
      <c r="D44" s="17"/>
      <c r="E44" s="17"/>
      <c r="F44" s="17"/>
      <c r="G44" s="17"/>
      <c r="H44" s="17"/>
      <c r="I44" s="17"/>
      <c r="J44" s="17"/>
      <c r="K44" s="17"/>
      <c r="L44" s="334"/>
      <c r="M44" s="334"/>
      <c r="N44" s="334"/>
      <c r="O44" s="334"/>
      <c r="P44" s="334"/>
      <c r="Q44" s="84"/>
    </row>
    <row r="45" spans="1:18">
      <c r="A45" s="605">
        <f t="shared" si="0"/>
        <v>33</v>
      </c>
      <c r="C45" s="16" t="s">
        <v>417</v>
      </c>
      <c r="D45" s="1031">
        <v>0</v>
      </c>
      <c r="E45" s="1031">
        <v>0</v>
      </c>
      <c r="F45" s="1031">
        <v>0</v>
      </c>
      <c r="G45" s="1031">
        <v>0</v>
      </c>
      <c r="H45" s="1031">
        <v>0</v>
      </c>
      <c r="I45" s="1031">
        <v>0</v>
      </c>
      <c r="J45" s="1031">
        <v>0</v>
      </c>
      <c r="K45" s="1031">
        <v>0</v>
      </c>
      <c r="L45" s="1031">
        <v>0</v>
      </c>
      <c r="M45" s="1031">
        <v>0</v>
      </c>
      <c r="N45" s="1031">
        <v>0</v>
      </c>
      <c r="O45" s="1031">
        <v>0</v>
      </c>
      <c r="P45" s="1031">
        <v>0</v>
      </c>
      <c r="Q45" s="780">
        <f>(SUM(D45:P45))/13</f>
        <v>0</v>
      </c>
    </row>
    <row r="46" spans="1:18">
      <c r="A46" s="605">
        <f t="shared" si="0"/>
        <v>34</v>
      </c>
      <c r="B46" s="217"/>
      <c r="C46" s="4"/>
      <c r="D46" s="10"/>
      <c r="E46" s="10"/>
      <c r="F46" s="10"/>
      <c r="G46" s="10"/>
      <c r="H46" s="10"/>
      <c r="L46" s="218"/>
      <c r="M46" s="248"/>
      <c r="N46" s="248"/>
      <c r="O46" s="248"/>
      <c r="P46" s="248"/>
    </row>
    <row r="47" spans="1:18">
      <c r="A47" s="605">
        <f t="shared" si="0"/>
        <v>35</v>
      </c>
      <c r="C47" s="19" t="s">
        <v>416</v>
      </c>
      <c r="D47" s="749">
        <f>SUM(D39:D46)</f>
        <v>554152</v>
      </c>
      <c r="E47" s="749">
        <f t="shared" ref="E47:P47" si="4">SUM(E39:E46)</f>
        <v>554152</v>
      </c>
      <c r="F47" s="749">
        <f t="shared" si="4"/>
        <v>554152</v>
      </c>
      <c r="G47" s="749">
        <f t="shared" si="4"/>
        <v>-1035571</v>
      </c>
      <c r="H47" s="749">
        <f t="shared" si="4"/>
        <v>-1035571</v>
      </c>
      <c r="I47" s="749">
        <f t="shared" si="4"/>
        <v>-1035571</v>
      </c>
      <c r="J47" s="749">
        <f t="shared" si="4"/>
        <v>-1309262</v>
      </c>
      <c r="K47" s="749">
        <f t="shared" si="4"/>
        <v>-374950.89285241393</v>
      </c>
      <c r="L47" s="749">
        <f t="shared" si="4"/>
        <v>-374626.48037482775</v>
      </c>
      <c r="M47" s="749">
        <f t="shared" si="4"/>
        <v>-374302.06789724156</v>
      </c>
      <c r="N47" s="749">
        <f t="shared" si="4"/>
        <v>-373977.65541965561</v>
      </c>
      <c r="O47" s="749">
        <f t="shared" si="4"/>
        <v>-373653.24294206966</v>
      </c>
      <c r="P47" s="749">
        <f t="shared" si="4"/>
        <v>-373328.83046448347</v>
      </c>
      <c r="Q47" s="781">
        <f>(SUM(D47:P47))/13</f>
        <v>-384489.0899962071</v>
      </c>
      <c r="R47" s="334"/>
    </row>
    <row r="48" spans="1:18">
      <c r="A48" s="605">
        <f t="shared" si="0"/>
        <v>36</v>
      </c>
      <c r="P48" s="248"/>
    </row>
    <row r="49" spans="1:17" ht="15.75" thickBot="1">
      <c r="A49" s="605">
        <f t="shared" si="0"/>
        <v>37</v>
      </c>
      <c r="C49" s="1" t="s">
        <v>91</v>
      </c>
      <c r="D49" s="712">
        <f>D47+D36+D28+D19</f>
        <v>-245799807.68272781</v>
      </c>
      <c r="E49" s="712">
        <f t="shared" ref="E49:P49" si="5">E47+E36+E28+E19</f>
        <v>-251920414.26753944</v>
      </c>
      <c r="F49" s="712">
        <f t="shared" si="5"/>
        <v>-255208521.12827292</v>
      </c>
      <c r="G49" s="712">
        <f t="shared" si="5"/>
        <v>-263982442.14415222</v>
      </c>
      <c r="H49" s="712">
        <f t="shared" si="5"/>
        <v>-274379499.09113979</v>
      </c>
      <c r="I49" s="712">
        <f t="shared" si="5"/>
        <v>-272372323.99954844</v>
      </c>
      <c r="J49" s="712">
        <f t="shared" si="5"/>
        <v>-266688597.17118177</v>
      </c>
      <c r="K49" s="712">
        <f t="shared" si="5"/>
        <v>-265484256.40541863</v>
      </c>
      <c r="L49" s="712">
        <f t="shared" si="5"/>
        <v>-265756365.96391901</v>
      </c>
      <c r="M49" s="712">
        <f t="shared" si="5"/>
        <v>-266770687.77741042</v>
      </c>
      <c r="N49" s="712">
        <f t="shared" si="5"/>
        <v>-266889550.71659121</v>
      </c>
      <c r="O49" s="712">
        <f t="shared" si="5"/>
        <v>-267022192.16274253</v>
      </c>
      <c r="P49" s="712">
        <f t="shared" si="5"/>
        <v>-267129591.29887447</v>
      </c>
      <c r="Q49" s="712">
        <f>(SUM(D49:P49))/13</f>
        <v>-263800326.90842453</v>
      </c>
    </row>
    <row r="50" spans="1:17" ht="15.75" thickTop="1"/>
    <row r="51" spans="1:17">
      <c r="C51" s="1" t="s">
        <v>657</v>
      </c>
    </row>
    <row r="52" spans="1:17">
      <c r="C52" s="1" t="s">
        <v>1668</v>
      </c>
    </row>
    <row r="57" spans="1:17">
      <c r="D57" s="329"/>
    </row>
    <row r="58" spans="1:17">
      <c r="D58" s="329"/>
    </row>
    <row r="59" spans="1:17">
      <c r="D59" s="329"/>
    </row>
    <row r="64" spans="1:17">
      <c r="C64"/>
    </row>
    <row r="65" spans="3:16">
      <c r="C65" s="84"/>
    </row>
    <row r="72" spans="3:16">
      <c r="C72"/>
    </row>
    <row r="74" spans="3:16">
      <c r="K74"/>
      <c r="L74"/>
      <c r="M74"/>
      <c r="N74"/>
      <c r="O74"/>
      <c r="P74"/>
    </row>
    <row r="78" spans="3:16">
      <c r="K78" s="329"/>
    </row>
  </sheetData>
  <mergeCells count="4">
    <mergeCell ref="A1:Q1"/>
    <mergeCell ref="A2:Q2"/>
    <mergeCell ref="A3:Q3"/>
    <mergeCell ref="A4:Q4"/>
  </mergeCells>
  <phoneticPr fontId="20" type="noConversion"/>
  <printOptions horizontalCentered="1"/>
  <pageMargins left="0.33" right="0.33" top="0.93" bottom="1" header="0.5" footer="0.5"/>
  <pageSetup scale="41" orientation="landscape" verticalDpi="300" r:id="rId1"/>
  <headerFooter alignWithMargins="0">
    <oddFooter>&amp;R&amp;A
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6"/>
  <sheetViews>
    <sheetView view="pageBreakPreview" zoomScale="80" zoomScaleNormal="100" zoomScaleSheetLayoutView="80" workbookViewId="0">
      <selection activeCell="A36" sqref="A36"/>
    </sheetView>
  </sheetViews>
  <sheetFormatPr defaultColWidth="8.88671875" defaultRowHeight="15"/>
  <cols>
    <col min="1" max="1" width="21" customWidth="1"/>
    <col min="2" max="2" width="8.109375" customWidth="1"/>
    <col min="3" max="3" width="16.33203125" bestFit="1" customWidth="1"/>
    <col min="4" max="4" width="31" bestFit="1" customWidth="1"/>
    <col min="5" max="5" width="24.21875" bestFit="1" customWidth="1"/>
  </cols>
  <sheetData>
    <row r="1" spans="1:5">
      <c r="A1" s="1057" t="str">
        <f>'Table of Contents'!A1:C1</f>
        <v>Atmos Energy Corporation, Kentucky/Mid-States Division</v>
      </c>
      <c r="B1" s="1057"/>
      <c r="C1" s="1057"/>
      <c r="D1" s="1057"/>
      <c r="E1" s="1057"/>
    </row>
    <row r="2" spans="1:5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</row>
    <row r="3" spans="1:5">
      <c r="A3" s="1073" t="str">
        <f>'Table of Contents'!A3:C3</f>
        <v>Base Period: Twelve Months Ended December 31, 2024</v>
      </c>
      <c r="B3" s="1073"/>
      <c r="C3" s="1073"/>
      <c r="D3" s="1073"/>
      <c r="E3" s="1073"/>
    </row>
    <row r="4" spans="1:5">
      <c r="A4" s="1073" t="str">
        <f>'Table of Contents'!A4:C4</f>
        <v>Forecasted Test Period:  Twelve Months Ended March 31, 2026</v>
      </c>
      <c r="B4" s="1073"/>
      <c r="C4" s="1073"/>
      <c r="D4" s="1073"/>
      <c r="E4" s="1073"/>
    </row>
    <row r="5" spans="1:5">
      <c r="A5" s="1074" t="s">
        <v>1486</v>
      </c>
      <c r="B5" s="1074"/>
      <c r="C5" s="1074"/>
      <c r="D5" s="1074"/>
      <c r="E5" s="1074"/>
    </row>
    <row r="8" spans="1:5" ht="15.75">
      <c r="A8" s="597" t="s">
        <v>315</v>
      </c>
    </row>
    <row r="9" spans="1:5" ht="15.75">
      <c r="B9" s="597"/>
      <c r="D9" s="597" t="s">
        <v>1493</v>
      </c>
      <c r="E9" s="597" t="s">
        <v>1356</v>
      </c>
    </row>
    <row r="10" spans="1:5" ht="15.75">
      <c r="A10" s="59" t="s">
        <v>1487</v>
      </c>
      <c r="B10" s="545"/>
      <c r="C10" s="448">
        <v>45291</v>
      </c>
      <c r="D10" s="782">
        <v>-16062380.656507013</v>
      </c>
    </row>
    <row r="11" spans="1:5" ht="15.75">
      <c r="A11" s="59" t="s">
        <v>1657</v>
      </c>
      <c r="B11" s="545"/>
      <c r="C11" s="783">
        <f>EOMONTH(C10,1)</f>
        <v>45322</v>
      </c>
      <c r="D11" s="782">
        <v>-15339512.786806747</v>
      </c>
      <c r="E11" s="782">
        <v>722867.86970026663</v>
      </c>
    </row>
    <row r="12" spans="1:5">
      <c r="B12" s="545"/>
      <c r="C12" s="783">
        <f t="shared" ref="C12:C22" si="0">EOMONTH(C11,1)</f>
        <v>45351</v>
      </c>
      <c r="D12" s="782">
        <v>-14616644.917106481</v>
      </c>
      <c r="E12" s="782">
        <v>722867.86970026663</v>
      </c>
    </row>
    <row r="13" spans="1:5">
      <c r="B13" s="545"/>
      <c r="C13" s="783">
        <f t="shared" si="0"/>
        <v>45382</v>
      </c>
      <c r="D13" s="782">
        <v>-13893777.047406215</v>
      </c>
      <c r="E13" s="782">
        <v>722867.86970026663</v>
      </c>
    </row>
    <row r="14" spans="1:5">
      <c r="B14" s="545"/>
      <c r="C14" s="783">
        <f t="shared" si="0"/>
        <v>45412</v>
      </c>
      <c r="D14" s="782">
        <v>-13170909.177705951</v>
      </c>
      <c r="E14" s="782">
        <v>722867.86970026663</v>
      </c>
    </row>
    <row r="15" spans="1:5">
      <c r="B15" s="545"/>
      <c r="C15" s="783">
        <f t="shared" si="0"/>
        <v>45443</v>
      </c>
      <c r="D15" s="782">
        <v>-12448041.308005685</v>
      </c>
      <c r="E15" s="782">
        <v>722867.86970026663</v>
      </c>
    </row>
    <row r="16" spans="1:5">
      <c r="B16" s="545"/>
      <c r="C16" s="783">
        <f t="shared" si="0"/>
        <v>45473</v>
      </c>
      <c r="D16" s="782">
        <v>-11725173.438305419</v>
      </c>
      <c r="E16" s="782">
        <v>722867.86970026663</v>
      </c>
    </row>
    <row r="17" spans="2:5">
      <c r="B17" s="545"/>
      <c r="C17" s="783">
        <f t="shared" si="0"/>
        <v>45504</v>
      </c>
      <c r="D17" s="782">
        <v>-11002305.568605151</v>
      </c>
      <c r="E17" s="782">
        <v>722867.86970026663</v>
      </c>
    </row>
    <row r="18" spans="2:5">
      <c r="B18" s="545"/>
      <c r="C18" s="783">
        <f t="shared" si="0"/>
        <v>45535</v>
      </c>
      <c r="D18" s="782">
        <v>-10279437.698904885</v>
      </c>
      <c r="E18" s="782">
        <v>722867.86970026663</v>
      </c>
    </row>
    <row r="19" spans="2:5">
      <c r="B19" s="545"/>
      <c r="C19" s="783">
        <f t="shared" si="0"/>
        <v>45565</v>
      </c>
      <c r="D19" s="782">
        <v>-9556569.8292046189</v>
      </c>
      <c r="E19" s="782">
        <v>722867.86970026663</v>
      </c>
    </row>
    <row r="20" spans="2:5">
      <c r="B20" s="545"/>
      <c r="C20" s="783">
        <f t="shared" si="0"/>
        <v>45596</v>
      </c>
      <c r="D20" s="782">
        <v>-8833701.9595043529</v>
      </c>
      <c r="E20" s="782">
        <v>722867.86970026663</v>
      </c>
    </row>
    <row r="21" spans="2:5">
      <c r="B21" s="545"/>
      <c r="C21" s="783">
        <f t="shared" si="0"/>
        <v>45626</v>
      </c>
      <c r="D21" s="782">
        <v>-8110834.0898040859</v>
      </c>
      <c r="E21" s="782">
        <v>722867.86970026663</v>
      </c>
    </row>
    <row r="22" spans="2:5">
      <c r="B22" s="545"/>
      <c r="C22" s="783">
        <f t="shared" si="0"/>
        <v>45657</v>
      </c>
      <c r="D22" s="782">
        <v>-7387966.2201038189</v>
      </c>
      <c r="E22" s="782">
        <v>722867.86970026663</v>
      </c>
    </row>
    <row r="23" spans="2:5" ht="15.75">
      <c r="B23" s="545"/>
      <c r="C23" t="s">
        <v>1357</v>
      </c>
      <c r="D23" s="784">
        <f>AVERAGE(D10:D22)</f>
        <v>-11725173.438305419</v>
      </c>
      <c r="E23" s="784">
        <f>SUM(E11:E22)</f>
        <v>8674414.4364032019</v>
      </c>
    </row>
    <row r="24" spans="2:5">
      <c r="B24" s="545"/>
    </row>
    <row r="25" spans="2:5">
      <c r="B25" s="545"/>
    </row>
    <row r="26" spans="2:5">
      <c r="B26" s="545"/>
    </row>
    <row r="27" spans="2:5">
      <c r="B27" s="545"/>
    </row>
    <row r="28" spans="2:5">
      <c r="B28" s="545"/>
    </row>
    <row r="29" spans="2:5">
      <c r="B29" s="545"/>
    </row>
    <row r="30" spans="2:5">
      <c r="B30" s="545"/>
    </row>
    <row r="31" spans="2:5">
      <c r="B31" s="545"/>
    </row>
    <row r="32" spans="2:5">
      <c r="B32" s="545"/>
    </row>
    <row r="33" spans="1:2">
      <c r="B33" s="545"/>
    </row>
    <row r="35" spans="1:2">
      <c r="A35" s="1" t="s">
        <v>657</v>
      </c>
    </row>
    <row r="36" spans="1:2">
      <c r="A36" s="1" t="s">
        <v>1668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landscape" r:id="rId1"/>
  <headerFooter>
    <oddFooter>&amp;RSchedule &amp;A
Page &amp;P of &amp;N</oddFooter>
  </headerFooter>
  <colBreaks count="1" manualBreakCount="1">
    <brk id="5" max="33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92D050"/>
    <pageSetUpPr fitToPage="1"/>
  </sheetPr>
  <dimension ref="A1:R74"/>
  <sheetViews>
    <sheetView view="pageBreakPreview" topLeftCell="A32" zoomScale="80" zoomScaleNormal="100" zoomScaleSheetLayoutView="80" workbookViewId="0">
      <selection activeCell="C52" sqref="C52"/>
    </sheetView>
  </sheetViews>
  <sheetFormatPr defaultColWidth="8.44140625" defaultRowHeight="15"/>
  <cols>
    <col min="1" max="1" width="5" style="1" customWidth="1"/>
    <col min="2" max="2" width="5.6640625" style="1" customWidth="1"/>
    <col min="3" max="3" width="49.33203125" style="1" bestFit="1" customWidth="1"/>
    <col min="4" max="5" width="14.77734375" style="1" bestFit="1" customWidth="1"/>
    <col min="6" max="6" width="14.5546875" style="1" bestFit="1" customWidth="1"/>
    <col min="7" max="8" width="14.77734375" style="1" bestFit="1" customWidth="1"/>
    <col min="9" max="9" width="14.88671875" style="1" bestFit="1" customWidth="1"/>
    <col min="10" max="11" width="14.77734375" style="1" bestFit="1" customWidth="1"/>
    <col min="12" max="15" width="14.88671875" style="1" bestFit="1" customWidth="1"/>
    <col min="16" max="17" width="14.77734375" style="1" bestFit="1" customWidth="1"/>
    <col min="18" max="18" width="9.33203125" style="1" bestFit="1" customWidth="1"/>
    <col min="19" max="16384" width="8.44140625" style="1"/>
  </cols>
  <sheetData>
    <row r="1" spans="1:17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</row>
    <row r="2" spans="1:17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</row>
    <row r="3" spans="1:17">
      <c r="A3" s="1060" t="s">
        <v>484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</row>
    <row r="4" spans="1:17">
      <c r="A4" s="1059" t="str">
        <f>'WP B.4.1F'!A3:P3</f>
        <v>Forecasted Test Period:  Twelve Months Ended March 31, 2026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</row>
    <row r="5" spans="1:17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7">
      <c r="A6" s="699" t="str">
        <f>'B.1 F '!A6</f>
        <v>Data:______Base Period__X___Forecasted Period</v>
      </c>
      <c r="B6" s="4"/>
      <c r="Q6" s="84" t="s">
        <v>1337</v>
      </c>
    </row>
    <row r="7" spans="1:17">
      <c r="A7" s="699" t="str">
        <f>'B.1 F '!A7</f>
        <v>Type of Filing:___X____Original________Updated ________Revised</v>
      </c>
      <c r="C7" s="4"/>
      <c r="Q7" s="84" t="s">
        <v>1125</v>
      </c>
    </row>
    <row r="8" spans="1:17">
      <c r="A8" s="717" t="str">
        <f>'B.1 F '!A8</f>
        <v>Workpaper Reference No(s).</v>
      </c>
      <c r="B8" s="6"/>
      <c r="C8" s="6"/>
      <c r="D8" s="6"/>
      <c r="E8" s="6"/>
      <c r="F8" s="6"/>
      <c r="G8" s="28"/>
      <c r="H8" s="28"/>
      <c r="I8" s="6"/>
      <c r="J8" s="6"/>
      <c r="K8" s="28"/>
      <c r="L8" s="6"/>
      <c r="M8" s="28"/>
      <c r="N8" s="28"/>
      <c r="O8" s="28"/>
      <c r="P8" s="28"/>
      <c r="Q8" s="633" t="str">
        <f>+'B.5 B'!L8</f>
        <v>Witness: Waller, Multer</v>
      </c>
    </row>
    <row r="9" spans="1:17">
      <c r="D9" s="38"/>
      <c r="E9" s="38"/>
      <c r="F9" s="2"/>
      <c r="G9" s="2"/>
      <c r="H9" s="2"/>
      <c r="I9" s="2"/>
      <c r="J9" s="38"/>
      <c r="K9" s="2"/>
      <c r="Q9" s="38" t="s">
        <v>307</v>
      </c>
    </row>
    <row r="10" spans="1:17">
      <c r="A10" s="2" t="s">
        <v>88</v>
      </c>
      <c r="B10" s="2" t="s">
        <v>89</v>
      </c>
      <c r="D10" s="37" t="s">
        <v>431</v>
      </c>
      <c r="E10" s="37" t="s">
        <v>431</v>
      </c>
      <c r="F10" s="37" t="s">
        <v>431</v>
      </c>
      <c r="G10" s="37" t="s">
        <v>431</v>
      </c>
      <c r="H10" s="37" t="s">
        <v>431</v>
      </c>
      <c r="I10" s="37" t="s">
        <v>1178</v>
      </c>
      <c r="J10" s="37" t="s">
        <v>1178</v>
      </c>
      <c r="K10" s="37" t="s">
        <v>1178</v>
      </c>
      <c r="L10" s="37" t="s">
        <v>1178</v>
      </c>
      <c r="M10" s="37" t="s">
        <v>1178</v>
      </c>
      <c r="N10" s="37" t="s">
        <v>1178</v>
      </c>
      <c r="O10" s="37" t="s">
        <v>1178</v>
      </c>
      <c r="P10" s="37" t="s">
        <v>1178</v>
      </c>
      <c r="Q10" s="37" t="s">
        <v>1571</v>
      </c>
    </row>
    <row r="11" spans="1:17">
      <c r="A11" s="9" t="s">
        <v>94</v>
      </c>
      <c r="B11" s="9" t="s">
        <v>95</v>
      </c>
      <c r="C11" s="6"/>
      <c r="D11" s="774">
        <f>'WP B.4.1F'!C11</f>
        <v>45717</v>
      </c>
      <c r="E11" s="774">
        <f>'WP B.4.1F'!D11</f>
        <v>45748</v>
      </c>
      <c r="F11" s="774">
        <f>'WP B.4.1F'!E11</f>
        <v>45778</v>
      </c>
      <c r="G11" s="774">
        <f>'WP B.4.1F'!F11</f>
        <v>45809</v>
      </c>
      <c r="H11" s="774">
        <f>'WP B.4.1F'!G11</f>
        <v>45839</v>
      </c>
      <c r="I11" s="774">
        <f>'WP B.4.1F'!H11</f>
        <v>45870</v>
      </c>
      <c r="J11" s="774">
        <f>'WP B.4.1F'!I11</f>
        <v>45901</v>
      </c>
      <c r="K11" s="774">
        <f>'WP B.4.1F'!J11</f>
        <v>45931</v>
      </c>
      <c r="L11" s="774">
        <f>'WP B.4.1F'!K11</f>
        <v>45962</v>
      </c>
      <c r="M11" s="774">
        <f>'WP B.4.1F'!L11</f>
        <v>45992</v>
      </c>
      <c r="N11" s="774">
        <f>'WP B.4.1F'!M11</f>
        <v>46023</v>
      </c>
      <c r="O11" s="774">
        <f>'WP B.4.1F'!N11</f>
        <v>46054</v>
      </c>
      <c r="P11" s="774">
        <f>'WP B.4.1F'!O11</f>
        <v>46082</v>
      </c>
      <c r="Q11" s="40" t="s">
        <v>308</v>
      </c>
    </row>
    <row r="12" spans="1:17" ht="15.75">
      <c r="B12" s="12" t="s">
        <v>205</v>
      </c>
    </row>
    <row r="13" spans="1:17">
      <c r="A13" s="2">
        <v>1</v>
      </c>
      <c r="C13" s="16" t="s">
        <v>646</v>
      </c>
      <c r="D13" s="706">
        <v>45685896.863138169</v>
      </c>
      <c r="E13" s="706">
        <v>45685896.863138169</v>
      </c>
      <c r="F13" s="706">
        <v>45685896.863138169</v>
      </c>
      <c r="G13" s="706">
        <v>45685896.863138169</v>
      </c>
      <c r="H13" s="706">
        <v>45685896.863138169</v>
      </c>
      <c r="I13" s="706">
        <v>45685896.863138169</v>
      </c>
      <c r="J13" s="706">
        <v>45685896.863138169</v>
      </c>
      <c r="K13" s="706">
        <v>45685896.863138169</v>
      </c>
      <c r="L13" s="706">
        <v>45685896.863138169</v>
      </c>
      <c r="M13" s="706">
        <v>45685896.863138169</v>
      </c>
      <c r="N13" s="706">
        <v>45685896.863138169</v>
      </c>
      <c r="O13" s="706">
        <v>45685896.863138169</v>
      </c>
      <c r="P13" s="706">
        <v>45685896.863138169</v>
      </c>
      <c r="Q13" s="707">
        <f>P13</f>
        <v>45685896.863138169</v>
      </c>
    </row>
    <row r="14" spans="1:17" ht="14.25" customHeight="1">
      <c r="A14" s="605">
        <f>A13+1</f>
        <v>2</v>
      </c>
      <c r="B14" s="217"/>
      <c r="C14" s="4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48"/>
    </row>
    <row r="15" spans="1:17">
      <c r="A15" s="605">
        <f t="shared" ref="A15:A49" si="0">A14+1</f>
        <v>3</v>
      </c>
      <c r="C15" s="16" t="s">
        <v>647</v>
      </c>
      <c r="D15" s="785">
        <v>-136887381.64405355</v>
      </c>
      <c r="E15" s="785">
        <v>-137242234.33016205</v>
      </c>
      <c r="F15" s="785">
        <v>-137568291.82400802</v>
      </c>
      <c r="G15" s="785">
        <v>-137996857.16473308</v>
      </c>
      <c r="H15" s="785">
        <v>-138259627.80347168</v>
      </c>
      <c r="I15" s="785">
        <v>-138587023.61223543</v>
      </c>
      <c r="J15" s="785">
        <v>-139638885.70539644</v>
      </c>
      <c r="K15" s="785">
        <v>-139804857.33684117</v>
      </c>
      <c r="L15" s="785">
        <v>-139940086.66131338</v>
      </c>
      <c r="M15" s="785">
        <v>-140047090.17643166</v>
      </c>
      <c r="N15" s="785">
        <v>-140152550.72168943</v>
      </c>
      <c r="O15" s="785">
        <v>-140215744.2108236</v>
      </c>
      <c r="P15" s="785">
        <v>-140238519.5803923</v>
      </c>
      <c r="Q15" s="345">
        <f>P15</f>
        <v>-140238519.5803923</v>
      </c>
    </row>
    <row r="16" spans="1:17" ht="14.25" customHeight="1">
      <c r="A16" s="605">
        <f t="shared" si="0"/>
        <v>4</v>
      </c>
      <c r="B16" s="217"/>
      <c r="C16" s="4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48"/>
    </row>
    <row r="17" spans="1:18">
      <c r="A17" s="605">
        <f t="shared" si="0"/>
        <v>5</v>
      </c>
      <c r="C17" s="16" t="s">
        <v>648</v>
      </c>
      <c r="D17" s="785">
        <v>-61287</v>
      </c>
      <c r="E17" s="785">
        <v>-61287</v>
      </c>
      <c r="F17" s="785">
        <v>-61287</v>
      </c>
      <c r="G17" s="785">
        <v>-61287</v>
      </c>
      <c r="H17" s="785">
        <v>-61287</v>
      </c>
      <c r="I17" s="785">
        <v>-61287</v>
      </c>
      <c r="J17" s="785">
        <v>-61287</v>
      </c>
      <c r="K17" s="785">
        <v>-61287</v>
      </c>
      <c r="L17" s="785">
        <v>-61287</v>
      </c>
      <c r="M17" s="785">
        <v>-61287</v>
      </c>
      <c r="N17" s="785">
        <v>-61287</v>
      </c>
      <c r="O17" s="785">
        <v>-61287</v>
      </c>
      <c r="P17" s="785">
        <v>-61287</v>
      </c>
      <c r="Q17" s="345">
        <f>P17</f>
        <v>-61287</v>
      </c>
    </row>
    <row r="18" spans="1:18" ht="14.25" customHeight="1">
      <c r="A18" s="605">
        <f t="shared" si="0"/>
        <v>6</v>
      </c>
      <c r="B18" s="217"/>
      <c r="C18" s="4"/>
      <c r="D18" s="218"/>
      <c r="E18" s="218"/>
      <c r="F18" s="218"/>
      <c r="G18" s="218"/>
      <c r="H18" s="218"/>
      <c r="I18" s="221"/>
      <c r="J18" s="221"/>
      <c r="K18" s="221"/>
      <c r="L18" s="218"/>
      <c r="M18" s="248"/>
      <c r="N18" s="248"/>
      <c r="O18" s="248"/>
      <c r="P18" s="248"/>
      <c r="Q18" s="248"/>
    </row>
    <row r="19" spans="1:18">
      <c r="A19" s="605">
        <f t="shared" si="0"/>
        <v>7</v>
      </c>
      <c r="C19" s="19" t="s">
        <v>30</v>
      </c>
      <c r="D19" s="749">
        <f t="shared" ref="D19:P19" si="1">SUM(D13:D17)</f>
        <v>-91262771.78091538</v>
      </c>
      <c r="E19" s="749">
        <f t="shared" si="1"/>
        <v>-91617624.467023879</v>
      </c>
      <c r="F19" s="749">
        <f t="shared" si="1"/>
        <v>-91943681.960869849</v>
      </c>
      <c r="G19" s="749">
        <f t="shared" si="1"/>
        <v>-92372247.301594913</v>
      </c>
      <c r="H19" s="749">
        <f t="shared" si="1"/>
        <v>-92635017.940333515</v>
      </c>
      <c r="I19" s="749">
        <f t="shared" si="1"/>
        <v>-92962413.749097258</v>
      </c>
      <c r="J19" s="749">
        <f t="shared" si="1"/>
        <v>-94014275.842258275</v>
      </c>
      <c r="K19" s="749">
        <f t="shared" si="1"/>
        <v>-94180247.473702997</v>
      </c>
      <c r="L19" s="749">
        <f t="shared" si="1"/>
        <v>-94315476.798175216</v>
      </c>
      <c r="M19" s="749">
        <f t="shared" si="1"/>
        <v>-94422480.313293487</v>
      </c>
      <c r="N19" s="749">
        <f t="shared" si="1"/>
        <v>-94527940.858551264</v>
      </c>
      <c r="O19" s="749">
        <f t="shared" si="1"/>
        <v>-94591134.347685426</v>
      </c>
      <c r="P19" s="749">
        <f t="shared" si="1"/>
        <v>-94613909.717254132</v>
      </c>
      <c r="Q19" s="781">
        <f>P19</f>
        <v>-94613909.717254132</v>
      </c>
      <c r="R19" s="334"/>
    </row>
    <row r="20" spans="1:18" ht="14.25" customHeight="1">
      <c r="A20" s="605">
        <f t="shared" si="0"/>
        <v>8</v>
      </c>
      <c r="B20" s="217"/>
      <c r="C20" s="4"/>
      <c r="D20" s="218"/>
      <c r="E20" s="218"/>
      <c r="F20" s="218"/>
      <c r="G20" s="218"/>
      <c r="H20" s="218"/>
      <c r="I20" s="221"/>
      <c r="J20" s="221"/>
      <c r="K20" s="221"/>
      <c r="L20" s="218"/>
      <c r="M20" s="248"/>
      <c r="N20" s="248"/>
      <c r="O20" s="248"/>
      <c r="P20" s="248"/>
      <c r="Q20" s="248"/>
    </row>
    <row r="21" spans="1:18" ht="15.75">
      <c r="A21" s="605">
        <f t="shared" si="0"/>
        <v>9</v>
      </c>
      <c r="B21" s="12" t="s">
        <v>206</v>
      </c>
      <c r="D21" s="221"/>
      <c r="E21" s="221"/>
      <c r="F21" s="221"/>
      <c r="G21" s="221"/>
      <c r="H21" s="221"/>
      <c r="I21" s="221"/>
      <c r="J21" s="221"/>
      <c r="K21" s="221"/>
      <c r="L21" s="221"/>
      <c r="M21" s="248"/>
      <c r="N21" s="248"/>
      <c r="O21" s="248"/>
      <c r="P21" s="248"/>
      <c r="Q21" s="248"/>
    </row>
    <row r="22" spans="1:18">
      <c r="A22" s="605">
        <f t="shared" si="0"/>
        <v>10</v>
      </c>
      <c r="C22" s="16" t="s">
        <v>646</v>
      </c>
      <c r="D22" s="706">
        <v>-1757145</v>
      </c>
      <c r="E22" s="706">
        <v>-1757145</v>
      </c>
      <c r="F22" s="706">
        <v>-1757145</v>
      </c>
      <c r="G22" s="706">
        <v>-1757145</v>
      </c>
      <c r="H22" s="706">
        <v>-1757145</v>
      </c>
      <c r="I22" s="706">
        <v>-1757145</v>
      </c>
      <c r="J22" s="706">
        <v>-1757145</v>
      </c>
      <c r="K22" s="706">
        <v>-1757145</v>
      </c>
      <c r="L22" s="706">
        <v>-1757145</v>
      </c>
      <c r="M22" s="706">
        <v>-1757145</v>
      </c>
      <c r="N22" s="706">
        <v>-1757145</v>
      </c>
      <c r="O22" s="706">
        <v>-1757145</v>
      </c>
      <c r="P22" s="706">
        <v>-1757145</v>
      </c>
      <c r="Q22" s="707">
        <f>P22</f>
        <v>-1757145</v>
      </c>
    </row>
    <row r="23" spans="1:18">
      <c r="A23" s="605">
        <f t="shared" si="0"/>
        <v>11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48"/>
    </row>
    <row r="24" spans="1:18">
      <c r="A24" s="605">
        <f t="shared" si="0"/>
        <v>12</v>
      </c>
      <c r="C24" s="16" t="s">
        <v>647</v>
      </c>
      <c r="D24" s="785">
        <v>-17612875.436337944</v>
      </c>
      <c r="E24" s="785">
        <v>-17689150.721222728</v>
      </c>
      <c r="F24" s="785">
        <v>-17702873.370172601</v>
      </c>
      <c r="G24" s="785">
        <v>-17823130.119893353</v>
      </c>
      <c r="H24" s="785">
        <v>-17826728.77233677</v>
      </c>
      <c r="I24" s="785">
        <v>-17784465.855507005</v>
      </c>
      <c r="J24" s="785">
        <v>-17740076.603618838</v>
      </c>
      <c r="K24" s="785">
        <v>-17670214.487210352</v>
      </c>
      <c r="L24" s="785">
        <v>-17629110.672085147</v>
      </c>
      <c r="M24" s="785">
        <v>-17584863.607062995</v>
      </c>
      <c r="N24" s="785">
        <v>-17590453.62161275</v>
      </c>
      <c r="O24" s="785">
        <v>-17592397.250375655</v>
      </c>
      <c r="P24" s="785">
        <v>-17592464.663161069</v>
      </c>
      <c r="Q24" s="345">
        <f>P24</f>
        <v>-17592464.663161069</v>
      </c>
    </row>
    <row r="25" spans="1:18" ht="14.25" customHeight="1">
      <c r="A25" s="605">
        <f t="shared" si="0"/>
        <v>13</v>
      </c>
      <c r="B25" s="217"/>
      <c r="C25" s="4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48"/>
    </row>
    <row r="26" spans="1:18">
      <c r="A26" s="605">
        <f t="shared" si="0"/>
        <v>14</v>
      </c>
      <c r="C26" s="16" t="s">
        <v>648</v>
      </c>
      <c r="D26" s="785">
        <v>-147575369.32486749</v>
      </c>
      <c r="E26" s="785">
        <v>-147575369.32486749</v>
      </c>
      <c r="F26" s="785">
        <v>-147575369.32486749</v>
      </c>
      <c r="G26" s="785">
        <v>-147575369.32486749</v>
      </c>
      <c r="H26" s="785">
        <v>-147575369.32486749</v>
      </c>
      <c r="I26" s="785">
        <v>-147575369.32486749</v>
      </c>
      <c r="J26" s="785">
        <v>-147575369.32486749</v>
      </c>
      <c r="K26" s="785">
        <v>-147575369.32486749</v>
      </c>
      <c r="L26" s="785">
        <v>-147575369.32486749</v>
      </c>
      <c r="M26" s="785">
        <v>-147575369.32486749</v>
      </c>
      <c r="N26" s="785">
        <v>-147575369.32486749</v>
      </c>
      <c r="O26" s="785">
        <v>-147575369.32486749</v>
      </c>
      <c r="P26" s="785">
        <v>-147575369.32486749</v>
      </c>
      <c r="Q26" s="345">
        <f>P26</f>
        <v>-147575369.32486749</v>
      </c>
    </row>
    <row r="27" spans="1:18" ht="14.25" customHeight="1">
      <c r="A27" s="605">
        <f t="shared" si="0"/>
        <v>15</v>
      </c>
      <c r="B27" s="217"/>
      <c r="C27" s="4"/>
      <c r="D27" s="218"/>
      <c r="E27" s="218"/>
      <c r="F27" s="218"/>
      <c r="G27" s="218"/>
      <c r="H27" s="218"/>
      <c r="I27" s="221"/>
      <c r="J27" s="221"/>
      <c r="K27" s="221"/>
      <c r="L27" s="218"/>
      <c r="M27" s="248"/>
      <c r="N27" s="248"/>
      <c r="O27" s="248"/>
      <c r="P27" s="248"/>
      <c r="Q27" s="248"/>
    </row>
    <row r="28" spans="1:18">
      <c r="A28" s="605">
        <f t="shared" si="0"/>
        <v>16</v>
      </c>
      <c r="C28" s="19" t="s">
        <v>66</v>
      </c>
      <c r="D28" s="749">
        <f t="shared" ref="D28:P28" si="2">SUM(D22:D26)</f>
        <v>-166945389.76120543</v>
      </c>
      <c r="E28" s="749">
        <f t="shared" si="2"/>
        <v>-167021665.04609022</v>
      </c>
      <c r="F28" s="749">
        <f t="shared" si="2"/>
        <v>-167035387.69504008</v>
      </c>
      <c r="G28" s="749">
        <f t="shared" si="2"/>
        <v>-167155644.44476083</v>
      </c>
      <c r="H28" s="749">
        <f t="shared" si="2"/>
        <v>-167159243.09720427</v>
      </c>
      <c r="I28" s="749">
        <f t="shared" si="2"/>
        <v>-167116980.1803745</v>
      </c>
      <c r="J28" s="749">
        <f t="shared" si="2"/>
        <v>-167072590.92848632</v>
      </c>
      <c r="K28" s="749">
        <f t="shared" si="2"/>
        <v>-167002728.81207785</v>
      </c>
      <c r="L28" s="749">
        <f t="shared" si="2"/>
        <v>-166961624.99695262</v>
      </c>
      <c r="M28" s="749">
        <f t="shared" si="2"/>
        <v>-166917377.93193048</v>
      </c>
      <c r="N28" s="749">
        <f t="shared" si="2"/>
        <v>-166922967.94648024</v>
      </c>
      <c r="O28" s="749">
        <f t="shared" si="2"/>
        <v>-166924911.57524315</v>
      </c>
      <c r="P28" s="749">
        <f t="shared" si="2"/>
        <v>-166924978.98802856</v>
      </c>
      <c r="Q28" s="781">
        <f>P28</f>
        <v>-166924978.98802856</v>
      </c>
      <c r="R28" s="334"/>
    </row>
    <row r="29" spans="1:18" ht="15.75">
      <c r="A29" s="605">
        <f t="shared" si="0"/>
        <v>17</v>
      </c>
      <c r="B29" s="12" t="s">
        <v>1075</v>
      </c>
      <c r="C29" s="19"/>
      <c r="D29" s="222"/>
      <c r="E29" s="222"/>
      <c r="F29" s="222"/>
      <c r="G29" s="223"/>
      <c r="H29" s="223"/>
      <c r="I29" s="223"/>
      <c r="J29" s="223"/>
      <c r="K29" s="223"/>
      <c r="L29" s="218"/>
      <c r="M29" s="248"/>
      <c r="N29" s="248"/>
      <c r="O29" s="248"/>
      <c r="P29" s="248"/>
      <c r="Q29" s="248"/>
    </row>
    <row r="30" spans="1:18">
      <c r="A30" s="605">
        <f t="shared" si="0"/>
        <v>18</v>
      </c>
      <c r="C30" s="16" t="s">
        <v>646</v>
      </c>
      <c r="D30" s="706">
        <v>-1216417</v>
      </c>
      <c r="E30" s="706">
        <v>-1216417</v>
      </c>
      <c r="F30" s="706">
        <v>-1216417</v>
      </c>
      <c r="G30" s="706">
        <v>-1216417</v>
      </c>
      <c r="H30" s="706">
        <v>-1216417</v>
      </c>
      <c r="I30" s="706">
        <v>-1216417</v>
      </c>
      <c r="J30" s="706">
        <v>-1216417</v>
      </c>
      <c r="K30" s="706">
        <v>-1216417</v>
      </c>
      <c r="L30" s="706">
        <v>-1216417</v>
      </c>
      <c r="M30" s="706">
        <v>-1216417</v>
      </c>
      <c r="N30" s="706">
        <v>-1216417</v>
      </c>
      <c r="O30" s="706">
        <v>-1216417</v>
      </c>
      <c r="P30" s="706">
        <v>-1216417</v>
      </c>
      <c r="Q30" s="707">
        <f>P30</f>
        <v>-1216417</v>
      </c>
    </row>
    <row r="31" spans="1:18">
      <c r="A31" s="605">
        <f t="shared" si="0"/>
        <v>19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48"/>
    </row>
    <row r="32" spans="1:18">
      <c r="A32" s="605">
        <f t="shared" si="0"/>
        <v>20</v>
      </c>
      <c r="C32" s="16" t="s">
        <v>647</v>
      </c>
      <c r="D32" s="785">
        <v>-8475714.2466139309</v>
      </c>
      <c r="E32" s="785">
        <v>-8383833.913634982</v>
      </c>
      <c r="F32" s="785">
        <v>-8295078.1009376571</v>
      </c>
      <c r="G32" s="785">
        <v>-8212891.0822362155</v>
      </c>
      <c r="H32" s="785">
        <v>-8135941.4965425357</v>
      </c>
      <c r="I32" s="785">
        <v>-8060497.4104617313</v>
      </c>
      <c r="J32" s="785">
        <v>-7998176.4026765488</v>
      </c>
      <c r="K32" s="785">
        <v>-7940332.4325065464</v>
      </c>
      <c r="L32" s="785">
        <v>-7897228.4024594929</v>
      </c>
      <c r="M32" s="785">
        <v>-7863096.8044484016</v>
      </c>
      <c r="N32" s="785">
        <v>-7890405.5204039179</v>
      </c>
      <c r="O32" s="785">
        <v>-7908061.4030929562</v>
      </c>
      <c r="P32" s="785">
        <v>-7914421.6156955548</v>
      </c>
      <c r="Q32" s="345">
        <f>P32</f>
        <v>-7914421.6156955548</v>
      </c>
    </row>
    <row r="33" spans="1:18">
      <c r="A33" s="605">
        <f t="shared" si="0"/>
        <v>21</v>
      </c>
      <c r="B33" s="217"/>
      <c r="C33" s="4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48"/>
    </row>
    <row r="34" spans="1:18">
      <c r="A34" s="605">
        <f t="shared" si="0"/>
        <v>22</v>
      </c>
      <c r="C34" s="16" t="s">
        <v>648</v>
      </c>
      <c r="D34" s="785">
        <v>0</v>
      </c>
      <c r="E34" s="785">
        <v>0</v>
      </c>
      <c r="F34" s="785">
        <v>0</v>
      </c>
      <c r="G34" s="785">
        <v>0</v>
      </c>
      <c r="H34" s="785">
        <v>0</v>
      </c>
      <c r="I34" s="785">
        <v>0</v>
      </c>
      <c r="J34" s="785">
        <v>0</v>
      </c>
      <c r="K34" s="785">
        <v>0</v>
      </c>
      <c r="L34" s="785">
        <v>0</v>
      </c>
      <c r="M34" s="785">
        <v>0</v>
      </c>
      <c r="N34" s="785">
        <v>0</v>
      </c>
      <c r="O34" s="785">
        <v>0</v>
      </c>
      <c r="P34" s="785">
        <v>0</v>
      </c>
      <c r="Q34" s="345">
        <f>P34</f>
        <v>0</v>
      </c>
    </row>
    <row r="35" spans="1:18">
      <c r="A35" s="605">
        <f t="shared" si="0"/>
        <v>23</v>
      </c>
      <c r="B35" s="217"/>
      <c r="C35" s="4"/>
      <c r="D35" s="218"/>
      <c r="E35" s="218"/>
      <c r="F35" s="218"/>
      <c r="G35" s="218"/>
      <c r="H35" s="218"/>
      <c r="I35" s="221"/>
      <c r="J35" s="221"/>
      <c r="K35" s="221"/>
      <c r="L35" s="218"/>
      <c r="M35" s="248"/>
      <c r="N35" s="248"/>
      <c r="O35" s="248"/>
      <c r="P35" s="248"/>
      <c r="Q35" s="248"/>
    </row>
    <row r="36" spans="1:18">
      <c r="A36" s="605">
        <f t="shared" si="0"/>
        <v>24</v>
      </c>
      <c r="C36" s="19" t="s">
        <v>691</v>
      </c>
      <c r="D36" s="749">
        <f t="shared" ref="D36:P36" si="3">SUM(D30:D34)</f>
        <v>-9692131.2466139309</v>
      </c>
      <c r="E36" s="749">
        <f t="shared" si="3"/>
        <v>-9600250.913634982</v>
      </c>
      <c r="F36" s="749">
        <f t="shared" si="3"/>
        <v>-9511495.1009376571</v>
      </c>
      <c r="G36" s="749">
        <f t="shared" si="3"/>
        <v>-9429308.0822362155</v>
      </c>
      <c r="H36" s="749">
        <f t="shared" si="3"/>
        <v>-9352358.4965425357</v>
      </c>
      <c r="I36" s="749">
        <f t="shared" si="3"/>
        <v>-9276914.4104617313</v>
      </c>
      <c r="J36" s="749">
        <f t="shared" si="3"/>
        <v>-9214593.4026765488</v>
      </c>
      <c r="K36" s="749">
        <f t="shared" si="3"/>
        <v>-9156749.4325065464</v>
      </c>
      <c r="L36" s="749">
        <f t="shared" si="3"/>
        <v>-9113645.4024594929</v>
      </c>
      <c r="M36" s="749">
        <f t="shared" si="3"/>
        <v>-9079513.8044484016</v>
      </c>
      <c r="N36" s="749">
        <f t="shared" si="3"/>
        <v>-9106822.5204039179</v>
      </c>
      <c r="O36" s="749">
        <f t="shared" si="3"/>
        <v>-9124478.4030929562</v>
      </c>
      <c r="P36" s="749">
        <f t="shared" si="3"/>
        <v>-9130838.6156955548</v>
      </c>
      <c r="Q36" s="781">
        <f>P36</f>
        <v>-9130838.6156955548</v>
      </c>
      <c r="R36" s="334"/>
    </row>
    <row r="37" spans="1:18">
      <c r="A37" s="605">
        <f t="shared" si="0"/>
        <v>25</v>
      </c>
      <c r="C37" s="19"/>
      <c r="D37" s="218"/>
      <c r="E37" s="218"/>
      <c r="F37" s="218"/>
      <c r="G37" s="221"/>
      <c r="H37" s="221"/>
      <c r="I37" s="221"/>
      <c r="J37" s="221"/>
      <c r="K37" s="221"/>
      <c r="L37" s="218"/>
      <c r="M37" s="248"/>
      <c r="N37" s="248"/>
      <c r="O37" s="248"/>
      <c r="P37" s="248"/>
      <c r="Q37" s="248"/>
    </row>
    <row r="38" spans="1:18" ht="15.75">
      <c r="A38" s="605">
        <f t="shared" si="0"/>
        <v>26</v>
      </c>
      <c r="B38" s="12" t="s">
        <v>649</v>
      </c>
      <c r="D38" s="221"/>
      <c r="E38" s="221"/>
      <c r="F38" s="221"/>
      <c r="G38" s="221"/>
      <c r="H38" s="221"/>
      <c r="I38" s="221"/>
      <c r="J38" s="221"/>
      <c r="K38" s="221"/>
      <c r="L38" s="221"/>
      <c r="M38" s="248"/>
      <c r="N38" s="248"/>
      <c r="O38" s="248"/>
      <c r="P38" s="248"/>
      <c r="Q38" s="248"/>
    </row>
    <row r="39" spans="1:18">
      <c r="A39" s="605">
        <f t="shared" si="0"/>
        <v>27</v>
      </c>
      <c r="C39" s="16" t="s">
        <v>646</v>
      </c>
      <c r="D39" s="706">
        <v>1641942</v>
      </c>
      <c r="E39" s="706">
        <v>1641942</v>
      </c>
      <c r="F39" s="706">
        <v>1641942</v>
      </c>
      <c r="G39" s="706">
        <v>1641942</v>
      </c>
      <c r="H39" s="706">
        <v>1641942</v>
      </c>
      <c r="I39" s="706">
        <v>1641942</v>
      </c>
      <c r="J39" s="706">
        <v>1641942</v>
      </c>
      <c r="K39" s="706">
        <v>1641942</v>
      </c>
      <c r="L39" s="706">
        <v>1641942</v>
      </c>
      <c r="M39" s="706">
        <v>1641942</v>
      </c>
      <c r="N39" s="706">
        <v>1641942</v>
      </c>
      <c r="O39" s="706">
        <v>1641942</v>
      </c>
      <c r="P39" s="706">
        <v>1641942</v>
      </c>
      <c r="Q39" s="707">
        <f>P39</f>
        <v>1641942</v>
      </c>
    </row>
    <row r="40" spans="1:18">
      <c r="A40" s="605">
        <f t="shared" si="0"/>
        <v>28</v>
      </c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48"/>
    </row>
    <row r="41" spans="1:18">
      <c r="A41" s="605">
        <f t="shared" si="0"/>
        <v>29</v>
      </c>
      <c r="C41" s="16" t="s">
        <v>647</v>
      </c>
      <c r="D41" s="785">
        <v>239947.40696827479</v>
      </c>
      <c r="E41" s="785">
        <v>240373.96383513237</v>
      </c>
      <c r="F41" s="785">
        <v>240766.34733354353</v>
      </c>
      <c r="G41" s="785">
        <v>241120.89603117475</v>
      </c>
      <c r="H41" s="785">
        <v>241438.83040547062</v>
      </c>
      <c r="I41" s="785">
        <v>241718.9299789865</v>
      </c>
      <c r="J41" s="785">
        <v>241962.41522916697</v>
      </c>
      <c r="K41" s="785">
        <v>242162.07067965384</v>
      </c>
      <c r="L41" s="785">
        <v>242324.99426684639</v>
      </c>
      <c r="M41" s="785">
        <v>242452.37088956055</v>
      </c>
      <c r="N41" s="785">
        <v>242543.01564898039</v>
      </c>
      <c r="O41" s="785">
        <v>242600.48324155377</v>
      </c>
      <c r="P41" s="785">
        <v>242621.21897083282</v>
      </c>
      <c r="Q41" s="345">
        <f>P41</f>
        <v>242621.21897083282</v>
      </c>
    </row>
    <row r="42" spans="1:18">
      <c r="A42" s="605">
        <f t="shared" si="0"/>
        <v>30</v>
      </c>
      <c r="B42" s="2"/>
      <c r="C42" s="4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8"/>
    </row>
    <row r="43" spans="1:18">
      <c r="A43" s="605">
        <f t="shared" si="0"/>
        <v>31</v>
      </c>
      <c r="C43" s="16" t="s">
        <v>648</v>
      </c>
      <c r="D43" s="785">
        <v>-2254245</v>
      </c>
      <c r="E43" s="785">
        <v>-2254245</v>
      </c>
      <c r="F43" s="785">
        <v>-2254245</v>
      </c>
      <c r="G43" s="785">
        <v>-2254245</v>
      </c>
      <c r="H43" s="785">
        <v>-2254245</v>
      </c>
      <c r="I43" s="785">
        <v>-2254245</v>
      </c>
      <c r="J43" s="785">
        <v>-2254245</v>
      </c>
      <c r="K43" s="785">
        <v>-2254245</v>
      </c>
      <c r="L43" s="785">
        <v>-2254245</v>
      </c>
      <c r="M43" s="785">
        <v>-2254245</v>
      </c>
      <c r="N43" s="785">
        <v>-2254245</v>
      </c>
      <c r="O43" s="785">
        <v>-2254245</v>
      </c>
      <c r="P43" s="785">
        <v>-2254245</v>
      </c>
      <c r="Q43" s="345">
        <f>P43</f>
        <v>-2254245</v>
      </c>
    </row>
    <row r="44" spans="1:18">
      <c r="A44" s="605">
        <f t="shared" si="0"/>
        <v>32</v>
      </c>
      <c r="D44" s="218"/>
      <c r="E44" s="218"/>
      <c r="F44" s="218"/>
      <c r="G44" s="218"/>
      <c r="H44" s="218"/>
      <c r="I44" s="218"/>
      <c r="J44" s="218"/>
      <c r="K44" s="218"/>
      <c r="L44" s="218"/>
      <c r="M44" s="248"/>
      <c r="N44" s="248"/>
      <c r="O44" s="248"/>
      <c r="P44" s="248"/>
      <c r="Q44" s="248"/>
    </row>
    <row r="45" spans="1:18">
      <c r="A45" s="605">
        <f t="shared" si="0"/>
        <v>33</v>
      </c>
      <c r="C45" s="16" t="s">
        <v>417</v>
      </c>
      <c r="D45" s="766">
        <f>'WP B.5 B'!P45</f>
        <v>0</v>
      </c>
      <c r="E45" s="768">
        <f>D45</f>
        <v>0</v>
      </c>
      <c r="F45" s="768">
        <f t="shared" ref="F45:J45" si="4">E45</f>
        <v>0</v>
      </c>
      <c r="G45" s="768">
        <f t="shared" si="4"/>
        <v>0</v>
      </c>
      <c r="H45" s="768">
        <f t="shared" si="4"/>
        <v>0</v>
      </c>
      <c r="I45" s="768">
        <f t="shared" si="4"/>
        <v>0</v>
      </c>
      <c r="J45" s="768">
        <f t="shared" si="4"/>
        <v>0</v>
      </c>
      <c r="K45" s="768">
        <f t="shared" ref="K45:P45" si="5">J45</f>
        <v>0</v>
      </c>
      <c r="L45" s="768">
        <f t="shared" si="5"/>
        <v>0</v>
      </c>
      <c r="M45" s="768">
        <f t="shared" si="5"/>
        <v>0</v>
      </c>
      <c r="N45" s="768">
        <f t="shared" si="5"/>
        <v>0</v>
      </c>
      <c r="O45" s="768">
        <f t="shared" si="5"/>
        <v>0</v>
      </c>
      <c r="P45" s="768">
        <f t="shared" si="5"/>
        <v>0</v>
      </c>
      <c r="Q45" s="345">
        <f>0</f>
        <v>0</v>
      </c>
    </row>
    <row r="46" spans="1:18">
      <c r="A46" s="605">
        <f t="shared" si="0"/>
        <v>34</v>
      </c>
      <c r="B46" s="217"/>
      <c r="C46" s="4"/>
      <c r="D46" s="218"/>
      <c r="E46" s="218"/>
      <c r="F46" s="218"/>
      <c r="G46" s="218"/>
      <c r="H46" s="218"/>
      <c r="I46" s="221"/>
      <c r="J46" s="221"/>
      <c r="K46" s="221"/>
      <c r="L46" s="218"/>
      <c r="M46" s="248"/>
      <c r="N46" s="248"/>
      <c r="O46" s="248"/>
      <c r="P46" s="248"/>
      <c r="Q46" s="248"/>
    </row>
    <row r="47" spans="1:18">
      <c r="A47" s="605">
        <f t="shared" si="0"/>
        <v>35</v>
      </c>
      <c r="C47" s="19" t="s">
        <v>416</v>
      </c>
      <c r="D47" s="749">
        <f>SUM(D39:D45)</f>
        <v>-372355.59303172515</v>
      </c>
      <c r="E47" s="749">
        <f t="shared" ref="E47:P47" si="6">SUM(E39:E45)</f>
        <v>-371929.03616486769</v>
      </c>
      <c r="F47" s="749">
        <f t="shared" si="6"/>
        <v>-371536.65266645653</v>
      </c>
      <c r="G47" s="749">
        <f t="shared" si="6"/>
        <v>-371182.10396882519</v>
      </c>
      <c r="H47" s="749">
        <f t="shared" si="6"/>
        <v>-370864.16959452932</v>
      </c>
      <c r="I47" s="749">
        <f t="shared" si="6"/>
        <v>-370584.0700210135</v>
      </c>
      <c r="J47" s="749">
        <f t="shared" si="6"/>
        <v>-370340.58477083314</v>
      </c>
      <c r="K47" s="749">
        <f t="shared" si="6"/>
        <v>-370140.9293203461</v>
      </c>
      <c r="L47" s="749">
        <f t="shared" si="6"/>
        <v>-369978.00573315355</v>
      </c>
      <c r="M47" s="749">
        <f t="shared" si="6"/>
        <v>-369850.62911043945</v>
      </c>
      <c r="N47" s="749">
        <f t="shared" si="6"/>
        <v>-369759.98435101961</v>
      </c>
      <c r="O47" s="749">
        <f t="shared" si="6"/>
        <v>-369702.51675844612</v>
      </c>
      <c r="P47" s="749">
        <f t="shared" si="6"/>
        <v>-369681.78102916712</v>
      </c>
      <c r="Q47" s="781">
        <f>P47</f>
        <v>-369681.78102916712</v>
      </c>
      <c r="R47" s="334"/>
    </row>
    <row r="48" spans="1:18">
      <c r="A48" s="605">
        <f t="shared" si="0"/>
        <v>36</v>
      </c>
      <c r="D48" s="221"/>
      <c r="E48" s="221"/>
      <c r="F48" s="221"/>
      <c r="G48" s="221"/>
      <c r="H48" s="221"/>
      <c r="I48" s="221"/>
      <c r="J48" s="221"/>
      <c r="K48" s="221"/>
      <c r="L48" s="221"/>
      <c r="M48" s="248"/>
      <c r="N48" s="248"/>
      <c r="O48" s="248"/>
      <c r="P48" s="248"/>
      <c r="Q48" s="248"/>
    </row>
    <row r="49" spans="1:17" ht="15.75" thickBot="1">
      <c r="A49" s="605">
        <f t="shared" si="0"/>
        <v>37</v>
      </c>
      <c r="C49" s="1" t="s">
        <v>91</v>
      </c>
      <c r="D49" s="712">
        <f>D47+D36+D28+D19</f>
        <v>-268272648.38176647</v>
      </c>
      <c r="E49" s="712">
        <f t="shared" ref="E49:P49" si="7">E47+E36+E28+E19</f>
        <v>-268611469.46291399</v>
      </c>
      <c r="F49" s="712">
        <f t="shared" si="7"/>
        <v>-268862101.40951407</v>
      </c>
      <c r="G49" s="712">
        <f t="shared" si="7"/>
        <v>-269328381.9325608</v>
      </c>
      <c r="H49" s="712">
        <f t="shared" si="7"/>
        <v>-269517483.70367485</v>
      </c>
      <c r="I49" s="712">
        <f t="shared" si="7"/>
        <v>-269726892.40995455</v>
      </c>
      <c r="J49" s="712">
        <f t="shared" si="7"/>
        <v>-270671800.75819194</v>
      </c>
      <c r="K49" s="712">
        <f t="shared" si="7"/>
        <v>-270709866.64760774</v>
      </c>
      <c r="L49" s="712">
        <f t="shared" si="7"/>
        <v>-270760725.2033205</v>
      </c>
      <c r="M49" s="712">
        <f t="shared" si="7"/>
        <v>-270789222.67878282</v>
      </c>
      <c r="N49" s="712">
        <f t="shared" si="7"/>
        <v>-270927491.30978644</v>
      </c>
      <c r="O49" s="712">
        <f t="shared" si="7"/>
        <v>-271010226.84277999</v>
      </c>
      <c r="P49" s="712">
        <f t="shared" si="7"/>
        <v>-271039409.10200739</v>
      </c>
      <c r="Q49" s="712">
        <f>P49</f>
        <v>-271039409.10200739</v>
      </c>
    </row>
    <row r="50" spans="1:17" ht="15.75" thickTop="1"/>
    <row r="51" spans="1:17">
      <c r="C51" s="1" t="s">
        <v>657</v>
      </c>
    </row>
    <row r="52" spans="1:17">
      <c r="C52" s="1" t="s">
        <v>1668</v>
      </c>
      <c r="D52" s="329"/>
    </row>
    <row r="58" spans="1:17">
      <c r="D58" s="442"/>
    </row>
    <row r="59" spans="1:17">
      <c r="C59"/>
      <c r="D59" s="442"/>
    </row>
    <row r="60" spans="1:17">
      <c r="C60"/>
      <c r="D60" s="432"/>
      <c r="H60"/>
    </row>
    <row r="61" spans="1:17">
      <c r="D61" s="442"/>
    </row>
    <row r="62" spans="1:17">
      <c r="C62"/>
      <c r="E62"/>
    </row>
    <row r="65" spans="3:4">
      <c r="C65"/>
    </row>
    <row r="66" spans="3:4">
      <c r="C66"/>
    </row>
    <row r="67" spans="3:4">
      <c r="C67"/>
    </row>
    <row r="68" spans="3:4">
      <c r="C68"/>
      <c r="D68" s="82"/>
    </row>
    <row r="69" spans="3:4">
      <c r="C69"/>
    </row>
    <row r="70" spans="3:4">
      <c r="C70"/>
      <c r="D70" s="432"/>
    </row>
    <row r="71" spans="3:4">
      <c r="C71"/>
    </row>
    <row r="72" spans="3:4">
      <c r="C72"/>
      <c r="D72" s="82"/>
    </row>
    <row r="73" spans="3:4">
      <c r="C73"/>
    </row>
    <row r="74" spans="3:4">
      <c r="C74"/>
    </row>
  </sheetData>
  <mergeCells count="4">
    <mergeCell ref="A1:Q1"/>
    <mergeCell ref="A2:Q2"/>
    <mergeCell ref="A3:Q3"/>
    <mergeCell ref="A4:Q4"/>
  </mergeCells>
  <phoneticPr fontId="20" type="noConversion"/>
  <printOptions horizontalCentered="1"/>
  <pageMargins left="0.38" right="0.34" top="0.84" bottom="1" header="0.5" footer="0.5"/>
  <pageSetup scale="41" orientation="landscape" verticalDpi="300" r:id="rId1"/>
  <headerFooter alignWithMargins="0">
    <oddFooter>&amp;R&amp;A
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7"/>
  <sheetViews>
    <sheetView view="pageBreakPreview" zoomScale="80" zoomScaleNormal="90" zoomScaleSheetLayoutView="80" workbookViewId="0">
      <pane ySplit="18" topLeftCell="A335" activePane="bottomLeft" state="frozen"/>
      <selection activeCell="E11" sqref="E11"/>
      <selection pane="bottomLeft" activeCell="I350" sqref="I350"/>
    </sheetView>
  </sheetViews>
  <sheetFormatPr defaultColWidth="8.88671875" defaultRowHeight="15"/>
  <cols>
    <col min="1" max="1" width="29.6640625" style="45" bestFit="1" customWidth="1"/>
    <col min="2" max="2" width="7.88671875" style="45" bestFit="1" customWidth="1"/>
    <col min="3" max="5" width="16.77734375" style="45" customWidth="1"/>
    <col min="6" max="6" width="2.77734375" style="45" customWidth="1"/>
    <col min="7" max="10" width="10.77734375" style="45" customWidth="1"/>
    <col min="11" max="16384" width="8.88671875" style="45"/>
  </cols>
  <sheetData>
    <row r="1" spans="1:10">
      <c r="A1" s="1075" t="str">
        <f>'Table of Contents'!A1:C1</f>
        <v>Atmos Energy Corporation, Kentucky/Mid-States Division</v>
      </c>
      <c r="B1" s="1075"/>
      <c r="C1" s="1075"/>
      <c r="D1" s="1075"/>
      <c r="E1" s="1075"/>
      <c r="F1" s="1075"/>
      <c r="G1" s="1075"/>
      <c r="H1" s="1075"/>
      <c r="I1" s="1075"/>
      <c r="J1" s="1075"/>
    </row>
    <row r="2" spans="1:10">
      <c r="A2" s="1075" t="str">
        <f>'Table of Contents'!A2:C2</f>
        <v xml:space="preserve">Kentucky Jurisdiction Case No. 2024-00276 </v>
      </c>
      <c r="B2" s="1075"/>
      <c r="C2" s="1075"/>
      <c r="D2" s="1075"/>
      <c r="E2" s="1075"/>
      <c r="F2" s="1075"/>
      <c r="G2" s="1075"/>
      <c r="H2" s="1075"/>
      <c r="I2" s="1075"/>
      <c r="J2" s="1075"/>
    </row>
    <row r="3" spans="1:10">
      <c r="A3" s="1078" t="str">
        <f>'Table of Contents'!A3:C3</f>
        <v>Base Period: Twelve Months Ended December 31, 2024</v>
      </c>
      <c r="B3" s="1078"/>
      <c r="C3" s="1078"/>
      <c r="D3" s="1078"/>
      <c r="E3" s="1078"/>
      <c r="F3" s="1078"/>
      <c r="G3" s="1078"/>
      <c r="H3" s="1078"/>
      <c r="I3" s="1078"/>
      <c r="J3" s="1078"/>
    </row>
    <row r="4" spans="1:10">
      <c r="A4" s="1078" t="str">
        <f>'Table of Contents'!A4:C4</f>
        <v>Forecasted Test Period:  Twelve Months Ended March 31, 2026</v>
      </c>
      <c r="B4" s="1078"/>
      <c r="C4" s="1078"/>
      <c r="D4" s="1078"/>
      <c r="E4" s="1078"/>
      <c r="F4" s="1078"/>
      <c r="G4" s="1078"/>
      <c r="H4" s="1078"/>
      <c r="I4" s="1078"/>
      <c r="J4" s="1078"/>
    </row>
    <row r="5" spans="1:10">
      <c r="A5" s="1079" t="s">
        <v>1486</v>
      </c>
      <c r="B5" s="1079"/>
      <c r="C5" s="1079"/>
      <c r="D5" s="1079"/>
      <c r="E5" s="1079"/>
      <c r="F5" s="1079"/>
      <c r="G5" s="1079"/>
      <c r="H5" s="1079"/>
      <c r="I5" s="1079"/>
      <c r="J5" s="1079"/>
    </row>
    <row r="7" spans="1:10" ht="15.75">
      <c r="B7" s="597"/>
      <c r="F7" s="597"/>
    </row>
    <row r="8" spans="1:10" ht="15.75">
      <c r="A8" s="59" t="s">
        <v>1487</v>
      </c>
      <c r="B8" s="667"/>
      <c r="C8" s="668"/>
      <c r="D8" s="608"/>
    </row>
    <row r="9" spans="1:10" ht="15.75">
      <c r="A9" s="59" t="s">
        <v>1657</v>
      </c>
      <c r="B9" s="667"/>
      <c r="C9" s="668"/>
      <c r="D9" s="608"/>
      <c r="E9" s="608"/>
      <c r="F9" s="608"/>
    </row>
    <row r="10" spans="1:10">
      <c r="C10" s="668"/>
      <c r="F10" s="608"/>
    </row>
    <row r="11" spans="1:10" ht="15.75">
      <c r="A11" s="597" t="s">
        <v>1361</v>
      </c>
      <c r="B11" s="597"/>
      <c r="C11" s="1080" t="s">
        <v>1644</v>
      </c>
      <c r="D11" s="1080"/>
      <c r="E11" s="1080"/>
      <c r="F11" s="608"/>
    </row>
    <row r="12" spans="1:10" ht="31.5">
      <c r="B12" s="667"/>
      <c r="C12" s="666" t="s">
        <v>1580</v>
      </c>
      <c r="D12" s="666" t="s">
        <v>1581</v>
      </c>
      <c r="E12" s="666" t="s">
        <v>1582</v>
      </c>
      <c r="F12" s="608"/>
    </row>
    <row r="13" spans="1:10">
      <c r="C13" s="786">
        <f>C114</f>
        <v>-3625792.4424947249</v>
      </c>
      <c r="D13" s="787">
        <f>AVERAGE(C102:C114)</f>
        <v>-3720791.3711190415</v>
      </c>
      <c r="E13" s="787">
        <f>SUM(G103:G114)</f>
        <v>189997.85724863189</v>
      </c>
      <c r="F13" s="608"/>
    </row>
    <row r="14" spans="1:10">
      <c r="B14" s="667"/>
      <c r="D14" s="608"/>
      <c r="E14" s="608"/>
      <c r="F14" s="608"/>
    </row>
    <row r="15" spans="1:10">
      <c r="B15" s="667"/>
      <c r="C15" s="668"/>
      <c r="D15" s="608"/>
      <c r="E15" s="608"/>
      <c r="F15" s="608"/>
    </row>
    <row r="16" spans="1:10" ht="15.75">
      <c r="A16" s="597" t="s">
        <v>1572</v>
      </c>
      <c r="B16" s="667"/>
    </row>
    <row r="17" spans="1:10" ht="15.75">
      <c r="A17" s="59"/>
      <c r="B17" s="667"/>
      <c r="C17" s="1076" t="s">
        <v>100</v>
      </c>
      <c r="D17" s="1076"/>
      <c r="E17" s="1076"/>
      <c r="G17" s="1076" t="s">
        <v>1503</v>
      </c>
      <c r="H17" s="1076"/>
      <c r="I17" s="1076"/>
      <c r="J17" s="1076"/>
    </row>
    <row r="18" spans="1:10" ht="30">
      <c r="B18" s="667"/>
      <c r="C18" s="672" t="s">
        <v>1575</v>
      </c>
      <c r="D18" s="672" t="s">
        <v>1576</v>
      </c>
      <c r="E18" s="669" t="s">
        <v>1578</v>
      </c>
      <c r="F18" s="670"/>
      <c r="G18" s="669" t="s">
        <v>1575</v>
      </c>
      <c r="H18" s="669" t="s">
        <v>1576</v>
      </c>
      <c r="I18" s="669" t="s">
        <v>1574</v>
      </c>
      <c r="J18" s="669" t="s">
        <v>91</v>
      </c>
    </row>
    <row r="19" spans="1:10" ht="15.75">
      <c r="A19" s="1077" t="s">
        <v>1573</v>
      </c>
      <c r="B19" s="1077"/>
      <c r="C19" s="788">
        <v>-5565572.5675896592</v>
      </c>
      <c r="D19" s="788">
        <v>-30215187.485404596</v>
      </c>
      <c r="E19" s="786">
        <f>C19+D19</f>
        <v>-35780760.052994251</v>
      </c>
    </row>
    <row r="20" spans="1:10">
      <c r="B20" s="671">
        <v>43251</v>
      </c>
      <c r="C20" s="332">
        <f>C19+G20</f>
        <v>-5544490.8535192218</v>
      </c>
      <c r="D20" s="332">
        <f>D19+H20+I20</f>
        <v>-30113666.432113923</v>
      </c>
      <c r="E20" s="332">
        <f>C20+D20</f>
        <v>-35658157.285633147</v>
      </c>
      <c r="G20" s="608">
        <v>21081.714070437138</v>
      </c>
      <c r="H20" s="608">
        <v>101521.05329067397</v>
      </c>
      <c r="J20" s="332">
        <f>SUM(G20:I20)</f>
        <v>122602.76736111111</v>
      </c>
    </row>
    <row r="21" spans="1:10">
      <c r="B21" s="789">
        <f>EOMONTH(B20,1)</f>
        <v>43281</v>
      </c>
      <c r="C21" s="332">
        <f t="shared" ref="C21:C84" si="0">C20+G21</f>
        <v>-5523409.1394487843</v>
      </c>
      <c r="D21" s="332">
        <f t="shared" ref="D21:D84" si="1">D20+H21+I21</f>
        <v>-30012145.378823251</v>
      </c>
      <c r="E21" s="332">
        <f t="shared" ref="E21:E84" si="2">C21+D21</f>
        <v>-35535554.518272035</v>
      </c>
      <c r="G21" s="608">
        <v>21081.714070437138</v>
      </c>
      <c r="H21" s="608">
        <v>101521.05329067397</v>
      </c>
      <c r="J21" s="332">
        <f t="shared" ref="J21:J84" si="3">SUM(G21:I21)</f>
        <v>122602.76736111111</v>
      </c>
    </row>
    <row r="22" spans="1:10">
      <c r="B22" s="789">
        <f t="shared" ref="B22:B85" si="4">EOMONTH(B21,1)</f>
        <v>43312</v>
      </c>
      <c r="C22" s="332">
        <f t="shared" si="0"/>
        <v>-5502327.4253783468</v>
      </c>
      <c r="D22" s="332">
        <f t="shared" si="1"/>
        <v>-29910624.325532578</v>
      </c>
      <c r="E22" s="332">
        <f t="shared" si="2"/>
        <v>-35412951.750910923</v>
      </c>
      <c r="G22" s="608">
        <v>21081.714070437138</v>
      </c>
      <c r="H22" s="608">
        <v>101521.05329067397</v>
      </c>
      <c r="J22" s="332">
        <f t="shared" si="3"/>
        <v>122602.76736111111</v>
      </c>
    </row>
    <row r="23" spans="1:10">
      <c r="B23" s="789">
        <f t="shared" si="4"/>
        <v>43343</v>
      </c>
      <c r="C23" s="332">
        <f t="shared" si="0"/>
        <v>-5481245.7113079093</v>
      </c>
      <c r="D23" s="332">
        <f t="shared" si="1"/>
        <v>-29809103.272241905</v>
      </c>
      <c r="E23" s="332">
        <f t="shared" si="2"/>
        <v>-35290348.983549818</v>
      </c>
      <c r="G23" s="608">
        <v>21081.714070437138</v>
      </c>
      <c r="H23" s="608">
        <v>101521.05329067397</v>
      </c>
      <c r="J23" s="332">
        <f t="shared" si="3"/>
        <v>122602.76736111111</v>
      </c>
    </row>
    <row r="24" spans="1:10">
      <c r="B24" s="789">
        <f t="shared" si="4"/>
        <v>43373</v>
      </c>
      <c r="C24" s="332">
        <f t="shared" si="0"/>
        <v>-5460163.9972374719</v>
      </c>
      <c r="D24" s="332">
        <f t="shared" si="1"/>
        <v>-29707582.218951233</v>
      </c>
      <c r="E24" s="332">
        <f t="shared" si="2"/>
        <v>-35167746.216188706</v>
      </c>
      <c r="G24" s="608">
        <v>21081.714070437138</v>
      </c>
      <c r="H24" s="608">
        <v>101521.05329067397</v>
      </c>
      <c r="J24" s="332">
        <f t="shared" si="3"/>
        <v>122602.76736111111</v>
      </c>
    </row>
    <row r="25" spans="1:10">
      <c r="B25" s="789">
        <f t="shared" si="4"/>
        <v>43404</v>
      </c>
      <c r="C25" s="332">
        <f t="shared" si="0"/>
        <v>-5439082.2831670344</v>
      </c>
      <c r="D25" s="332">
        <f t="shared" si="1"/>
        <v>-29606061.16566056</v>
      </c>
      <c r="E25" s="332">
        <f t="shared" si="2"/>
        <v>-35045143.448827595</v>
      </c>
      <c r="G25" s="608">
        <v>21081.714070437138</v>
      </c>
      <c r="H25" s="608">
        <v>101521.05329067397</v>
      </c>
      <c r="J25" s="332">
        <f t="shared" si="3"/>
        <v>122602.76736111111</v>
      </c>
    </row>
    <row r="26" spans="1:10">
      <c r="B26" s="789">
        <f t="shared" si="4"/>
        <v>43434</v>
      </c>
      <c r="C26" s="332">
        <f t="shared" si="0"/>
        <v>-5418000.5690965969</v>
      </c>
      <c r="D26" s="332">
        <f t="shared" si="1"/>
        <v>-29504540.112369888</v>
      </c>
      <c r="E26" s="332">
        <f t="shared" si="2"/>
        <v>-34922540.681466483</v>
      </c>
      <c r="G26" s="608">
        <v>21081.714070437138</v>
      </c>
      <c r="H26" s="608">
        <v>101521.05329067397</v>
      </c>
      <c r="J26" s="332">
        <f t="shared" si="3"/>
        <v>122602.76736111111</v>
      </c>
    </row>
    <row r="27" spans="1:10">
      <c r="B27" s="789">
        <f t="shared" si="4"/>
        <v>43465</v>
      </c>
      <c r="C27" s="332">
        <f t="shared" si="0"/>
        <v>-5396918.8550261594</v>
      </c>
      <c r="D27" s="332">
        <f t="shared" si="1"/>
        <v>-29403019.059079215</v>
      </c>
      <c r="E27" s="332">
        <f t="shared" si="2"/>
        <v>-34799937.914105371</v>
      </c>
      <c r="G27" s="608">
        <v>21081.714070437138</v>
      </c>
      <c r="H27" s="608">
        <v>101521.05329067397</v>
      </c>
      <c r="J27" s="332">
        <f t="shared" si="3"/>
        <v>122602.76736111111</v>
      </c>
    </row>
    <row r="28" spans="1:10">
      <c r="B28" s="789">
        <f t="shared" si="4"/>
        <v>43496</v>
      </c>
      <c r="C28" s="332">
        <f t="shared" si="0"/>
        <v>-5375837.140955722</v>
      </c>
      <c r="D28" s="332">
        <f t="shared" si="1"/>
        <v>-29301498.005788542</v>
      </c>
      <c r="E28" s="332">
        <f t="shared" si="2"/>
        <v>-34677335.146744266</v>
      </c>
      <c r="G28" s="608">
        <v>21081.714070437138</v>
      </c>
      <c r="H28" s="608">
        <v>101521.05329067397</v>
      </c>
      <c r="J28" s="332">
        <f t="shared" si="3"/>
        <v>122602.76736111111</v>
      </c>
    </row>
    <row r="29" spans="1:10">
      <c r="B29" s="789">
        <f t="shared" si="4"/>
        <v>43524</v>
      </c>
      <c r="C29" s="332">
        <f t="shared" si="0"/>
        <v>-5354755.4268852845</v>
      </c>
      <c r="D29" s="332">
        <f t="shared" si="1"/>
        <v>-29199976.95249787</v>
      </c>
      <c r="E29" s="332">
        <f t="shared" si="2"/>
        <v>-34554732.379383154</v>
      </c>
      <c r="G29" s="608">
        <v>21081.714070437138</v>
      </c>
      <c r="H29" s="608">
        <v>101521.05329067397</v>
      </c>
      <c r="J29" s="332">
        <f t="shared" si="3"/>
        <v>122602.76736111111</v>
      </c>
    </row>
    <row r="30" spans="1:10">
      <c r="B30" s="789">
        <f t="shared" si="4"/>
        <v>43555</v>
      </c>
      <c r="C30" s="332">
        <f t="shared" si="0"/>
        <v>-5333673.712814847</v>
      </c>
      <c r="D30" s="332">
        <f t="shared" si="1"/>
        <v>-29098455.899207197</v>
      </c>
      <c r="E30" s="332">
        <f t="shared" si="2"/>
        <v>-34432129.612022042</v>
      </c>
      <c r="G30" s="608">
        <v>21081.714070437138</v>
      </c>
      <c r="H30" s="608">
        <v>101521.05329067397</v>
      </c>
      <c r="J30" s="332">
        <f t="shared" si="3"/>
        <v>122602.76736111111</v>
      </c>
    </row>
    <row r="31" spans="1:10">
      <c r="A31" s="674" t="s">
        <v>1579</v>
      </c>
      <c r="B31" s="790">
        <f t="shared" si="4"/>
        <v>43585</v>
      </c>
      <c r="C31" s="791">
        <f t="shared" si="0"/>
        <v>-5312591.9987444095</v>
      </c>
      <c r="D31" s="791">
        <f t="shared" si="1"/>
        <v>-28997557.101930004</v>
      </c>
      <c r="E31" s="791">
        <f t="shared" si="2"/>
        <v>-34310149.100674413</v>
      </c>
      <c r="F31" s="673"/>
      <c r="G31" s="792">
        <v>21081.714070437138</v>
      </c>
      <c r="H31" s="792">
        <v>100898.7972771927</v>
      </c>
      <c r="I31" s="673"/>
      <c r="J31" s="791">
        <f t="shared" si="3"/>
        <v>121980.51134762984</v>
      </c>
    </row>
    <row r="32" spans="1:10">
      <c r="B32" s="789">
        <f t="shared" si="4"/>
        <v>43616</v>
      </c>
      <c r="C32" s="332">
        <f t="shared" si="0"/>
        <v>-5291510.2846739721</v>
      </c>
      <c r="D32" s="332">
        <f t="shared" si="1"/>
        <v>-28896658.30465281</v>
      </c>
      <c r="E32" s="332">
        <f t="shared" si="2"/>
        <v>-34188168.589326784</v>
      </c>
      <c r="G32" s="608">
        <v>21081.714070437138</v>
      </c>
      <c r="H32" s="608">
        <v>100898.7972771927</v>
      </c>
      <c r="J32" s="332">
        <f t="shared" si="3"/>
        <v>121980.51134762984</v>
      </c>
    </row>
    <row r="33" spans="2:10">
      <c r="B33" s="789">
        <f t="shared" si="4"/>
        <v>43646</v>
      </c>
      <c r="C33" s="332">
        <f t="shared" si="0"/>
        <v>-5270428.5706035346</v>
      </c>
      <c r="D33" s="332">
        <f t="shared" si="1"/>
        <v>-28795759.507375617</v>
      </c>
      <c r="E33" s="332">
        <f t="shared" si="2"/>
        <v>-34066188.077979147</v>
      </c>
      <c r="G33" s="608">
        <v>21081.714070437138</v>
      </c>
      <c r="H33" s="608">
        <v>100898.7972771927</v>
      </c>
      <c r="J33" s="332">
        <f t="shared" si="3"/>
        <v>121980.51134762984</v>
      </c>
    </row>
    <row r="34" spans="2:10">
      <c r="B34" s="789">
        <f t="shared" si="4"/>
        <v>43677</v>
      </c>
      <c r="C34" s="332">
        <f t="shared" si="0"/>
        <v>-5249346.8565330971</v>
      </c>
      <c r="D34" s="332">
        <f t="shared" si="1"/>
        <v>-28694860.710098423</v>
      </c>
      <c r="E34" s="332">
        <f t="shared" si="2"/>
        <v>-33944207.566631518</v>
      </c>
      <c r="G34" s="608">
        <v>21081.714070437138</v>
      </c>
      <c r="H34" s="608">
        <v>100898.7972771927</v>
      </c>
      <c r="J34" s="332">
        <f t="shared" si="3"/>
        <v>121980.51134762984</v>
      </c>
    </row>
    <row r="35" spans="2:10">
      <c r="B35" s="789">
        <f t="shared" si="4"/>
        <v>43708</v>
      </c>
      <c r="C35" s="332">
        <f t="shared" si="0"/>
        <v>-5228265.1424626596</v>
      </c>
      <c r="D35" s="332">
        <f t="shared" si="1"/>
        <v>-28593961.91282123</v>
      </c>
      <c r="E35" s="332">
        <f t="shared" si="2"/>
        <v>-33822227.055283889</v>
      </c>
      <c r="G35" s="608">
        <v>21081.714070437138</v>
      </c>
      <c r="H35" s="608">
        <v>100898.7972771927</v>
      </c>
      <c r="J35" s="332">
        <f t="shared" si="3"/>
        <v>121980.51134762984</v>
      </c>
    </row>
    <row r="36" spans="2:10">
      <c r="B36" s="789">
        <f t="shared" si="4"/>
        <v>43738</v>
      </c>
      <c r="C36" s="332">
        <f t="shared" si="0"/>
        <v>-5207183.4283922222</v>
      </c>
      <c r="D36" s="332">
        <f t="shared" si="1"/>
        <v>-28493063.115544036</v>
      </c>
      <c r="E36" s="332">
        <f t="shared" si="2"/>
        <v>-33700246.54393626</v>
      </c>
      <c r="G36" s="608">
        <v>21081.714070437138</v>
      </c>
      <c r="H36" s="608">
        <v>100898.7972771927</v>
      </c>
      <c r="J36" s="332">
        <f t="shared" si="3"/>
        <v>121980.51134762984</v>
      </c>
    </row>
    <row r="37" spans="2:10">
      <c r="B37" s="789">
        <f t="shared" si="4"/>
        <v>43769</v>
      </c>
      <c r="C37" s="332">
        <f t="shared" si="0"/>
        <v>-5186101.7143217847</v>
      </c>
      <c r="D37" s="332">
        <f t="shared" si="1"/>
        <v>-28392164.318266843</v>
      </c>
      <c r="E37" s="332">
        <f t="shared" si="2"/>
        <v>-33578266.032588631</v>
      </c>
      <c r="G37" s="608">
        <v>21081.714070437138</v>
      </c>
      <c r="H37" s="608">
        <v>100898.7972771927</v>
      </c>
      <c r="J37" s="332">
        <f t="shared" si="3"/>
        <v>121980.51134762984</v>
      </c>
    </row>
    <row r="38" spans="2:10">
      <c r="B38" s="789">
        <f t="shared" si="4"/>
        <v>43799</v>
      </c>
      <c r="C38" s="332">
        <f t="shared" si="0"/>
        <v>-5165020.0002513472</v>
      </c>
      <c r="D38" s="332">
        <f t="shared" si="1"/>
        <v>-28291265.520989649</v>
      </c>
      <c r="E38" s="332">
        <f t="shared" si="2"/>
        <v>-33456285.521240994</v>
      </c>
      <c r="G38" s="608">
        <v>21081.714070437138</v>
      </c>
      <c r="H38" s="608">
        <v>100898.7972771927</v>
      </c>
      <c r="J38" s="332">
        <f t="shared" si="3"/>
        <v>121980.51134762984</v>
      </c>
    </row>
    <row r="39" spans="2:10">
      <c r="B39" s="789">
        <f t="shared" si="4"/>
        <v>43830</v>
      </c>
      <c r="C39" s="332">
        <f t="shared" si="0"/>
        <v>-5143938.2861809097</v>
      </c>
      <c r="D39" s="332">
        <f t="shared" si="1"/>
        <v>-28190366.723712455</v>
      </c>
      <c r="E39" s="332">
        <f t="shared" si="2"/>
        <v>-33334305.009893365</v>
      </c>
      <c r="G39" s="608">
        <v>21081.714070437138</v>
      </c>
      <c r="H39" s="608">
        <v>100898.7972771927</v>
      </c>
      <c r="J39" s="332">
        <f t="shared" si="3"/>
        <v>121980.51134762984</v>
      </c>
    </row>
    <row r="40" spans="2:10">
      <c r="B40" s="789">
        <f t="shared" si="4"/>
        <v>43861</v>
      </c>
      <c r="C40" s="332">
        <f t="shared" si="0"/>
        <v>-5122856.5721104722</v>
      </c>
      <c r="D40" s="332">
        <f t="shared" si="1"/>
        <v>-28089467.926435262</v>
      </c>
      <c r="E40" s="332">
        <f t="shared" si="2"/>
        <v>-33212324.498545736</v>
      </c>
      <c r="G40" s="608">
        <v>21081.714070437138</v>
      </c>
      <c r="H40" s="608">
        <v>100898.7972771927</v>
      </c>
      <c r="J40" s="332">
        <f t="shared" si="3"/>
        <v>121980.51134762984</v>
      </c>
    </row>
    <row r="41" spans="2:10">
      <c r="B41" s="789">
        <f t="shared" si="4"/>
        <v>43890</v>
      </c>
      <c r="C41" s="332">
        <f t="shared" si="0"/>
        <v>-5101774.8580400348</v>
      </c>
      <c r="D41" s="332">
        <f t="shared" si="1"/>
        <v>-27988569.129158068</v>
      </c>
      <c r="E41" s="332">
        <f t="shared" si="2"/>
        <v>-33090343.987198103</v>
      </c>
      <c r="G41" s="608">
        <v>21081.714070437138</v>
      </c>
      <c r="H41" s="608">
        <v>100898.7972771927</v>
      </c>
      <c r="J41" s="332">
        <f t="shared" si="3"/>
        <v>121980.51134762984</v>
      </c>
    </row>
    <row r="42" spans="2:10">
      <c r="B42" s="789">
        <f t="shared" si="4"/>
        <v>43921</v>
      </c>
      <c r="C42" s="332">
        <f t="shared" si="0"/>
        <v>-5080693.1439695973</v>
      </c>
      <c r="D42" s="332">
        <f t="shared" si="1"/>
        <v>-27887670.331880875</v>
      </c>
      <c r="E42" s="332">
        <f t="shared" si="2"/>
        <v>-32968363.47585047</v>
      </c>
      <c r="G42" s="608">
        <v>21081.714070437138</v>
      </c>
      <c r="H42" s="608">
        <v>100898.7972771927</v>
      </c>
      <c r="J42" s="332">
        <f t="shared" si="3"/>
        <v>121980.51134762984</v>
      </c>
    </row>
    <row r="43" spans="2:10">
      <c r="B43" s="789">
        <f t="shared" si="4"/>
        <v>43951</v>
      </c>
      <c r="C43" s="332">
        <f t="shared" si="0"/>
        <v>-5059611.4298991598</v>
      </c>
      <c r="D43" s="332">
        <f t="shared" si="1"/>
        <v>-27786771.534603681</v>
      </c>
      <c r="E43" s="332">
        <f t="shared" si="2"/>
        <v>-32846382.964502841</v>
      </c>
      <c r="G43" s="608">
        <v>21081.714070437138</v>
      </c>
      <c r="H43" s="608">
        <v>100898.7972771927</v>
      </c>
      <c r="J43" s="332">
        <f t="shared" si="3"/>
        <v>121980.51134762984</v>
      </c>
    </row>
    <row r="44" spans="2:10">
      <c r="B44" s="789">
        <f t="shared" si="4"/>
        <v>43982</v>
      </c>
      <c r="C44" s="332">
        <f t="shared" si="0"/>
        <v>-5038529.7158287223</v>
      </c>
      <c r="D44" s="332">
        <f t="shared" si="1"/>
        <v>-27685872.737326488</v>
      </c>
      <c r="E44" s="332">
        <f t="shared" si="2"/>
        <v>-32724402.453155212</v>
      </c>
      <c r="G44" s="608">
        <v>21081.714070437138</v>
      </c>
      <c r="H44" s="608">
        <v>100898.7972771927</v>
      </c>
      <c r="J44" s="332">
        <f t="shared" si="3"/>
        <v>121980.51134762984</v>
      </c>
    </row>
    <row r="45" spans="2:10">
      <c r="B45" s="789">
        <f t="shared" si="4"/>
        <v>44012</v>
      </c>
      <c r="C45" s="332">
        <f t="shared" si="0"/>
        <v>-5017448.0017582849</v>
      </c>
      <c r="D45" s="332">
        <f t="shared" si="1"/>
        <v>-27584973.940049294</v>
      </c>
      <c r="E45" s="332">
        <f t="shared" si="2"/>
        <v>-32602421.941807579</v>
      </c>
      <c r="G45" s="608">
        <v>21081.714070437138</v>
      </c>
      <c r="H45" s="608">
        <v>100898.7972771927</v>
      </c>
      <c r="J45" s="332">
        <f t="shared" si="3"/>
        <v>121980.51134762984</v>
      </c>
    </row>
    <row r="46" spans="2:10">
      <c r="B46" s="789">
        <f t="shared" si="4"/>
        <v>44043</v>
      </c>
      <c r="C46" s="332">
        <f t="shared" si="0"/>
        <v>-4996366.2876878474</v>
      </c>
      <c r="D46" s="332">
        <f t="shared" si="1"/>
        <v>-27484075.142772101</v>
      </c>
      <c r="E46" s="332">
        <f t="shared" si="2"/>
        <v>-32480441.430459946</v>
      </c>
      <c r="G46" s="608">
        <v>21081.714070437138</v>
      </c>
      <c r="H46" s="608">
        <v>100898.7972771927</v>
      </c>
      <c r="J46" s="332">
        <f t="shared" si="3"/>
        <v>121980.51134762984</v>
      </c>
    </row>
    <row r="47" spans="2:10">
      <c r="B47" s="789">
        <f t="shared" si="4"/>
        <v>44074</v>
      </c>
      <c r="C47" s="332">
        <f t="shared" si="0"/>
        <v>-4975284.5736174099</v>
      </c>
      <c r="D47" s="332">
        <f t="shared" si="1"/>
        <v>-27383176.345494907</v>
      </c>
      <c r="E47" s="332">
        <f t="shared" si="2"/>
        <v>-32358460.919112317</v>
      </c>
      <c r="G47" s="608">
        <v>21081.714070437138</v>
      </c>
      <c r="H47" s="608">
        <v>100898.7972771927</v>
      </c>
      <c r="J47" s="332">
        <f t="shared" si="3"/>
        <v>121980.51134762984</v>
      </c>
    </row>
    <row r="48" spans="2:10">
      <c r="B48" s="789">
        <f t="shared" si="4"/>
        <v>44104</v>
      </c>
      <c r="C48" s="332">
        <f t="shared" si="0"/>
        <v>-4954202.8595469724</v>
      </c>
      <c r="D48" s="332">
        <f t="shared" si="1"/>
        <v>-27282277.548217714</v>
      </c>
      <c r="E48" s="332">
        <f t="shared" si="2"/>
        <v>-32236480.407764688</v>
      </c>
      <c r="G48" s="608">
        <v>21081.714070437138</v>
      </c>
      <c r="H48" s="608">
        <v>100898.7972771927</v>
      </c>
      <c r="J48" s="332">
        <f t="shared" si="3"/>
        <v>121980.51134762984</v>
      </c>
    </row>
    <row r="49" spans="2:10">
      <c r="B49" s="789">
        <f t="shared" si="4"/>
        <v>44135</v>
      </c>
      <c r="C49" s="332">
        <f t="shared" si="0"/>
        <v>-4933121.145476535</v>
      </c>
      <c r="D49" s="332">
        <f t="shared" si="1"/>
        <v>-27181378.75094052</v>
      </c>
      <c r="E49" s="332">
        <f t="shared" si="2"/>
        <v>-32114499.896417055</v>
      </c>
      <c r="G49" s="608">
        <v>21081.714070437138</v>
      </c>
      <c r="H49" s="608">
        <v>100898.7972771927</v>
      </c>
      <c r="J49" s="332">
        <f t="shared" si="3"/>
        <v>121980.51134762984</v>
      </c>
    </row>
    <row r="50" spans="2:10">
      <c r="B50" s="789">
        <f t="shared" si="4"/>
        <v>44165</v>
      </c>
      <c r="C50" s="332">
        <f t="shared" si="0"/>
        <v>-4912039.4314060975</v>
      </c>
      <c r="D50" s="332">
        <f t="shared" si="1"/>
        <v>-27080479.953663327</v>
      </c>
      <c r="E50" s="332">
        <f t="shared" si="2"/>
        <v>-31992519.385069422</v>
      </c>
      <c r="G50" s="608">
        <v>21081.714070437138</v>
      </c>
      <c r="H50" s="608">
        <v>100898.7972771927</v>
      </c>
      <c r="J50" s="332">
        <f t="shared" si="3"/>
        <v>121980.51134762984</v>
      </c>
    </row>
    <row r="51" spans="2:10">
      <c r="B51" s="789">
        <f t="shared" si="4"/>
        <v>44196</v>
      </c>
      <c r="C51" s="332">
        <f t="shared" si="0"/>
        <v>-4890957.71733566</v>
      </c>
      <c r="D51" s="332">
        <f t="shared" si="1"/>
        <v>-26979581.156386133</v>
      </c>
      <c r="E51" s="332">
        <f t="shared" si="2"/>
        <v>-31870538.873721793</v>
      </c>
      <c r="G51" s="608">
        <v>21081.714070437138</v>
      </c>
      <c r="H51" s="608">
        <v>100898.7972771927</v>
      </c>
      <c r="J51" s="332">
        <f t="shared" si="3"/>
        <v>121980.51134762984</v>
      </c>
    </row>
    <row r="52" spans="2:10">
      <c r="B52" s="789">
        <f t="shared" si="4"/>
        <v>44227</v>
      </c>
      <c r="C52" s="332">
        <f t="shared" si="0"/>
        <v>-4869876.0032652225</v>
      </c>
      <c r="D52" s="332">
        <f t="shared" si="1"/>
        <v>-26878682.35910894</v>
      </c>
      <c r="E52" s="332">
        <f t="shared" si="2"/>
        <v>-31748558.362374164</v>
      </c>
      <c r="G52" s="608">
        <v>21081.714070437138</v>
      </c>
      <c r="H52" s="608">
        <v>100898.7972771927</v>
      </c>
      <c r="J52" s="332">
        <f t="shared" si="3"/>
        <v>121980.51134762984</v>
      </c>
    </row>
    <row r="53" spans="2:10">
      <c r="B53" s="789">
        <f t="shared" si="4"/>
        <v>44255</v>
      </c>
      <c r="C53" s="332">
        <f t="shared" si="0"/>
        <v>-4848794.2891947851</v>
      </c>
      <c r="D53" s="332">
        <f t="shared" si="1"/>
        <v>-26777783.561831746</v>
      </c>
      <c r="E53" s="332">
        <f t="shared" si="2"/>
        <v>-31626577.851026531</v>
      </c>
      <c r="G53" s="608">
        <v>21081.714070437138</v>
      </c>
      <c r="H53" s="608">
        <v>100898.7972771927</v>
      </c>
      <c r="J53" s="332">
        <f t="shared" si="3"/>
        <v>121980.51134762984</v>
      </c>
    </row>
    <row r="54" spans="2:10">
      <c r="B54" s="789">
        <f t="shared" si="4"/>
        <v>44286</v>
      </c>
      <c r="C54" s="332">
        <f t="shared" si="0"/>
        <v>-4827712.5751243476</v>
      </c>
      <c r="D54" s="332">
        <f t="shared" si="1"/>
        <v>-26676884.764554553</v>
      </c>
      <c r="E54" s="332">
        <f t="shared" si="2"/>
        <v>-31504597.339678898</v>
      </c>
      <c r="G54" s="608">
        <v>21081.714070437138</v>
      </c>
      <c r="H54" s="608">
        <v>100898.7972771927</v>
      </c>
      <c r="J54" s="332">
        <f t="shared" si="3"/>
        <v>121980.51134762984</v>
      </c>
    </row>
    <row r="55" spans="2:10">
      <c r="B55" s="789">
        <f t="shared" si="4"/>
        <v>44316</v>
      </c>
      <c r="C55" s="332">
        <f t="shared" si="0"/>
        <v>-4806630.8610539101</v>
      </c>
      <c r="D55" s="332">
        <f t="shared" si="1"/>
        <v>-26575985.967277359</v>
      </c>
      <c r="E55" s="332">
        <f t="shared" si="2"/>
        <v>-31382616.828331269</v>
      </c>
      <c r="G55" s="608">
        <v>21081.714070437138</v>
      </c>
      <c r="H55" s="608">
        <v>100898.7972771927</v>
      </c>
      <c r="J55" s="332">
        <f t="shared" si="3"/>
        <v>121980.51134762984</v>
      </c>
    </row>
    <row r="56" spans="2:10">
      <c r="B56" s="789">
        <f t="shared" si="4"/>
        <v>44347</v>
      </c>
      <c r="C56" s="332">
        <f t="shared" si="0"/>
        <v>-4785549.1469834726</v>
      </c>
      <c r="D56" s="332">
        <f t="shared" si="1"/>
        <v>-26475087.170000166</v>
      </c>
      <c r="E56" s="332">
        <f t="shared" si="2"/>
        <v>-31260636.31698364</v>
      </c>
      <c r="G56" s="608">
        <v>21081.714070437138</v>
      </c>
      <c r="H56" s="608">
        <v>100898.7972771927</v>
      </c>
      <c r="J56" s="332">
        <f t="shared" si="3"/>
        <v>121980.51134762984</v>
      </c>
    </row>
    <row r="57" spans="2:10">
      <c r="B57" s="789">
        <f t="shared" si="4"/>
        <v>44377</v>
      </c>
      <c r="C57" s="332">
        <f t="shared" si="0"/>
        <v>-4764467.4329130352</v>
      </c>
      <c r="D57" s="332">
        <f t="shared" si="1"/>
        <v>-26374188.372722972</v>
      </c>
      <c r="E57" s="332">
        <f t="shared" si="2"/>
        <v>-31138655.805636007</v>
      </c>
      <c r="G57" s="608">
        <v>21081.714070437138</v>
      </c>
      <c r="H57" s="608">
        <v>100898.7972771927</v>
      </c>
      <c r="J57" s="332">
        <f t="shared" si="3"/>
        <v>121980.51134762984</v>
      </c>
    </row>
    <row r="58" spans="2:10">
      <c r="B58" s="789">
        <f t="shared" si="4"/>
        <v>44408</v>
      </c>
      <c r="C58" s="332">
        <f t="shared" si="0"/>
        <v>-4743385.7188425977</v>
      </c>
      <c r="D58" s="332">
        <f t="shared" si="1"/>
        <v>-26273289.575445779</v>
      </c>
      <c r="E58" s="332">
        <f t="shared" si="2"/>
        <v>-31016675.294288374</v>
      </c>
      <c r="G58" s="608">
        <v>21081.714070437138</v>
      </c>
      <c r="H58" s="608">
        <v>100898.7972771927</v>
      </c>
      <c r="J58" s="332">
        <f t="shared" si="3"/>
        <v>121980.51134762984</v>
      </c>
    </row>
    <row r="59" spans="2:10">
      <c r="B59" s="789">
        <f t="shared" si="4"/>
        <v>44439</v>
      </c>
      <c r="C59" s="332">
        <f t="shared" si="0"/>
        <v>-4722304.0047721602</v>
      </c>
      <c r="D59" s="332">
        <f t="shared" si="1"/>
        <v>-26172390.778168585</v>
      </c>
      <c r="E59" s="332">
        <f t="shared" si="2"/>
        <v>-30894694.782940745</v>
      </c>
      <c r="G59" s="608">
        <v>21081.714070437138</v>
      </c>
      <c r="H59" s="608">
        <v>100898.7972771927</v>
      </c>
      <c r="J59" s="332">
        <f t="shared" si="3"/>
        <v>121980.51134762984</v>
      </c>
    </row>
    <row r="60" spans="2:10">
      <c r="B60" s="789">
        <f t="shared" si="4"/>
        <v>44469</v>
      </c>
      <c r="C60" s="332">
        <f t="shared" si="0"/>
        <v>-4701222.2907017227</v>
      </c>
      <c r="D60" s="332">
        <f t="shared" si="1"/>
        <v>-26071491.980891392</v>
      </c>
      <c r="E60" s="332">
        <f t="shared" si="2"/>
        <v>-30772714.271593116</v>
      </c>
      <c r="G60" s="608">
        <v>21081.714070437138</v>
      </c>
      <c r="H60" s="608">
        <v>100898.7972771927</v>
      </c>
      <c r="J60" s="332">
        <f t="shared" si="3"/>
        <v>121980.51134762984</v>
      </c>
    </row>
    <row r="61" spans="2:10">
      <c r="B61" s="789">
        <f t="shared" si="4"/>
        <v>44500</v>
      </c>
      <c r="C61" s="332">
        <f t="shared" si="0"/>
        <v>-4680140.5766312853</v>
      </c>
      <c r="D61" s="332">
        <f t="shared" si="1"/>
        <v>-25970593.183614198</v>
      </c>
      <c r="E61" s="332">
        <f t="shared" si="2"/>
        <v>-30650733.760245483</v>
      </c>
      <c r="G61" s="608">
        <v>21081.714070437138</v>
      </c>
      <c r="H61" s="608">
        <v>100898.7972771927</v>
      </c>
      <c r="J61" s="332">
        <f t="shared" si="3"/>
        <v>121980.51134762984</v>
      </c>
    </row>
    <row r="62" spans="2:10">
      <c r="B62" s="789">
        <f t="shared" si="4"/>
        <v>44530</v>
      </c>
      <c r="C62" s="332">
        <f t="shared" si="0"/>
        <v>-4659058.8625608478</v>
      </c>
      <c r="D62" s="332">
        <f t="shared" si="1"/>
        <v>-25869694.386337005</v>
      </c>
      <c r="E62" s="332">
        <f t="shared" si="2"/>
        <v>-30528753.248897851</v>
      </c>
      <c r="G62" s="608">
        <v>21081.714070437138</v>
      </c>
      <c r="H62" s="608">
        <v>100898.7972771927</v>
      </c>
      <c r="J62" s="332">
        <f t="shared" si="3"/>
        <v>121980.51134762984</v>
      </c>
    </row>
    <row r="63" spans="2:10">
      <c r="B63" s="789">
        <f t="shared" si="4"/>
        <v>44561</v>
      </c>
      <c r="C63" s="332">
        <f t="shared" si="0"/>
        <v>-4637977.1484904103</v>
      </c>
      <c r="D63" s="332">
        <f t="shared" si="1"/>
        <v>-25768795.589059811</v>
      </c>
      <c r="E63" s="332">
        <f t="shared" si="2"/>
        <v>-30406772.737550221</v>
      </c>
      <c r="G63" s="608">
        <v>21081.714070437138</v>
      </c>
      <c r="H63" s="608">
        <v>100898.7972771927</v>
      </c>
      <c r="J63" s="332">
        <f t="shared" si="3"/>
        <v>121980.51134762984</v>
      </c>
    </row>
    <row r="64" spans="2:10">
      <c r="B64" s="789">
        <f t="shared" si="4"/>
        <v>44592</v>
      </c>
      <c r="C64" s="332">
        <f t="shared" si="0"/>
        <v>-4616895.4344199728</v>
      </c>
      <c r="D64" s="332">
        <f t="shared" si="1"/>
        <v>-25667896.791782618</v>
      </c>
      <c r="E64" s="332">
        <f t="shared" si="2"/>
        <v>-30284792.226202592</v>
      </c>
      <c r="G64" s="608">
        <v>21081.714070437138</v>
      </c>
      <c r="H64" s="608">
        <v>100898.7972771927</v>
      </c>
      <c r="I64" s="608"/>
      <c r="J64" s="332">
        <f t="shared" si="3"/>
        <v>121980.51134762984</v>
      </c>
    </row>
    <row r="65" spans="2:10">
      <c r="B65" s="789">
        <f t="shared" si="4"/>
        <v>44620</v>
      </c>
      <c r="C65" s="332">
        <f t="shared" si="0"/>
        <v>-4595813.7203495353</v>
      </c>
      <c r="D65" s="332">
        <f t="shared" si="1"/>
        <v>-25566997.994505424</v>
      </c>
      <c r="E65" s="332">
        <f t="shared" si="2"/>
        <v>-30162811.714854959</v>
      </c>
      <c r="G65" s="608">
        <v>21081.714070437138</v>
      </c>
      <c r="H65" s="608">
        <v>100898.7972771927</v>
      </c>
      <c r="I65" s="608"/>
      <c r="J65" s="332">
        <f t="shared" si="3"/>
        <v>121980.51134762984</v>
      </c>
    </row>
    <row r="66" spans="2:10">
      <c r="B66" s="789">
        <f t="shared" si="4"/>
        <v>44651</v>
      </c>
      <c r="C66" s="332">
        <f t="shared" si="0"/>
        <v>-4574732.0062790979</v>
      </c>
      <c r="D66" s="332">
        <f t="shared" si="1"/>
        <v>-25466099.197228231</v>
      </c>
      <c r="E66" s="332">
        <f t="shared" si="2"/>
        <v>-30040831.203507327</v>
      </c>
      <c r="G66" s="608">
        <v>21081.714070437138</v>
      </c>
      <c r="H66" s="608">
        <v>100898.7972771927</v>
      </c>
      <c r="I66" s="608"/>
      <c r="J66" s="332">
        <f t="shared" si="3"/>
        <v>121980.51134762984</v>
      </c>
    </row>
    <row r="67" spans="2:10">
      <c r="B67" s="789">
        <f t="shared" si="4"/>
        <v>44681</v>
      </c>
      <c r="C67" s="332">
        <f t="shared" si="0"/>
        <v>-4553650.2922086604</v>
      </c>
      <c r="D67" s="332">
        <f t="shared" si="1"/>
        <v>-25365200.399951037</v>
      </c>
      <c r="E67" s="332">
        <f t="shared" si="2"/>
        <v>-29918850.692159697</v>
      </c>
      <c r="G67" s="608">
        <v>21081.714070437138</v>
      </c>
      <c r="H67" s="608">
        <v>100898.7972771927</v>
      </c>
      <c r="I67" s="608"/>
      <c r="J67" s="332">
        <f t="shared" si="3"/>
        <v>121980.51134762984</v>
      </c>
    </row>
    <row r="68" spans="2:10">
      <c r="B68" s="789">
        <f t="shared" si="4"/>
        <v>44712</v>
      </c>
      <c r="C68" s="332">
        <f t="shared" si="0"/>
        <v>-4532568.5781382229</v>
      </c>
      <c r="D68" s="332">
        <f t="shared" si="1"/>
        <v>-25264301.602673844</v>
      </c>
      <c r="E68" s="332">
        <f t="shared" si="2"/>
        <v>-29796870.180812068</v>
      </c>
      <c r="G68" s="608">
        <v>21081.714070437138</v>
      </c>
      <c r="H68" s="608">
        <v>100898.7972771927</v>
      </c>
      <c r="I68" s="608"/>
      <c r="J68" s="332">
        <f t="shared" si="3"/>
        <v>121980.51134762984</v>
      </c>
    </row>
    <row r="69" spans="2:10">
      <c r="B69" s="789">
        <f t="shared" si="4"/>
        <v>44742</v>
      </c>
      <c r="C69" s="332">
        <f t="shared" si="0"/>
        <v>-4511486.8640677854</v>
      </c>
      <c r="D69" s="332">
        <f t="shared" si="1"/>
        <v>-24562515.447044015</v>
      </c>
      <c r="E69" s="332">
        <f t="shared" si="2"/>
        <v>-29074002.3111118</v>
      </c>
      <c r="G69" s="608">
        <v>21081.714070437138</v>
      </c>
      <c r="I69" s="608">
        <v>701786.1556298295</v>
      </c>
      <c r="J69" s="332">
        <f t="shared" si="3"/>
        <v>722867.86970026663</v>
      </c>
    </row>
    <row r="70" spans="2:10">
      <c r="B70" s="789">
        <f t="shared" si="4"/>
        <v>44773</v>
      </c>
      <c r="C70" s="332">
        <f t="shared" si="0"/>
        <v>-4490405.149997348</v>
      </c>
      <c r="D70" s="332">
        <f t="shared" si="1"/>
        <v>-23860729.291414186</v>
      </c>
      <c r="E70" s="332">
        <f t="shared" si="2"/>
        <v>-28351134.441411532</v>
      </c>
      <c r="G70" s="608">
        <v>21081.714070437138</v>
      </c>
      <c r="I70" s="608">
        <v>701786.1556298295</v>
      </c>
      <c r="J70" s="332">
        <f t="shared" si="3"/>
        <v>722867.86970026663</v>
      </c>
    </row>
    <row r="71" spans="2:10">
      <c r="B71" s="789">
        <f t="shared" si="4"/>
        <v>44804</v>
      </c>
      <c r="C71" s="332">
        <f t="shared" si="0"/>
        <v>-4469323.4359269105</v>
      </c>
      <c r="D71" s="332">
        <f t="shared" si="1"/>
        <v>-23158943.135784358</v>
      </c>
      <c r="E71" s="332">
        <f t="shared" si="2"/>
        <v>-27628266.571711268</v>
      </c>
      <c r="G71" s="608">
        <v>21081.714070437138</v>
      </c>
      <c r="I71" s="608">
        <v>701786.1556298295</v>
      </c>
      <c r="J71" s="332">
        <f t="shared" si="3"/>
        <v>722867.86970026663</v>
      </c>
    </row>
    <row r="72" spans="2:10">
      <c r="B72" s="789">
        <f t="shared" si="4"/>
        <v>44834</v>
      </c>
      <c r="C72" s="332">
        <f t="shared" si="0"/>
        <v>-4448241.721856473</v>
      </c>
      <c r="D72" s="332">
        <f t="shared" si="1"/>
        <v>-22457156.980154529</v>
      </c>
      <c r="E72" s="332">
        <f t="shared" si="2"/>
        <v>-26905398.702011004</v>
      </c>
      <c r="G72" s="608">
        <v>21081.714070437138</v>
      </c>
      <c r="I72" s="608">
        <v>701786.1556298295</v>
      </c>
      <c r="J72" s="332">
        <f t="shared" si="3"/>
        <v>722867.86970026663</v>
      </c>
    </row>
    <row r="73" spans="2:10">
      <c r="B73" s="789">
        <f t="shared" si="4"/>
        <v>44865</v>
      </c>
      <c r="C73" s="332">
        <f t="shared" si="0"/>
        <v>-4427160.0077860355</v>
      </c>
      <c r="D73" s="332">
        <f t="shared" si="1"/>
        <v>-21755370.824524701</v>
      </c>
      <c r="E73" s="332">
        <f t="shared" si="2"/>
        <v>-26182530.832310736</v>
      </c>
      <c r="G73" s="608">
        <v>21081.714070437138</v>
      </c>
      <c r="I73" s="608">
        <v>701786.1556298295</v>
      </c>
      <c r="J73" s="332">
        <f t="shared" si="3"/>
        <v>722867.86970026663</v>
      </c>
    </row>
    <row r="74" spans="2:10">
      <c r="B74" s="789">
        <f t="shared" si="4"/>
        <v>44895</v>
      </c>
      <c r="C74" s="332">
        <f t="shared" si="0"/>
        <v>-4406078.2937155981</v>
      </c>
      <c r="D74" s="332">
        <f t="shared" si="1"/>
        <v>-21053584.668894872</v>
      </c>
      <c r="E74" s="332">
        <f t="shared" si="2"/>
        <v>-25459662.962610468</v>
      </c>
      <c r="G74" s="608">
        <v>21081.714070437138</v>
      </c>
      <c r="I74" s="608">
        <v>701786.1556298295</v>
      </c>
      <c r="J74" s="332">
        <f t="shared" si="3"/>
        <v>722867.86970026663</v>
      </c>
    </row>
    <row r="75" spans="2:10">
      <c r="B75" s="789">
        <f t="shared" si="4"/>
        <v>44926</v>
      </c>
      <c r="C75" s="332">
        <f t="shared" si="0"/>
        <v>-4384996.5796451606</v>
      </c>
      <c r="D75" s="332">
        <f t="shared" si="1"/>
        <v>-20351798.513265043</v>
      </c>
      <c r="E75" s="332">
        <f t="shared" si="2"/>
        <v>-24736795.092910204</v>
      </c>
      <c r="G75" s="608">
        <v>21081.714070437138</v>
      </c>
      <c r="I75" s="608">
        <v>701786.1556298295</v>
      </c>
      <c r="J75" s="332">
        <f t="shared" si="3"/>
        <v>722867.86970026663</v>
      </c>
    </row>
    <row r="76" spans="2:10">
      <c r="B76" s="789">
        <f t="shared" si="4"/>
        <v>44957</v>
      </c>
      <c r="C76" s="332">
        <f t="shared" si="0"/>
        <v>-4363914.8655747231</v>
      </c>
      <c r="D76" s="332">
        <f t="shared" si="1"/>
        <v>-19650012.357635215</v>
      </c>
      <c r="E76" s="332">
        <f t="shared" si="2"/>
        <v>-24013927.22320994</v>
      </c>
      <c r="G76" s="608">
        <v>21081.714070437138</v>
      </c>
      <c r="I76" s="608">
        <v>701786.1556298295</v>
      </c>
      <c r="J76" s="332">
        <f t="shared" si="3"/>
        <v>722867.86970026663</v>
      </c>
    </row>
    <row r="77" spans="2:10">
      <c r="B77" s="789">
        <f t="shared" si="4"/>
        <v>44985</v>
      </c>
      <c r="C77" s="332">
        <f t="shared" si="0"/>
        <v>-4342833.1515042856</v>
      </c>
      <c r="D77" s="332">
        <f t="shared" si="1"/>
        <v>-18948226.202005386</v>
      </c>
      <c r="E77" s="332">
        <f t="shared" si="2"/>
        <v>-23291059.353509672</v>
      </c>
      <c r="G77" s="608">
        <v>21081.714070437138</v>
      </c>
      <c r="I77" s="608">
        <v>701786.1556298295</v>
      </c>
      <c r="J77" s="332">
        <f t="shared" si="3"/>
        <v>722867.86970026663</v>
      </c>
    </row>
    <row r="78" spans="2:10">
      <c r="B78" s="789">
        <f t="shared" si="4"/>
        <v>45016</v>
      </c>
      <c r="C78" s="332">
        <f t="shared" si="0"/>
        <v>-4321751.4374338482</v>
      </c>
      <c r="D78" s="332">
        <f t="shared" si="1"/>
        <v>-18246440.046375558</v>
      </c>
      <c r="E78" s="332">
        <f t="shared" si="2"/>
        <v>-22568191.483809404</v>
      </c>
      <c r="G78" s="608">
        <v>21081.714070437138</v>
      </c>
      <c r="I78" s="608">
        <v>701786.1556298295</v>
      </c>
      <c r="J78" s="332">
        <f t="shared" si="3"/>
        <v>722867.86970026663</v>
      </c>
    </row>
    <row r="79" spans="2:10">
      <c r="B79" s="789">
        <f t="shared" si="4"/>
        <v>45046</v>
      </c>
      <c r="C79" s="332">
        <f t="shared" si="0"/>
        <v>-4300669.7233634107</v>
      </c>
      <c r="D79" s="332">
        <f t="shared" si="1"/>
        <v>-17544653.890745729</v>
      </c>
      <c r="E79" s="332">
        <f t="shared" si="2"/>
        <v>-21845323.61410914</v>
      </c>
      <c r="G79" s="608">
        <v>21081.714070437138</v>
      </c>
      <c r="I79" s="608">
        <v>701786.1556298295</v>
      </c>
      <c r="J79" s="332">
        <f t="shared" si="3"/>
        <v>722867.86970026663</v>
      </c>
    </row>
    <row r="80" spans="2:10">
      <c r="B80" s="789">
        <f t="shared" si="4"/>
        <v>45077</v>
      </c>
      <c r="C80" s="332">
        <f t="shared" si="0"/>
        <v>-4279588.0092929732</v>
      </c>
      <c r="D80" s="332">
        <f t="shared" si="1"/>
        <v>-16842867.735115901</v>
      </c>
      <c r="E80" s="332">
        <f t="shared" si="2"/>
        <v>-21122455.744408876</v>
      </c>
      <c r="G80" s="608">
        <v>21081.714070437138</v>
      </c>
      <c r="I80" s="608">
        <v>701786.1556298295</v>
      </c>
      <c r="J80" s="332">
        <f t="shared" si="3"/>
        <v>722867.86970026663</v>
      </c>
    </row>
    <row r="81" spans="2:10">
      <c r="B81" s="789">
        <f t="shared" si="4"/>
        <v>45107</v>
      </c>
      <c r="C81" s="332">
        <f t="shared" si="0"/>
        <v>-4258506.2952225357</v>
      </c>
      <c r="D81" s="332">
        <f t="shared" si="1"/>
        <v>-16141081.579486072</v>
      </c>
      <c r="E81" s="332">
        <f t="shared" si="2"/>
        <v>-20399587.874708608</v>
      </c>
      <c r="G81" s="608">
        <v>21081.714070437138</v>
      </c>
      <c r="I81" s="608">
        <v>701786.1556298295</v>
      </c>
      <c r="J81" s="332">
        <f t="shared" si="3"/>
        <v>722867.86970026663</v>
      </c>
    </row>
    <row r="82" spans="2:10">
      <c r="B82" s="789">
        <f t="shared" si="4"/>
        <v>45138</v>
      </c>
      <c r="C82" s="332">
        <f t="shared" si="0"/>
        <v>-4237424.5811520983</v>
      </c>
      <c r="D82" s="332">
        <f t="shared" si="1"/>
        <v>-15439295.423856243</v>
      </c>
      <c r="E82" s="332">
        <f t="shared" si="2"/>
        <v>-19676720.00500834</v>
      </c>
      <c r="G82" s="608">
        <v>21081.714070437138</v>
      </c>
      <c r="I82" s="608">
        <v>701786.1556298295</v>
      </c>
      <c r="J82" s="332">
        <f t="shared" si="3"/>
        <v>722867.86970026663</v>
      </c>
    </row>
    <row r="83" spans="2:10">
      <c r="B83" s="789">
        <f t="shared" si="4"/>
        <v>45169</v>
      </c>
      <c r="C83" s="332">
        <f t="shared" si="0"/>
        <v>-4216342.8670816608</v>
      </c>
      <c r="D83" s="332">
        <f t="shared" si="1"/>
        <v>-14737509.268226415</v>
      </c>
      <c r="E83" s="332">
        <f t="shared" si="2"/>
        <v>-18953852.135308076</v>
      </c>
      <c r="G83" s="608">
        <v>21081.714070437138</v>
      </c>
      <c r="I83" s="608">
        <v>701786.1556298295</v>
      </c>
      <c r="J83" s="332">
        <f t="shared" si="3"/>
        <v>722867.86970026663</v>
      </c>
    </row>
    <row r="84" spans="2:10">
      <c r="B84" s="789">
        <f t="shared" si="4"/>
        <v>45199</v>
      </c>
      <c r="C84" s="332">
        <f t="shared" si="0"/>
        <v>-4195261.1530112233</v>
      </c>
      <c r="D84" s="332">
        <f t="shared" si="1"/>
        <v>-14035723.112596586</v>
      </c>
      <c r="E84" s="332">
        <f t="shared" si="2"/>
        <v>-18230984.265607812</v>
      </c>
      <c r="G84" s="608">
        <v>21081.714070437138</v>
      </c>
      <c r="I84" s="608">
        <v>701786.1556298295</v>
      </c>
      <c r="J84" s="332">
        <f t="shared" si="3"/>
        <v>722867.86970026663</v>
      </c>
    </row>
    <row r="85" spans="2:10">
      <c r="B85" s="789">
        <f t="shared" si="4"/>
        <v>45230</v>
      </c>
      <c r="C85" s="332">
        <f t="shared" ref="C85:C148" si="5">C84+G85</f>
        <v>-4174179.4389407863</v>
      </c>
      <c r="D85" s="332">
        <f t="shared" ref="D85:D148" si="6">D84+H85+I85</f>
        <v>-13333936.956966758</v>
      </c>
      <c r="E85" s="332">
        <f t="shared" ref="E85:E148" si="7">C85+D85</f>
        <v>-17508116.395907544</v>
      </c>
      <c r="G85" s="608">
        <v>21081.714070437138</v>
      </c>
      <c r="I85" s="608">
        <v>701786.1556298295</v>
      </c>
      <c r="J85" s="332">
        <f t="shared" ref="J85:J148" si="8">SUM(G85:I85)</f>
        <v>722867.86970026663</v>
      </c>
    </row>
    <row r="86" spans="2:10">
      <c r="B86" s="789">
        <f t="shared" ref="B86:B149" si="9">EOMONTH(B85,1)</f>
        <v>45260</v>
      </c>
      <c r="C86" s="332">
        <f t="shared" si="5"/>
        <v>-4153097.7248703493</v>
      </c>
      <c r="D86" s="332">
        <f t="shared" si="6"/>
        <v>-12632150.801336929</v>
      </c>
      <c r="E86" s="332">
        <f t="shared" si="7"/>
        <v>-16785248.526207279</v>
      </c>
      <c r="G86" s="608">
        <v>21081.714070437138</v>
      </c>
      <c r="I86" s="608">
        <v>701786.1556298295</v>
      </c>
      <c r="J86" s="332">
        <f t="shared" si="8"/>
        <v>722867.86970026663</v>
      </c>
    </row>
    <row r="87" spans="2:10">
      <c r="B87" s="789">
        <f t="shared" si="9"/>
        <v>45291</v>
      </c>
      <c r="C87" s="332">
        <f t="shared" si="5"/>
        <v>-4132016.0107999123</v>
      </c>
      <c r="D87" s="332">
        <f t="shared" si="6"/>
        <v>-11930364.645707101</v>
      </c>
      <c r="E87" s="332">
        <f t="shared" si="7"/>
        <v>-16062380.656507013</v>
      </c>
      <c r="G87" s="608">
        <v>21081.714070437138</v>
      </c>
      <c r="I87" s="608">
        <v>701786.1556298295</v>
      </c>
      <c r="J87" s="332">
        <f t="shared" si="8"/>
        <v>722867.86970026663</v>
      </c>
    </row>
    <row r="88" spans="2:10">
      <c r="B88" s="789">
        <f t="shared" si="9"/>
        <v>45322</v>
      </c>
      <c r="C88" s="332">
        <f t="shared" si="5"/>
        <v>-4110934.2967294753</v>
      </c>
      <c r="D88" s="332">
        <f t="shared" si="6"/>
        <v>-11228578.490077272</v>
      </c>
      <c r="E88" s="332">
        <f t="shared" si="7"/>
        <v>-15339512.786806747</v>
      </c>
      <c r="G88" s="608">
        <v>21081.714070437138</v>
      </c>
      <c r="I88" s="608">
        <v>701786.1556298295</v>
      </c>
      <c r="J88" s="332">
        <f t="shared" si="8"/>
        <v>722867.86970026663</v>
      </c>
    </row>
    <row r="89" spans="2:10">
      <c r="B89" s="789">
        <f t="shared" si="9"/>
        <v>45351</v>
      </c>
      <c r="C89" s="332">
        <f t="shared" si="5"/>
        <v>-4089852.5826590382</v>
      </c>
      <c r="D89" s="332">
        <f t="shared" si="6"/>
        <v>-10526792.334447443</v>
      </c>
      <c r="E89" s="332">
        <f t="shared" si="7"/>
        <v>-14616644.917106481</v>
      </c>
      <c r="G89" s="608">
        <v>21081.714070437138</v>
      </c>
      <c r="I89" s="608">
        <v>701786.1556298295</v>
      </c>
      <c r="J89" s="332">
        <f t="shared" si="8"/>
        <v>722867.86970026663</v>
      </c>
    </row>
    <row r="90" spans="2:10">
      <c r="B90" s="789">
        <f t="shared" si="9"/>
        <v>45382</v>
      </c>
      <c r="C90" s="332">
        <f t="shared" si="5"/>
        <v>-4068770.8685886012</v>
      </c>
      <c r="D90" s="332">
        <f t="shared" si="6"/>
        <v>-9825006.1788176149</v>
      </c>
      <c r="E90" s="332">
        <f t="shared" si="7"/>
        <v>-13893777.047406215</v>
      </c>
      <c r="G90" s="608">
        <v>21081.714070437138</v>
      </c>
      <c r="I90" s="608">
        <v>701786.1556298295</v>
      </c>
      <c r="J90" s="332">
        <f t="shared" si="8"/>
        <v>722867.86970026663</v>
      </c>
    </row>
    <row r="91" spans="2:10">
      <c r="B91" s="789">
        <f t="shared" si="9"/>
        <v>45412</v>
      </c>
      <c r="C91" s="332">
        <f t="shared" si="5"/>
        <v>-4047689.1545181642</v>
      </c>
      <c r="D91" s="332">
        <f t="shared" si="6"/>
        <v>-9123220.0231877863</v>
      </c>
      <c r="E91" s="332">
        <f t="shared" si="7"/>
        <v>-13170909.177705951</v>
      </c>
      <c r="G91" s="608">
        <v>21081.714070437138</v>
      </c>
      <c r="I91" s="608">
        <v>701786.1556298295</v>
      </c>
      <c r="J91" s="332">
        <f t="shared" si="8"/>
        <v>722867.86970026663</v>
      </c>
    </row>
    <row r="92" spans="2:10">
      <c r="B92" s="789">
        <f t="shared" si="9"/>
        <v>45443</v>
      </c>
      <c r="C92" s="332">
        <f t="shared" si="5"/>
        <v>-4026607.4404477272</v>
      </c>
      <c r="D92" s="332">
        <f t="shared" si="6"/>
        <v>-8421433.8675579578</v>
      </c>
      <c r="E92" s="332">
        <f t="shared" si="7"/>
        <v>-12448041.308005685</v>
      </c>
      <c r="G92" s="608">
        <v>21081.714070437138</v>
      </c>
      <c r="I92" s="608">
        <v>701786.1556298295</v>
      </c>
      <c r="J92" s="332">
        <f t="shared" si="8"/>
        <v>722867.86970026663</v>
      </c>
    </row>
    <row r="93" spans="2:10">
      <c r="B93" s="789">
        <f t="shared" si="9"/>
        <v>45473</v>
      </c>
      <c r="C93" s="332">
        <f t="shared" si="5"/>
        <v>-4005525.7263772902</v>
      </c>
      <c r="D93" s="332">
        <f t="shared" si="6"/>
        <v>-7719647.7119281283</v>
      </c>
      <c r="E93" s="332">
        <f t="shared" si="7"/>
        <v>-11725173.438305419</v>
      </c>
      <c r="G93" s="608">
        <v>21081.714070437138</v>
      </c>
      <c r="I93" s="608">
        <v>701786.1556298295</v>
      </c>
      <c r="J93" s="332">
        <f t="shared" si="8"/>
        <v>722867.86970026663</v>
      </c>
    </row>
    <row r="94" spans="2:10">
      <c r="B94" s="789">
        <f t="shared" si="9"/>
        <v>45504</v>
      </c>
      <c r="C94" s="332">
        <f t="shared" si="5"/>
        <v>-3984444.0123068532</v>
      </c>
      <c r="D94" s="332">
        <f t="shared" si="6"/>
        <v>-7017861.5562982988</v>
      </c>
      <c r="E94" s="332">
        <f t="shared" si="7"/>
        <v>-11002305.568605151</v>
      </c>
      <c r="G94" s="608">
        <v>21081.714070437138</v>
      </c>
      <c r="I94" s="608">
        <v>701786.1556298295</v>
      </c>
      <c r="J94" s="332">
        <f t="shared" si="8"/>
        <v>722867.86970026663</v>
      </c>
    </row>
    <row r="95" spans="2:10">
      <c r="B95" s="789">
        <f t="shared" si="9"/>
        <v>45535</v>
      </c>
      <c r="C95" s="332">
        <f t="shared" si="5"/>
        <v>-3963362.2982364162</v>
      </c>
      <c r="D95" s="332">
        <f t="shared" si="6"/>
        <v>-6316075.4006684693</v>
      </c>
      <c r="E95" s="332">
        <f t="shared" si="7"/>
        <v>-10279437.698904885</v>
      </c>
      <c r="G95" s="608">
        <v>21081.714070437138</v>
      </c>
      <c r="I95" s="608">
        <v>701786.1556298295</v>
      </c>
      <c r="J95" s="332">
        <f t="shared" si="8"/>
        <v>722867.86970026663</v>
      </c>
    </row>
    <row r="96" spans="2:10">
      <c r="B96" s="789">
        <f t="shared" si="9"/>
        <v>45565</v>
      </c>
      <c r="C96" s="332">
        <f t="shared" si="5"/>
        <v>-3942280.5841659792</v>
      </c>
      <c r="D96" s="332">
        <f t="shared" si="6"/>
        <v>-5614289.2450386398</v>
      </c>
      <c r="E96" s="332">
        <f t="shared" si="7"/>
        <v>-9556569.8292046189</v>
      </c>
      <c r="G96" s="608">
        <v>21081.714070437138</v>
      </c>
      <c r="I96" s="608">
        <v>701786.1556298295</v>
      </c>
      <c r="J96" s="332">
        <f t="shared" si="8"/>
        <v>722867.86970026663</v>
      </c>
    </row>
    <row r="97" spans="1:10">
      <c r="B97" s="789">
        <f t="shared" si="9"/>
        <v>45596</v>
      </c>
      <c r="C97" s="332">
        <f t="shared" si="5"/>
        <v>-3921198.8700955422</v>
      </c>
      <c r="D97" s="332">
        <f t="shared" si="6"/>
        <v>-4912503.0894088103</v>
      </c>
      <c r="E97" s="332">
        <f t="shared" si="7"/>
        <v>-8833701.9595043529</v>
      </c>
      <c r="G97" s="608">
        <v>21081.714070437138</v>
      </c>
      <c r="I97" s="608">
        <v>701786.1556298295</v>
      </c>
      <c r="J97" s="332">
        <f t="shared" si="8"/>
        <v>722867.86970026663</v>
      </c>
    </row>
    <row r="98" spans="1:10">
      <c r="B98" s="789">
        <f t="shared" si="9"/>
        <v>45626</v>
      </c>
      <c r="C98" s="332">
        <f t="shared" si="5"/>
        <v>-3900117.1560251052</v>
      </c>
      <c r="D98" s="332">
        <f t="shared" si="6"/>
        <v>-4210716.9337789807</v>
      </c>
      <c r="E98" s="332">
        <f t="shared" si="7"/>
        <v>-8110834.0898040859</v>
      </c>
      <c r="G98" s="608">
        <v>21081.714070437138</v>
      </c>
      <c r="I98" s="608">
        <v>701786.1556298295</v>
      </c>
      <c r="J98" s="332">
        <f t="shared" si="8"/>
        <v>722867.86970026663</v>
      </c>
    </row>
    <row r="99" spans="1:10">
      <c r="B99" s="789">
        <f t="shared" si="9"/>
        <v>45657</v>
      </c>
      <c r="C99" s="332">
        <f t="shared" si="5"/>
        <v>-3879035.4419546681</v>
      </c>
      <c r="D99" s="332">
        <f t="shared" si="6"/>
        <v>-3508930.7781491512</v>
      </c>
      <c r="E99" s="332">
        <f t="shared" si="7"/>
        <v>-7387966.2201038189</v>
      </c>
      <c r="G99" s="608">
        <v>21081.714070437138</v>
      </c>
      <c r="I99" s="608">
        <v>701786.1556298295</v>
      </c>
      <c r="J99" s="332">
        <f t="shared" si="8"/>
        <v>722867.86970026663</v>
      </c>
    </row>
    <row r="100" spans="1:10">
      <c r="B100" s="789">
        <f t="shared" si="9"/>
        <v>45688</v>
      </c>
      <c r="C100" s="332">
        <f t="shared" si="5"/>
        <v>-3857953.7278842311</v>
      </c>
      <c r="D100" s="332">
        <f t="shared" si="6"/>
        <v>-2807144.6225193217</v>
      </c>
      <c r="E100" s="332">
        <f t="shared" si="7"/>
        <v>-6665098.3504035529</v>
      </c>
      <c r="G100" s="608">
        <v>21081.714070437138</v>
      </c>
      <c r="I100" s="608">
        <v>701786.1556298295</v>
      </c>
      <c r="J100" s="332">
        <f t="shared" si="8"/>
        <v>722867.86970026663</v>
      </c>
    </row>
    <row r="101" spans="1:10">
      <c r="B101" s="789">
        <f t="shared" si="9"/>
        <v>45716</v>
      </c>
      <c r="C101" s="332">
        <f t="shared" si="5"/>
        <v>-3836872.0138137941</v>
      </c>
      <c r="D101" s="332">
        <f t="shared" si="6"/>
        <v>-2105358.4668894922</v>
      </c>
      <c r="E101" s="332">
        <f t="shared" si="7"/>
        <v>-5942230.4807032868</v>
      </c>
      <c r="G101" s="608">
        <v>21081.714070437138</v>
      </c>
      <c r="I101" s="608">
        <v>701786.1556298295</v>
      </c>
      <c r="J101" s="332">
        <f t="shared" si="8"/>
        <v>722867.86970026663</v>
      </c>
    </row>
    <row r="102" spans="1:10">
      <c r="B102" s="789">
        <f t="shared" si="9"/>
        <v>45747</v>
      </c>
      <c r="C102" s="332">
        <f t="shared" si="5"/>
        <v>-3815790.2997433571</v>
      </c>
      <c r="D102" s="332">
        <f t="shared" si="6"/>
        <v>-1403572.3112596627</v>
      </c>
      <c r="E102" s="332">
        <f t="shared" si="7"/>
        <v>-5219362.6110030198</v>
      </c>
      <c r="G102" s="608">
        <v>21081.714070437138</v>
      </c>
      <c r="I102" s="608">
        <v>701786.1556298295</v>
      </c>
      <c r="J102" s="332">
        <f t="shared" si="8"/>
        <v>722867.86970026663</v>
      </c>
    </row>
    <row r="103" spans="1:10">
      <c r="A103" s="1004" t="s">
        <v>1577</v>
      </c>
      <c r="B103" s="789">
        <f t="shared" si="9"/>
        <v>45777</v>
      </c>
      <c r="C103" s="332">
        <f t="shared" si="5"/>
        <v>-3799957.1449726378</v>
      </c>
      <c r="D103" s="332">
        <f t="shared" si="6"/>
        <v>-701786.15562983323</v>
      </c>
      <c r="E103" s="332">
        <f t="shared" si="7"/>
        <v>-4501743.3006024715</v>
      </c>
      <c r="G103" s="608">
        <v>15833.154770719324</v>
      </c>
      <c r="I103" s="608">
        <v>701786.1556298295</v>
      </c>
      <c r="J103" s="332">
        <f t="shared" si="8"/>
        <v>717619.31040054886</v>
      </c>
    </row>
    <row r="104" spans="1:10">
      <c r="B104" s="789">
        <f t="shared" si="9"/>
        <v>45808</v>
      </c>
      <c r="C104" s="332">
        <f t="shared" si="5"/>
        <v>-3784123.9902019184</v>
      </c>
      <c r="D104" s="332">
        <f t="shared" si="6"/>
        <v>-3.7252902984619141E-9</v>
      </c>
      <c r="E104" s="332">
        <f t="shared" si="7"/>
        <v>-3784123.9902019221</v>
      </c>
      <c r="G104" s="608">
        <v>15833.154770719324</v>
      </c>
      <c r="I104" s="608">
        <v>701786.1556298295</v>
      </c>
      <c r="J104" s="332">
        <f t="shared" si="8"/>
        <v>717619.31040054886</v>
      </c>
    </row>
    <row r="105" spans="1:10">
      <c r="B105" s="789">
        <f t="shared" si="9"/>
        <v>45838</v>
      </c>
      <c r="C105" s="332">
        <f t="shared" si="5"/>
        <v>-3768290.8354311991</v>
      </c>
      <c r="D105" s="332">
        <f t="shared" si="6"/>
        <v>-3.7252902984619141E-9</v>
      </c>
      <c r="E105" s="332">
        <f t="shared" si="7"/>
        <v>-3768290.8354312028</v>
      </c>
      <c r="G105" s="608">
        <v>15833.154770719324</v>
      </c>
      <c r="I105" s="608"/>
      <c r="J105" s="332">
        <f t="shared" si="8"/>
        <v>15833.154770719324</v>
      </c>
    </row>
    <row r="106" spans="1:10">
      <c r="B106" s="789">
        <f t="shared" si="9"/>
        <v>45869</v>
      </c>
      <c r="C106" s="332">
        <f t="shared" si="5"/>
        <v>-3752457.6806604797</v>
      </c>
      <c r="D106" s="332">
        <f t="shared" si="6"/>
        <v>-3.7252902984619141E-9</v>
      </c>
      <c r="E106" s="332">
        <f t="shared" si="7"/>
        <v>-3752457.6806604834</v>
      </c>
      <c r="G106" s="608">
        <v>15833.154770719324</v>
      </c>
      <c r="I106" s="608"/>
      <c r="J106" s="332">
        <f t="shared" si="8"/>
        <v>15833.154770719324</v>
      </c>
    </row>
    <row r="107" spans="1:10">
      <c r="B107" s="789">
        <f t="shared" si="9"/>
        <v>45900</v>
      </c>
      <c r="C107" s="332">
        <f t="shared" si="5"/>
        <v>-3736624.5258897603</v>
      </c>
      <c r="D107" s="332">
        <f t="shared" si="6"/>
        <v>-3.7252902984619141E-9</v>
      </c>
      <c r="E107" s="332">
        <f t="shared" si="7"/>
        <v>-3736624.5258897641</v>
      </c>
      <c r="G107" s="608">
        <v>15833.154770719324</v>
      </c>
      <c r="I107" s="608"/>
      <c r="J107" s="332">
        <f t="shared" si="8"/>
        <v>15833.154770719324</v>
      </c>
    </row>
    <row r="108" spans="1:10">
      <c r="B108" s="789">
        <f t="shared" si="9"/>
        <v>45930</v>
      </c>
      <c r="C108" s="332">
        <f t="shared" si="5"/>
        <v>-3720791.371119041</v>
      </c>
      <c r="D108" s="332">
        <f t="shared" si="6"/>
        <v>-3.7252902984619141E-9</v>
      </c>
      <c r="E108" s="332">
        <f t="shared" si="7"/>
        <v>-3720791.3711190447</v>
      </c>
      <c r="G108" s="608">
        <v>15833.154770719324</v>
      </c>
      <c r="I108" s="608"/>
      <c r="J108" s="332">
        <f t="shared" si="8"/>
        <v>15833.154770719324</v>
      </c>
    </row>
    <row r="109" spans="1:10">
      <c r="B109" s="789">
        <f t="shared" si="9"/>
        <v>45961</v>
      </c>
      <c r="C109" s="332">
        <f t="shared" si="5"/>
        <v>-3704958.2163483216</v>
      </c>
      <c r="D109" s="332">
        <f t="shared" si="6"/>
        <v>-3.7252902984619141E-9</v>
      </c>
      <c r="E109" s="332">
        <f t="shared" si="7"/>
        <v>-3704958.2163483254</v>
      </c>
      <c r="G109" s="608">
        <v>15833.154770719324</v>
      </c>
      <c r="I109" s="608"/>
      <c r="J109" s="332">
        <f t="shared" si="8"/>
        <v>15833.154770719324</v>
      </c>
    </row>
    <row r="110" spans="1:10">
      <c r="B110" s="789">
        <f t="shared" si="9"/>
        <v>45991</v>
      </c>
      <c r="C110" s="332">
        <f t="shared" si="5"/>
        <v>-3689125.0615776023</v>
      </c>
      <c r="D110" s="332">
        <f t="shared" si="6"/>
        <v>-3.7252902984619141E-9</v>
      </c>
      <c r="E110" s="332">
        <f t="shared" si="7"/>
        <v>-3689125.061577606</v>
      </c>
      <c r="G110" s="608">
        <v>15833.154770719324</v>
      </c>
      <c r="I110" s="608"/>
      <c r="J110" s="332">
        <f t="shared" si="8"/>
        <v>15833.154770719324</v>
      </c>
    </row>
    <row r="111" spans="1:10">
      <c r="B111" s="789">
        <f t="shared" si="9"/>
        <v>46022</v>
      </c>
      <c r="C111" s="332">
        <f t="shared" si="5"/>
        <v>-3673291.9068068829</v>
      </c>
      <c r="D111" s="332">
        <f t="shared" si="6"/>
        <v>-3.7252902984619141E-9</v>
      </c>
      <c r="E111" s="332">
        <f t="shared" si="7"/>
        <v>-3673291.9068068867</v>
      </c>
      <c r="G111" s="608">
        <v>15833.154770719324</v>
      </c>
      <c r="I111" s="608"/>
      <c r="J111" s="332">
        <f t="shared" si="8"/>
        <v>15833.154770719324</v>
      </c>
    </row>
    <row r="112" spans="1:10">
      <c r="B112" s="789">
        <f t="shared" si="9"/>
        <v>46053</v>
      </c>
      <c r="C112" s="332">
        <f t="shared" si="5"/>
        <v>-3657458.7520361636</v>
      </c>
      <c r="D112" s="332">
        <f t="shared" si="6"/>
        <v>-3.7252902984619141E-9</v>
      </c>
      <c r="E112" s="332">
        <f t="shared" si="7"/>
        <v>-3657458.7520361673</v>
      </c>
      <c r="G112" s="608">
        <v>15833.154770719324</v>
      </c>
      <c r="I112" s="608"/>
      <c r="J112" s="332">
        <f t="shared" si="8"/>
        <v>15833.154770719324</v>
      </c>
    </row>
    <row r="113" spans="1:10">
      <c r="B113" s="789">
        <f t="shared" si="9"/>
        <v>46081</v>
      </c>
      <c r="C113" s="332">
        <f t="shared" si="5"/>
        <v>-3641625.5972654442</v>
      </c>
      <c r="D113" s="332">
        <f t="shared" si="6"/>
        <v>-3.7252902984619141E-9</v>
      </c>
      <c r="E113" s="332">
        <f t="shared" si="7"/>
        <v>-3641625.597265448</v>
      </c>
      <c r="G113" s="608">
        <v>15833.154770719324</v>
      </c>
      <c r="I113" s="608"/>
      <c r="J113" s="332">
        <f t="shared" si="8"/>
        <v>15833.154770719324</v>
      </c>
    </row>
    <row r="114" spans="1:10">
      <c r="A114" s="45" t="s">
        <v>1612</v>
      </c>
      <c r="B114" s="789">
        <f t="shared" si="9"/>
        <v>46112</v>
      </c>
      <c r="C114" s="332">
        <f t="shared" si="5"/>
        <v>-3625792.4424947249</v>
      </c>
      <c r="D114" s="332">
        <f t="shared" si="6"/>
        <v>-3.7252902984619141E-9</v>
      </c>
      <c r="E114" s="332">
        <f t="shared" si="7"/>
        <v>-3625792.4424947286</v>
      </c>
      <c r="G114" s="608">
        <v>15833.154770719324</v>
      </c>
      <c r="I114" s="608"/>
      <c r="J114" s="332">
        <f t="shared" si="8"/>
        <v>15833.154770719324</v>
      </c>
    </row>
    <row r="115" spans="1:10">
      <c r="B115" s="789">
        <f t="shared" si="9"/>
        <v>46142</v>
      </c>
      <c r="C115" s="332">
        <f t="shared" si="5"/>
        <v>-3609959.2877240055</v>
      </c>
      <c r="D115" s="332">
        <f t="shared" si="6"/>
        <v>-3.7252902984619141E-9</v>
      </c>
      <c r="E115" s="332">
        <f t="shared" si="7"/>
        <v>-3609959.2877240092</v>
      </c>
      <c r="G115" s="608">
        <v>15833.154770719324</v>
      </c>
      <c r="I115" s="608"/>
      <c r="J115" s="332">
        <f t="shared" si="8"/>
        <v>15833.154770719324</v>
      </c>
    </row>
    <row r="116" spans="1:10">
      <c r="B116" s="789">
        <f t="shared" si="9"/>
        <v>46173</v>
      </c>
      <c r="C116" s="332">
        <f t="shared" si="5"/>
        <v>-3594126.1329532862</v>
      </c>
      <c r="D116" s="332">
        <f t="shared" si="6"/>
        <v>-3.7252902984619141E-9</v>
      </c>
      <c r="E116" s="332">
        <f t="shared" si="7"/>
        <v>-3594126.1329532899</v>
      </c>
      <c r="G116" s="608">
        <v>15833.154770719324</v>
      </c>
      <c r="I116" s="608"/>
      <c r="J116" s="332">
        <f t="shared" si="8"/>
        <v>15833.154770719324</v>
      </c>
    </row>
    <row r="117" spans="1:10">
      <c r="B117" s="789">
        <f t="shared" si="9"/>
        <v>46203</v>
      </c>
      <c r="C117" s="332">
        <f t="shared" si="5"/>
        <v>-3578292.9781825668</v>
      </c>
      <c r="D117" s="332">
        <f t="shared" si="6"/>
        <v>-3.7252902984619141E-9</v>
      </c>
      <c r="E117" s="332">
        <f t="shared" si="7"/>
        <v>-3578292.9781825705</v>
      </c>
      <c r="G117" s="608">
        <v>15833.154770719324</v>
      </c>
      <c r="I117" s="608"/>
      <c r="J117" s="332">
        <f t="shared" si="8"/>
        <v>15833.154770719324</v>
      </c>
    </row>
    <row r="118" spans="1:10">
      <c r="B118" s="789">
        <f t="shared" si="9"/>
        <v>46234</v>
      </c>
      <c r="C118" s="332">
        <f t="shared" si="5"/>
        <v>-3562459.8234118475</v>
      </c>
      <c r="D118" s="332">
        <f t="shared" si="6"/>
        <v>-3.7252902984619141E-9</v>
      </c>
      <c r="E118" s="332">
        <f t="shared" si="7"/>
        <v>-3562459.8234118512</v>
      </c>
      <c r="G118" s="608">
        <v>15833.154770719324</v>
      </c>
      <c r="I118" s="608"/>
      <c r="J118" s="332">
        <f t="shared" si="8"/>
        <v>15833.154770719324</v>
      </c>
    </row>
    <row r="119" spans="1:10">
      <c r="B119" s="789">
        <f t="shared" si="9"/>
        <v>46265</v>
      </c>
      <c r="C119" s="332">
        <f t="shared" si="5"/>
        <v>-3546626.6686411281</v>
      </c>
      <c r="D119" s="332">
        <f t="shared" si="6"/>
        <v>-3.7252902984619141E-9</v>
      </c>
      <c r="E119" s="332">
        <f t="shared" si="7"/>
        <v>-3546626.6686411318</v>
      </c>
      <c r="G119" s="608">
        <v>15833.154770719324</v>
      </c>
      <c r="I119" s="608"/>
      <c r="J119" s="332">
        <f t="shared" si="8"/>
        <v>15833.154770719324</v>
      </c>
    </row>
    <row r="120" spans="1:10">
      <c r="B120" s="789">
        <f t="shared" si="9"/>
        <v>46295</v>
      </c>
      <c r="C120" s="332">
        <f t="shared" si="5"/>
        <v>-3530793.5138704088</v>
      </c>
      <c r="D120" s="332">
        <f t="shared" si="6"/>
        <v>-3.7252902984619141E-9</v>
      </c>
      <c r="E120" s="332">
        <f t="shared" si="7"/>
        <v>-3530793.5138704125</v>
      </c>
      <c r="G120" s="608">
        <v>15833.154770719324</v>
      </c>
      <c r="I120" s="608"/>
      <c r="J120" s="332">
        <f t="shared" si="8"/>
        <v>15833.154770719324</v>
      </c>
    </row>
    <row r="121" spans="1:10">
      <c r="B121" s="789">
        <f t="shared" si="9"/>
        <v>46326</v>
      </c>
      <c r="C121" s="332">
        <f t="shared" si="5"/>
        <v>-3514960.3590996894</v>
      </c>
      <c r="D121" s="332">
        <f t="shared" si="6"/>
        <v>-3.7252902984619141E-9</v>
      </c>
      <c r="E121" s="332">
        <f t="shared" si="7"/>
        <v>-3514960.3590996931</v>
      </c>
      <c r="G121" s="608">
        <v>15833.154770719324</v>
      </c>
      <c r="I121" s="608"/>
      <c r="J121" s="332">
        <f t="shared" si="8"/>
        <v>15833.154770719324</v>
      </c>
    </row>
    <row r="122" spans="1:10">
      <c r="B122" s="789">
        <f t="shared" si="9"/>
        <v>46356</v>
      </c>
      <c r="C122" s="332">
        <f t="shared" si="5"/>
        <v>-3499127.2043289701</v>
      </c>
      <c r="D122" s="332">
        <f t="shared" si="6"/>
        <v>-3.7252902984619141E-9</v>
      </c>
      <c r="E122" s="332">
        <f t="shared" si="7"/>
        <v>-3499127.2043289738</v>
      </c>
      <c r="G122" s="608">
        <v>15833.154770719324</v>
      </c>
      <c r="I122" s="608"/>
      <c r="J122" s="332">
        <f t="shared" si="8"/>
        <v>15833.154770719324</v>
      </c>
    </row>
    <row r="123" spans="1:10">
      <c r="B123" s="789">
        <f t="shared" si="9"/>
        <v>46387</v>
      </c>
      <c r="C123" s="332">
        <f t="shared" si="5"/>
        <v>-3483294.0495582507</v>
      </c>
      <c r="D123" s="332">
        <f t="shared" si="6"/>
        <v>-3.7252902984619141E-9</v>
      </c>
      <c r="E123" s="332">
        <f t="shared" si="7"/>
        <v>-3483294.0495582544</v>
      </c>
      <c r="G123" s="608">
        <v>15833.154770719324</v>
      </c>
      <c r="I123" s="608"/>
      <c r="J123" s="332">
        <f t="shared" si="8"/>
        <v>15833.154770719324</v>
      </c>
    </row>
    <row r="124" spans="1:10">
      <c r="B124" s="789">
        <f t="shared" si="9"/>
        <v>46418</v>
      </c>
      <c r="C124" s="332">
        <f t="shared" si="5"/>
        <v>-3467460.8947875313</v>
      </c>
      <c r="D124" s="332">
        <f t="shared" si="6"/>
        <v>-3.7252902984619141E-9</v>
      </c>
      <c r="E124" s="332">
        <f t="shared" si="7"/>
        <v>-3467460.8947875351</v>
      </c>
      <c r="G124" s="608">
        <v>15833.154770719324</v>
      </c>
      <c r="J124" s="332">
        <f t="shared" si="8"/>
        <v>15833.154770719324</v>
      </c>
    </row>
    <row r="125" spans="1:10">
      <c r="B125" s="789">
        <f t="shared" si="9"/>
        <v>46446</v>
      </c>
      <c r="C125" s="332">
        <f t="shared" si="5"/>
        <v>-3451627.740016812</v>
      </c>
      <c r="D125" s="332">
        <f t="shared" si="6"/>
        <v>-3.7252902984619141E-9</v>
      </c>
      <c r="E125" s="332">
        <f t="shared" si="7"/>
        <v>-3451627.7400168157</v>
      </c>
      <c r="G125" s="608">
        <v>15833.154770719324</v>
      </c>
      <c r="J125" s="332">
        <f t="shared" si="8"/>
        <v>15833.154770719324</v>
      </c>
    </row>
    <row r="126" spans="1:10">
      <c r="B126" s="789">
        <f t="shared" si="9"/>
        <v>46477</v>
      </c>
      <c r="C126" s="332">
        <f t="shared" si="5"/>
        <v>-3435794.5852460926</v>
      </c>
      <c r="D126" s="332">
        <f t="shared" si="6"/>
        <v>-3.7252902984619141E-9</v>
      </c>
      <c r="E126" s="332">
        <f t="shared" si="7"/>
        <v>-3435794.5852460964</v>
      </c>
      <c r="G126" s="608">
        <v>15833.154770719324</v>
      </c>
      <c r="J126" s="332">
        <f t="shared" si="8"/>
        <v>15833.154770719324</v>
      </c>
    </row>
    <row r="127" spans="1:10">
      <c r="B127" s="789">
        <f t="shared" si="9"/>
        <v>46507</v>
      </c>
      <c r="C127" s="332">
        <f t="shared" si="5"/>
        <v>-3419961.4304753733</v>
      </c>
      <c r="D127" s="332">
        <f t="shared" si="6"/>
        <v>-3.7252902984619141E-9</v>
      </c>
      <c r="E127" s="332">
        <f t="shared" si="7"/>
        <v>-3419961.430475377</v>
      </c>
      <c r="G127" s="608">
        <v>15833.154770719324</v>
      </c>
      <c r="J127" s="332">
        <f t="shared" si="8"/>
        <v>15833.154770719324</v>
      </c>
    </row>
    <row r="128" spans="1:10">
      <c r="B128" s="789">
        <f t="shared" si="9"/>
        <v>46538</v>
      </c>
      <c r="C128" s="332">
        <f t="shared" si="5"/>
        <v>-3404128.2757046539</v>
      </c>
      <c r="D128" s="332">
        <f t="shared" si="6"/>
        <v>-3.7252902984619141E-9</v>
      </c>
      <c r="E128" s="332">
        <f t="shared" si="7"/>
        <v>-3404128.2757046577</v>
      </c>
      <c r="G128" s="608">
        <v>15833.154770719324</v>
      </c>
      <c r="J128" s="332">
        <f t="shared" si="8"/>
        <v>15833.154770719324</v>
      </c>
    </row>
    <row r="129" spans="2:10">
      <c r="B129" s="789">
        <f t="shared" si="9"/>
        <v>46568</v>
      </c>
      <c r="C129" s="332">
        <f t="shared" si="5"/>
        <v>-3388295.1209339346</v>
      </c>
      <c r="D129" s="332">
        <f t="shared" si="6"/>
        <v>-3.7252902984619141E-9</v>
      </c>
      <c r="E129" s="332">
        <f t="shared" si="7"/>
        <v>-3388295.1209339383</v>
      </c>
      <c r="G129" s="608">
        <v>15833.154770719324</v>
      </c>
      <c r="J129" s="332">
        <f t="shared" si="8"/>
        <v>15833.154770719324</v>
      </c>
    </row>
    <row r="130" spans="2:10">
      <c r="B130" s="789">
        <f t="shared" si="9"/>
        <v>46599</v>
      </c>
      <c r="C130" s="332">
        <f t="shared" si="5"/>
        <v>-3372461.9661632152</v>
      </c>
      <c r="D130" s="332">
        <f t="shared" si="6"/>
        <v>-3.7252902984619141E-9</v>
      </c>
      <c r="E130" s="332">
        <f t="shared" si="7"/>
        <v>-3372461.966163219</v>
      </c>
      <c r="G130" s="608">
        <v>15833.154770719324</v>
      </c>
      <c r="J130" s="332">
        <f t="shared" si="8"/>
        <v>15833.154770719324</v>
      </c>
    </row>
    <row r="131" spans="2:10">
      <c r="B131" s="789">
        <f t="shared" si="9"/>
        <v>46630</v>
      </c>
      <c r="C131" s="332">
        <f t="shared" si="5"/>
        <v>-3356628.8113924959</v>
      </c>
      <c r="D131" s="332">
        <f t="shared" si="6"/>
        <v>-3.7252902984619141E-9</v>
      </c>
      <c r="E131" s="332">
        <f t="shared" si="7"/>
        <v>-3356628.8113924996</v>
      </c>
      <c r="G131" s="608">
        <v>15833.154770719324</v>
      </c>
      <c r="J131" s="332">
        <f t="shared" si="8"/>
        <v>15833.154770719324</v>
      </c>
    </row>
    <row r="132" spans="2:10">
      <c r="B132" s="789">
        <f t="shared" si="9"/>
        <v>46660</v>
      </c>
      <c r="C132" s="332">
        <f t="shared" si="5"/>
        <v>-3340795.6566217765</v>
      </c>
      <c r="D132" s="332">
        <f t="shared" si="6"/>
        <v>-3.7252902984619141E-9</v>
      </c>
      <c r="E132" s="332">
        <f t="shared" si="7"/>
        <v>-3340795.6566217802</v>
      </c>
      <c r="G132" s="608">
        <v>15833.154770719324</v>
      </c>
      <c r="J132" s="332">
        <f t="shared" si="8"/>
        <v>15833.154770719324</v>
      </c>
    </row>
    <row r="133" spans="2:10">
      <c r="B133" s="789">
        <f t="shared" si="9"/>
        <v>46691</v>
      </c>
      <c r="C133" s="332">
        <f t="shared" si="5"/>
        <v>-3324962.5018510572</v>
      </c>
      <c r="D133" s="332">
        <f t="shared" si="6"/>
        <v>-3.7252902984619141E-9</v>
      </c>
      <c r="E133" s="332">
        <f t="shared" si="7"/>
        <v>-3324962.5018510609</v>
      </c>
      <c r="G133" s="608">
        <v>15833.154770719324</v>
      </c>
      <c r="J133" s="332">
        <f t="shared" si="8"/>
        <v>15833.154770719324</v>
      </c>
    </row>
    <row r="134" spans="2:10">
      <c r="B134" s="789">
        <f t="shared" si="9"/>
        <v>46721</v>
      </c>
      <c r="C134" s="332">
        <f t="shared" si="5"/>
        <v>-3309129.3470803378</v>
      </c>
      <c r="D134" s="332">
        <f t="shared" si="6"/>
        <v>-3.7252902984619141E-9</v>
      </c>
      <c r="E134" s="332">
        <f t="shared" si="7"/>
        <v>-3309129.3470803415</v>
      </c>
      <c r="G134" s="608">
        <v>15833.154770719324</v>
      </c>
      <c r="J134" s="332">
        <f t="shared" si="8"/>
        <v>15833.154770719324</v>
      </c>
    </row>
    <row r="135" spans="2:10">
      <c r="B135" s="789">
        <f t="shared" si="9"/>
        <v>46752</v>
      </c>
      <c r="C135" s="332">
        <f t="shared" si="5"/>
        <v>-3293296.1923096185</v>
      </c>
      <c r="D135" s="332">
        <f t="shared" si="6"/>
        <v>-3.7252902984619141E-9</v>
      </c>
      <c r="E135" s="332">
        <f t="shared" si="7"/>
        <v>-3293296.1923096222</v>
      </c>
      <c r="G135" s="608">
        <v>15833.154770719324</v>
      </c>
      <c r="J135" s="332">
        <f t="shared" si="8"/>
        <v>15833.154770719324</v>
      </c>
    </row>
    <row r="136" spans="2:10">
      <c r="B136" s="789">
        <f t="shared" si="9"/>
        <v>46783</v>
      </c>
      <c r="C136" s="332">
        <f t="shared" si="5"/>
        <v>-3277463.0375388991</v>
      </c>
      <c r="D136" s="332">
        <f t="shared" si="6"/>
        <v>-3.7252902984619141E-9</v>
      </c>
      <c r="E136" s="332">
        <f t="shared" si="7"/>
        <v>-3277463.0375389028</v>
      </c>
      <c r="G136" s="608">
        <v>15833.154770719324</v>
      </c>
      <c r="J136" s="332">
        <f t="shared" si="8"/>
        <v>15833.154770719324</v>
      </c>
    </row>
    <row r="137" spans="2:10">
      <c r="B137" s="789">
        <f t="shared" si="9"/>
        <v>46812</v>
      </c>
      <c r="C137" s="332">
        <f t="shared" si="5"/>
        <v>-3261629.8827681798</v>
      </c>
      <c r="D137" s="332">
        <f t="shared" si="6"/>
        <v>-3.7252902984619141E-9</v>
      </c>
      <c r="E137" s="332">
        <f t="shared" si="7"/>
        <v>-3261629.8827681835</v>
      </c>
      <c r="G137" s="608">
        <v>15833.154770719324</v>
      </c>
      <c r="J137" s="332">
        <f t="shared" si="8"/>
        <v>15833.154770719324</v>
      </c>
    </row>
    <row r="138" spans="2:10">
      <c r="B138" s="789">
        <f t="shared" si="9"/>
        <v>46843</v>
      </c>
      <c r="C138" s="332">
        <f t="shared" si="5"/>
        <v>-3245796.7279974604</v>
      </c>
      <c r="D138" s="332">
        <f t="shared" si="6"/>
        <v>-3.7252902984619141E-9</v>
      </c>
      <c r="E138" s="332">
        <f t="shared" si="7"/>
        <v>-3245796.7279974641</v>
      </c>
      <c r="G138" s="608">
        <v>15833.154770719324</v>
      </c>
      <c r="J138" s="332">
        <f t="shared" si="8"/>
        <v>15833.154770719324</v>
      </c>
    </row>
    <row r="139" spans="2:10">
      <c r="B139" s="789">
        <f t="shared" si="9"/>
        <v>46873</v>
      </c>
      <c r="C139" s="332">
        <f t="shared" si="5"/>
        <v>-3229963.573226741</v>
      </c>
      <c r="D139" s="332">
        <f t="shared" si="6"/>
        <v>-3.7252902984619141E-9</v>
      </c>
      <c r="E139" s="332">
        <f t="shared" si="7"/>
        <v>-3229963.5732267448</v>
      </c>
      <c r="G139" s="608">
        <v>15833.154770719324</v>
      </c>
      <c r="J139" s="332">
        <f t="shared" si="8"/>
        <v>15833.154770719324</v>
      </c>
    </row>
    <row r="140" spans="2:10">
      <c r="B140" s="789">
        <f t="shared" si="9"/>
        <v>46904</v>
      </c>
      <c r="C140" s="332">
        <f t="shared" si="5"/>
        <v>-3214130.4184560217</v>
      </c>
      <c r="D140" s="332">
        <f t="shared" si="6"/>
        <v>-3.7252902984619141E-9</v>
      </c>
      <c r="E140" s="332">
        <f t="shared" si="7"/>
        <v>-3214130.4184560254</v>
      </c>
      <c r="G140" s="608">
        <v>15833.154770719324</v>
      </c>
      <c r="J140" s="332">
        <f t="shared" si="8"/>
        <v>15833.154770719324</v>
      </c>
    </row>
    <row r="141" spans="2:10">
      <c r="B141" s="789">
        <f t="shared" si="9"/>
        <v>46934</v>
      </c>
      <c r="C141" s="332">
        <f t="shared" si="5"/>
        <v>-3198297.2636853023</v>
      </c>
      <c r="D141" s="332">
        <f t="shared" si="6"/>
        <v>-3.7252902984619141E-9</v>
      </c>
      <c r="E141" s="332">
        <f t="shared" si="7"/>
        <v>-3198297.2636853061</v>
      </c>
      <c r="G141" s="608">
        <v>15833.154770719324</v>
      </c>
      <c r="J141" s="332">
        <f t="shared" si="8"/>
        <v>15833.154770719324</v>
      </c>
    </row>
    <row r="142" spans="2:10">
      <c r="B142" s="789">
        <f t="shared" si="9"/>
        <v>46965</v>
      </c>
      <c r="C142" s="332">
        <f t="shared" si="5"/>
        <v>-3182464.108914583</v>
      </c>
      <c r="D142" s="332">
        <f t="shared" si="6"/>
        <v>-3.7252902984619141E-9</v>
      </c>
      <c r="E142" s="332">
        <f t="shared" si="7"/>
        <v>-3182464.1089145867</v>
      </c>
      <c r="G142" s="608">
        <v>15833.154770719324</v>
      </c>
      <c r="J142" s="332">
        <f t="shared" si="8"/>
        <v>15833.154770719324</v>
      </c>
    </row>
    <row r="143" spans="2:10">
      <c r="B143" s="789">
        <f t="shared" si="9"/>
        <v>46996</v>
      </c>
      <c r="C143" s="332">
        <f t="shared" si="5"/>
        <v>-3166630.9541438636</v>
      </c>
      <c r="D143" s="332">
        <f t="shared" si="6"/>
        <v>-3.7252902984619141E-9</v>
      </c>
      <c r="E143" s="332">
        <f t="shared" si="7"/>
        <v>-3166630.9541438674</v>
      </c>
      <c r="G143" s="608">
        <v>15833.154770719324</v>
      </c>
      <c r="J143" s="332">
        <f t="shared" si="8"/>
        <v>15833.154770719324</v>
      </c>
    </row>
    <row r="144" spans="2:10">
      <c r="B144" s="789">
        <f t="shared" si="9"/>
        <v>47026</v>
      </c>
      <c r="C144" s="332">
        <f t="shared" si="5"/>
        <v>-3150797.7993731443</v>
      </c>
      <c r="D144" s="332">
        <f t="shared" si="6"/>
        <v>-3.7252902984619141E-9</v>
      </c>
      <c r="E144" s="332">
        <f t="shared" si="7"/>
        <v>-3150797.799373148</v>
      </c>
      <c r="G144" s="608">
        <v>15833.154770719324</v>
      </c>
      <c r="J144" s="332">
        <f t="shared" si="8"/>
        <v>15833.154770719324</v>
      </c>
    </row>
    <row r="145" spans="2:10">
      <c r="B145" s="789">
        <f t="shared" si="9"/>
        <v>47057</v>
      </c>
      <c r="C145" s="332">
        <f t="shared" si="5"/>
        <v>-3134964.6446024249</v>
      </c>
      <c r="D145" s="332">
        <f t="shared" si="6"/>
        <v>-3.7252902984619141E-9</v>
      </c>
      <c r="E145" s="332">
        <f t="shared" si="7"/>
        <v>-3134964.6446024287</v>
      </c>
      <c r="G145" s="608">
        <v>15833.154770719324</v>
      </c>
      <c r="J145" s="332">
        <f t="shared" si="8"/>
        <v>15833.154770719324</v>
      </c>
    </row>
    <row r="146" spans="2:10">
      <c r="B146" s="789">
        <f t="shared" si="9"/>
        <v>47087</v>
      </c>
      <c r="C146" s="332">
        <f t="shared" si="5"/>
        <v>-3119131.4898317056</v>
      </c>
      <c r="D146" s="332">
        <f t="shared" si="6"/>
        <v>-3.7252902984619141E-9</v>
      </c>
      <c r="E146" s="332">
        <f t="shared" si="7"/>
        <v>-3119131.4898317093</v>
      </c>
      <c r="G146" s="608">
        <v>15833.154770719324</v>
      </c>
      <c r="J146" s="332">
        <f t="shared" si="8"/>
        <v>15833.154770719324</v>
      </c>
    </row>
    <row r="147" spans="2:10">
      <c r="B147" s="789">
        <f t="shared" si="9"/>
        <v>47118</v>
      </c>
      <c r="C147" s="332">
        <f t="shared" si="5"/>
        <v>-3103298.3350609862</v>
      </c>
      <c r="D147" s="332">
        <f t="shared" si="6"/>
        <v>-3.7252902984619141E-9</v>
      </c>
      <c r="E147" s="332">
        <f t="shared" si="7"/>
        <v>-3103298.3350609899</v>
      </c>
      <c r="G147" s="608">
        <v>15833.154770719324</v>
      </c>
      <c r="J147" s="332">
        <f t="shared" si="8"/>
        <v>15833.154770719324</v>
      </c>
    </row>
    <row r="148" spans="2:10">
      <c r="B148" s="789">
        <f t="shared" si="9"/>
        <v>47149</v>
      </c>
      <c r="C148" s="332">
        <f t="shared" si="5"/>
        <v>-3087465.1802902669</v>
      </c>
      <c r="D148" s="332">
        <f t="shared" si="6"/>
        <v>-3.7252902984619141E-9</v>
      </c>
      <c r="E148" s="332">
        <f t="shared" si="7"/>
        <v>-3087465.1802902706</v>
      </c>
      <c r="G148" s="608">
        <v>15833.154770719324</v>
      </c>
      <c r="J148" s="332">
        <f t="shared" si="8"/>
        <v>15833.154770719324</v>
      </c>
    </row>
    <row r="149" spans="2:10">
      <c r="B149" s="789">
        <f t="shared" si="9"/>
        <v>47177</v>
      </c>
      <c r="C149" s="332">
        <f t="shared" ref="C149:C212" si="10">C148+G149</f>
        <v>-3071632.0255195475</v>
      </c>
      <c r="D149" s="332">
        <f t="shared" ref="D149:D212" si="11">D148+H149+I149</f>
        <v>-3.7252902984619141E-9</v>
      </c>
      <c r="E149" s="332">
        <f t="shared" ref="E149:E212" si="12">C149+D149</f>
        <v>-3071632.0255195512</v>
      </c>
      <c r="G149" s="608">
        <v>15833.154770719324</v>
      </c>
      <c r="J149" s="332">
        <f t="shared" ref="J149:J212" si="13">SUM(G149:I149)</f>
        <v>15833.154770719324</v>
      </c>
    </row>
    <row r="150" spans="2:10">
      <c r="B150" s="789">
        <f t="shared" ref="B150:B213" si="14">EOMONTH(B149,1)</f>
        <v>47208</v>
      </c>
      <c r="C150" s="332">
        <f t="shared" si="10"/>
        <v>-3055798.8707488282</v>
      </c>
      <c r="D150" s="332">
        <f t="shared" si="11"/>
        <v>-3.7252902984619141E-9</v>
      </c>
      <c r="E150" s="332">
        <f t="shared" si="12"/>
        <v>-3055798.8707488319</v>
      </c>
      <c r="G150" s="608">
        <v>15833.154770719324</v>
      </c>
      <c r="J150" s="332">
        <f t="shared" si="13"/>
        <v>15833.154770719324</v>
      </c>
    </row>
    <row r="151" spans="2:10">
      <c r="B151" s="789">
        <f t="shared" si="14"/>
        <v>47238</v>
      </c>
      <c r="C151" s="332">
        <f t="shared" si="10"/>
        <v>-3039965.7159781088</v>
      </c>
      <c r="D151" s="332">
        <f t="shared" si="11"/>
        <v>-3.7252902984619141E-9</v>
      </c>
      <c r="E151" s="332">
        <f t="shared" si="12"/>
        <v>-3039965.7159781125</v>
      </c>
      <c r="G151" s="608">
        <v>15833.154770719324</v>
      </c>
      <c r="J151" s="332">
        <f t="shared" si="13"/>
        <v>15833.154770719324</v>
      </c>
    </row>
    <row r="152" spans="2:10">
      <c r="B152" s="789">
        <f t="shared" si="14"/>
        <v>47269</v>
      </c>
      <c r="C152" s="332">
        <f t="shared" si="10"/>
        <v>-3024132.5612073895</v>
      </c>
      <c r="D152" s="332">
        <f t="shared" si="11"/>
        <v>-3.7252902984619141E-9</v>
      </c>
      <c r="E152" s="332">
        <f t="shared" si="12"/>
        <v>-3024132.5612073932</v>
      </c>
      <c r="G152" s="608">
        <v>15833.154770719324</v>
      </c>
      <c r="J152" s="332">
        <f t="shared" si="13"/>
        <v>15833.154770719324</v>
      </c>
    </row>
    <row r="153" spans="2:10">
      <c r="B153" s="789">
        <f t="shared" si="14"/>
        <v>47299</v>
      </c>
      <c r="C153" s="332">
        <f t="shared" si="10"/>
        <v>-3008299.4064366701</v>
      </c>
      <c r="D153" s="332">
        <f t="shared" si="11"/>
        <v>-3.7252902984619141E-9</v>
      </c>
      <c r="E153" s="332">
        <f t="shared" si="12"/>
        <v>-3008299.4064366738</v>
      </c>
      <c r="G153" s="608">
        <v>15833.154770719324</v>
      </c>
      <c r="J153" s="332">
        <f t="shared" si="13"/>
        <v>15833.154770719324</v>
      </c>
    </row>
    <row r="154" spans="2:10">
      <c r="B154" s="789">
        <f t="shared" si="14"/>
        <v>47330</v>
      </c>
      <c r="C154" s="332">
        <f t="shared" si="10"/>
        <v>-2992466.2516659508</v>
      </c>
      <c r="D154" s="332">
        <f t="shared" si="11"/>
        <v>-3.7252902984619141E-9</v>
      </c>
      <c r="E154" s="332">
        <f t="shared" si="12"/>
        <v>-2992466.2516659545</v>
      </c>
      <c r="G154" s="608">
        <v>15833.154770719324</v>
      </c>
      <c r="J154" s="332">
        <f t="shared" si="13"/>
        <v>15833.154770719324</v>
      </c>
    </row>
    <row r="155" spans="2:10">
      <c r="B155" s="789">
        <f t="shared" si="14"/>
        <v>47361</v>
      </c>
      <c r="C155" s="332">
        <f t="shared" si="10"/>
        <v>-2976633.0968952314</v>
      </c>
      <c r="D155" s="332">
        <f t="shared" si="11"/>
        <v>-3.7252902984619141E-9</v>
      </c>
      <c r="E155" s="332">
        <f t="shared" si="12"/>
        <v>-2976633.0968952351</v>
      </c>
      <c r="G155" s="608">
        <v>15833.154770719324</v>
      </c>
      <c r="J155" s="332">
        <f t="shared" si="13"/>
        <v>15833.154770719324</v>
      </c>
    </row>
    <row r="156" spans="2:10">
      <c r="B156" s="789">
        <f t="shared" si="14"/>
        <v>47391</v>
      </c>
      <c r="C156" s="332">
        <f t="shared" si="10"/>
        <v>-2960799.942124512</v>
      </c>
      <c r="D156" s="332">
        <f t="shared" si="11"/>
        <v>-3.7252902984619141E-9</v>
      </c>
      <c r="E156" s="332">
        <f t="shared" si="12"/>
        <v>-2960799.9421245158</v>
      </c>
      <c r="G156" s="608">
        <v>15833.154770719324</v>
      </c>
      <c r="J156" s="332">
        <f t="shared" si="13"/>
        <v>15833.154770719324</v>
      </c>
    </row>
    <row r="157" spans="2:10">
      <c r="B157" s="789">
        <f t="shared" si="14"/>
        <v>47422</v>
      </c>
      <c r="C157" s="332">
        <f t="shared" si="10"/>
        <v>-2944966.7873537927</v>
      </c>
      <c r="D157" s="332">
        <f t="shared" si="11"/>
        <v>-3.7252902984619141E-9</v>
      </c>
      <c r="E157" s="332">
        <f t="shared" si="12"/>
        <v>-2944966.7873537964</v>
      </c>
      <c r="G157" s="608">
        <v>15833.154770719324</v>
      </c>
      <c r="J157" s="332">
        <f t="shared" si="13"/>
        <v>15833.154770719324</v>
      </c>
    </row>
    <row r="158" spans="2:10">
      <c r="B158" s="789">
        <f t="shared" si="14"/>
        <v>47452</v>
      </c>
      <c r="C158" s="332">
        <f t="shared" si="10"/>
        <v>-2929133.6325830733</v>
      </c>
      <c r="D158" s="332">
        <f t="shared" si="11"/>
        <v>-3.7252902984619141E-9</v>
      </c>
      <c r="E158" s="332">
        <f t="shared" si="12"/>
        <v>-2929133.6325830771</v>
      </c>
      <c r="G158" s="608">
        <v>15833.154770719324</v>
      </c>
      <c r="J158" s="332">
        <f t="shared" si="13"/>
        <v>15833.154770719324</v>
      </c>
    </row>
    <row r="159" spans="2:10">
      <c r="B159" s="789">
        <f t="shared" si="14"/>
        <v>47483</v>
      </c>
      <c r="C159" s="332">
        <f t="shared" si="10"/>
        <v>-2913300.477812354</v>
      </c>
      <c r="D159" s="332">
        <f t="shared" si="11"/>
        <v>-3.7252902984619141E-9</v>
      </c>
      <c r="E159" s="332">
        <f t="shared" si="12"/>
        <v>-2913300.4778123577</v>
      </c>
      <c r="G159" s="608">
        <v>15833.154770719324</v>
      </c>
      <c r="J159" s="332">
        <f t="shared" si="13"/>
        <v>15833.154770719324</v>
      </c>
    </row>
    <row r="160" spans="2:10">
      <c r="B160" s="789">
        <f t="shared" si="14"/>
        <v>47514</v>
      </c>
      <c r="C160" s="332">
        <f t="shared" si="10"/>
        <v>-2897467.3230416346</v>
      </c>
      <c r="D160" s="332">
        <f t="shared" si="11"/>
        <v>-3.7252902984619141E-9</v>
      </c>
      <c r="E160" s="332">
        <f t="shared" si="12"/>
        <v>-2897467.3230416384</v>
      </c>
      <c r="G160" s="608">
        <v>15833.154770719324</v>
      </c>
      <c r="J160" s="332">
        <f t="shared" si="13"/>
        <v>15833.154770719324</v>
      </c>
    </row>
    <row r="161" spans="2:10">
      <c r="B161" s="789">
        <f t="shared" si="14"/>
        <v>47542</v>
      </c>
      <c r="C161" s="332">
        <f t="shared" si="10"/>
        <v>-2881634.1682709153</v>
      </c>
      <c r="D161" s="332">
        <f t="shared" si="11"/>
        <v>-3.7252902984619141E-9</v>
      </c>
      <c r="E161" s="332">
        <f t="shared" si="12"/>
        <v>-2881634.168270919</v>
      </c>
      <c r="G161" s="608">
        <v>15833.154770719324</v>
      </c>
      <c r="J161" s="332">
        <f t="shared" si="13"/>
        <v>15833.154770719324</v>
      </c>
    </row>
    <row r="162" spans="2:10">
      <c r="B162" s="789">
        <f t="shared" si="14"/>
        <v>47573</v>
      </c>
      <c r="C162" s="332">
        <f t="shared" si="10"/>
        <v>-2865801.0135001959</v>
      </c>
      <c r="D162" s="332">
        <f t="shared" si="11"/>
        <v>-3.7252902984619141E-9</v>
      </c>
      <c r="E162" s="332">
        <f t="shared" si="12"/>
        <v>-2865801.0135001997</v>
      </c>
      <c r="G162" s="608">
        <v>15833.154770719324</v>
      </c>
      <c r="J162" s="332">
        <f t="shared" si="13"/>
        <v>15833.154770719324</v>
      </c>
    </row>
    <row r="163" spans="2:10">
      <c r="B163" s="789">
        <f t="shared" si="14"/>
        <v>47603</v>
      </c>
      <c r="C163" s="332">
        <f t="shared" si="10"/>
        <v>-2849967.8587294766</v>
      </c>
      <c r="D163" s="332">
        <f t="shared" si="11"/>
        <v>-3.7252902984619141E-9</v>
      </c>
      <c r="E163" s="332">
        <f t="shared" si="12"/>
        <v>-2849967.8587294803</v>
      </c>
      <c r="G163" s="608">
        <v>15833.154770719324</v>
      </c>
      <c r="J163" s="332">
        <f t="shared" si="13"/>
        <v>15833.154770719324</v>
      </c>
    </row>
    <row r="164" spans="2:10">
      <c r="B164" s="789">
        <f t="shared" si="14"/>
        <v>47634</v>
      </c>
      <c r="C164" s="332">
        <f t="shared" si="10"/>
        <v>-2834134.7039587572</v>
      </c>
      <c r="D164" s="332">
        <f t="shared" si="11"/>
        <v>-3.7252902984619141E-9</v>
      </c>
      <c r="E164" s="332">
        <f t="shared" si="12"/>
        <v>-2834134.7039587609</v>
      </c>
      <c r="G164" s="608">
        <v>15833.154770719324</v>
      </c>
      <c r="J164" s="332">
        <f t="shared" si="13"/>
        <v>15833.154770719324</v>
      </c>
    </row>
    <row r="165" spans="2:10">
      <c r="B165" s="789">
        <f t="shared" si="14"/>
        <v>47664</v>
      </c>
      <c r="C165" s="332">
        <f t="shared" si="10"/>
        <v>-2818301.5491880379</v>
      </c>
      <c r="D165" s="332">
        <f t="shared" si="11"/>
        <v>-3.7252902984619141E-9</v>
      </c>
      <c r="E165" s="332">
        <f t="shared" si="12"/>
        <v>-2818301.5491880416</v>
      </c>
      <c r="G165" s="608">
        <v>15833.154770719324</v>
      </c>
      <c r="J165" s="332">
        <f t="shared" si="13"/>
        <v>15833.154770719324</v>
      </c>
    </row>
    <row r="166" spans="2:10">
      <c r="B166" s="789">
        <f t="shared" si="14"/>
        <v>47695</v>
      </c>
      <c r="C166" s="332">
        <f t="shared" si="10"/>
        <v>-2802468.3944173185</v>
      </c>
      <c r="D166" s="332">
        <f t="shared" si="11"/>
        <v>-3.7252902984619141E-9</v>
      </c>
      <c r="E166" s="332">
        <f t="shared" si="12"/>
        <v>-2802468.3944173222</v>
      </c>
      <c r="G166" s="608">
        <v>15833.154770719324</v>
      </c>
      <c r="J166" s="332">
        <f t="shared" si="13"/>
        <v>15833.154770719324</v>
      </c>
    </row>
    <row r="167" spans="2:10">
      <c r="B167" s="789">
        <f t="shared" si="14"/>
        <v>47726</v>
      </c>
      <c r="C167" s="332">
        <f t="shared" si="10"/>
        <v>-2786635.2396465992</v>
      </c>
      <c r="D167" s="332">
        <f t="shared" si="11"/>
        <v>-3.7252902984619141E-9</v>
      </c>
      <c r="E167" s="332">
        <f t="shared" si="12"/>
        <v>-2786635.2396466029</v>
      </c>
      <c r="G167" s="608">
        <v>15833.154770719324</v>
      </c>
      <c r="J167" s="332">
        <f t="shared" si="13"/>
        <v>15833.154770719324</v>
      </c>
    </row>
    <row r="168" spans="2:10">
      <c r="B168" s="789">
        <f t="shared" si="14"/>
        <v>47756</v>
      </c>
      <c r="C168" s="332">
        <f t="shared" si="10"/>
        <v>-2770802.0848758798</v>
      </c>
      <c r="D168" s="332">
        <f t="shared" si="11"/>
        <v>-3.7252902984619141E-9</v>
      </c>
      <c r="E168" s="332">
        <f t="shared" si="12"/>
        <v>-2770802.0848758835</v>
      </c>
      <c r="G168" s="608">
        <v>15833.154770719324</v>
      </c>
      <c r="J168" s="332">
        <f t="shared" si="13"/>
        <v>15833.154770719324</v>
      </c>
    </row>
    <row r="169" spans="2:10">
      <c r="B169" s="789">
        <f t="shared" si="14"/>
        <v>47787</v>
      </c>
      <c r="C169" s="332">
        <f t="shared" si="10"/>
        <v>-2754968.9301051605</v>
      </c>
      <c r="D169" s="332">
        <f t="shared" si="11"/>
        <v>-3.7252902984619141E-9</v>
      </c>
      <c r="E169" s="332">
        <f t="shared" si="12"/>
        <v>-2754968.9301051642</v>
      </c>
      <c r="G169" s="608">
        <v>15833.154770719324</v>
      </c>
      <c r="J169" s="332">
        <f t="shared" si="13"/>
        <v>15833.154770719324</v>
      </c>
    </row>
    <row r="170" spans="2:10">
      <c r="B170" s="789">
        <f t="shared" si="14"/>
        <v>47817</v>
      </c>
      <c r="C170" s="332">
        <f t="shared" si="10"/>
        <v>-2739135.7753344411</v>
      </c>
      <c r="D170" s="332">
        <f t="shared" si="11"/>
        <v>-3.7252902984619141E-9</v>
      </c>
      <c r="E170" s="332">
        <f t="shared" si="12"/>
        <v>-2739135.7753344448</v>
      </c>
      <c r="G170" s="608">
        <v>15833.154770719324</v>
      </c>
      <c r="J170" s="332">
        <f t="shared" si="13"/>
        <v>15833.154770719324</v>
      </c>
    </row>
    <row r="171" spans="2:10">
      <c r="B171" s="789">
        <f t="shared" si="14"/>
        <v>47848</v>
      </c>
      <c r="C171" s="332">
        <f t="shared" si="10"/>
        <v>-2723302.6205637217</v>
      </c>
      <c r="D171" s="332">
        <f t="shared" si="11"/>
        <v>-3.7252902984619141E-9</v>
      </c>
      <c r="E171" s="332">
        <f t="shared" si="12"/>
        <v>-2723302.6205637255</v>
      </c>
      <c r="G171" s="608">
        <v>15833.154770719324</v>
      </c>
      <c r="J171" s="332">
        <f t="shared" si="13"/>
        <v>15833.154770719324</v>
      </c>
    </row>
    <row r="172" spans="2:10">
      <c r="B172" s="789">
        <f t="shared" si="14"/>
        <v>47879</v>
      </c>
      <c r="C172" s="332">
        <f t="shared" si="10"/>
        <v>-2707469.4657930024</v>
      </c>
      <c r="D172" s="332">
        <f t="shared" si="11"/>
        <v>-3.7252902984619141E-9</v>
      </c>
      <c r="E172" s="332">
        <f t="shared" si="12"/>
        <v>-2707469.4657930061</v>
      </c>
      <c r="G172" s="608">
        <v>15833.154770719324</v>
      </c>
      <c r="J172" s="332">
        <f t="shared" si="13"/>
        <v>15833.154770719324</v>
      </c>
    </row>
    <row r="173" spans="2:10">
      <c r="B173" s="789">
        <f t="shared" si="14"/>
        <v>47907</v>
      </c>
      <c r="C173" s="332">
        <f t="shared" si="10"/>
        <v>-2691636.311022283</v>
      </c>
      <c r="D173" s="332">
        <f t="shared" si="11"/>
        <v>-3.7252902984619141E-9</v>
      </c>
      <c r="E173" s="332">
        <f t="shared" si="12"/>
        <v>-2691636.3110222868</v>
      </c>
      <c r="G173" s="608">
        <v>15833.154770719324</v>
      </c>
      <c r="J173" s="332">
        <f t="shared" si="13"/>
        <v>15833.154770719324</v>
      </c>
    </row>
    <row r="174" spans="2:10">
      <c r="B174" s="789">
        <f t="shared" si="14"/>
        <v>47938</v>
      </c>
      <c r="C174" s="332">
        <f t="shared" si="10"/>
        <v>-2675803.1562515637</v>
      </c>
      <c r="D174" s="332">
        <f t="shared" si="11"/>
        <v>-3.7252902984619141E-9</v>
      </c>
      <c r="E174" s="332">
        <f t="shared" si="12"/>
        <v>-2675803.1562515674</v>
      </c>
      <c r="G174" s="608">
        <v>15833.154770719324</v>
      </c>
      <c r="J174" s="332">
        <f t="shared" si="13"/>
        <v>15833.154770719324</v>
      </c>
    </row>
    <row r="175" spans="2:10">
      <c r="B175" s="789">
        <f t="shared" si="14"/>
        <v>47968</v>
      </c>
      <c r="C175" s="332">
        <f t="shared" si="10"/>
        <v>-2659970.0014808443</v>
      </c>
      <c r="D175" s="332">
        <f t="shared" si="11"/>
        <v>-3.7252902984619141E-9</v>
      </c>
      <c r="E175" s="332">
        <f t="shared" si="12"/>
        <v>-2659970.0014808481</v>
      </c>
      <c r="G175" s="608">
        <v>15833.154770719324</v>
      </c>
      <c r="J175" s="332">
        <f t="shared" si="13"/>
        <v>15833.154770719324</v>
      </c>
    </row>
    <row r="176" spans="2:10">
      <c r="B176" s="789">
        <f t="shared" si="14"/>
        <v>47999</v>
      </c>
      <c r="C176" s="332">
        <f t="shared" si="10"/>
        <v>-2644136.846710125</v>
      </c>
      <c r="D176" s="332">
        <f t="shared" si="11"/>
        <v>-3.7252902984619141E-9</v>
      </c>
      <c r="E176" s="332">
        <f t="shared" si="12"/>
        <v>-2644136.8467101287</v>
      </c>
      <c r="G176" s="608">
        <v>15833.154770719324</v>
      </c>
      <c r="J176" s="332">
        <f t="shared" si="13"/>
        <v>15833.154770719324</v>
      </c>
    </row>
    <row r="177" spans="2:10">
      <c r="B177" s="789">
        <f t="shared" si="14"/>
        <v>48029</v>
      </c>
      <c r="C177" s="332">
        <f t="shared" si="10"/>
        <v>-2628303.6919394056</v>
      </c>
      <c r="D177" s="332">
        <f t="shared" si="11"/>
        <v>-3.7252902984619141E-9</v>
      </c>
      <c r="E177" s="332">
        <f t="shared" si="12"/>
        <v>-2628303.6919394094</v>
      </c>
      <c r="G177" s="608">
        <v>15833.154770719324</v>
      </c>
      <c r="J177" s="332">
        <f t="shared" si="13"/>
        <v>15833.154770719324</v>
      </c>
    </row>
    <row r="178" spans="2:10">
      <c r="B178" s="789">
        <f t="shared" si="14"/>
        <v>48060</v>
      </c>
      <c r="C178" s="332">
        <f t="shared" si="10"/>
        <v>-2612470.5371686863</v>
      </c>
      <c r="D178" s="332">
        <f t="shared" si="11"/>
        <v>-3.7252902984619141E-9</v>
      </c>
      <c r="E178" s="332">
        <f t="shared" si="12"/>
        <v>-2612470.53716869</v>
      </c>
      <c r="G178" s="608">
        <v>15833.154770719324</v>
      </c>
      <c r="J178" s="332">
        <f t="shared" si="13"/>
        <v>15833.154770719324</v>
      </c>
    </row>
    <row r="179" spans="2:10">
      <c r="B179" s="789">
        <f t="shared" si="14"/>
        <v>48091</v>
      </c>
      <c r="C179" s="332">
        <f t="shared" si="10"/>
        <v>-2596637.3823979669</v>
      </c>
      <c r="D179" s="332">
        <f t="shared" si="11"/>
        <v>-3.7252902984619141E-9</v>
      </c>
      <c r="E179" s="332">
        <f t="shared" si="12"/>
        <v>-2596637.3823979707</v>
      </c>
      <c r="G179" s="608">
        <v>15833.154770719324</v>
      </c>
      <c r="J179" s="332">
        <f t="shared" si="13"/>
        <v>15833.154770719324</v>
      </c>
    </row>
    <row r="180" spans="2:10">
      <c r="B180" s="789">
        <f t="shared" si="14"/>
        <v>48121</v>
      </c>
      <c r="C180" s="332">
        <f t="shared" si="10"/>
        <v>-2580804.2276272476</v>
      </c>
      <c r="D180" s="332">
        <f t="shared" si="11"/>
        <v>-3.7252902984619141E-9</v>
      </c>
      <c r="E180" s="332">
        <f t="shared" si="12"/>
        <v>-2580804.2276272513</v>
      </c>
      <c r="G180" s="608">
        <v>15833.154770719324</v>
      </c>
      <c r="J180" s="332">
        <f t="shared" si="13"/>
        <v>15833.154770719324</v>
      </c>
    </row>
    <row r="181" spans="2:10">
      <c r="B181" s="789">
        <f t="shared" si="14"/>
        <v>48152</v>
      </c>
      <c r="C181" s="332">
        <f t="shared" si="10"/>
        <v>-2564971.0728565282</v>
      </c>
      <c r="D181" s="332">
        <f t="shared" si="11"/>
        <v>-3.7252902984619141E-9</v>
      </c>
      <c r="E181" s="332">
        <f t="shared" si="12"/>
        <v>-2564971.0728565319</v>
      </c>
      <c r="G181" s="608">
        <v>15833.154770719324</v>
      </c>
      <c r="J181" s="332">
        <f t="shared" si="13"/>
        <v>15833.154770719324</v>
      </c>
    </row>
    <row r="182" spans="2:10">
      <c r="B182" s="789">
        <f t="shared" si="14"/>
        <v>48182</v>
      </c>
      <c r="C182" s="332">
        <f t="shared" si="10"/>
        <v>-2549137.9180858089</v>
      </c>
      <c r="D182" s="332">
        <f t="shared" si="11"/>
        <v>-3.7252902984619141E-9</v>
      </c>
      <c r="E182" s="332">
        <f t="shared" si="12"/>
        <v>-2549137.9180858126</v>
      </c>
      <c r="G182" s="608">
        <v>15833.154770719324</v>
      </c>
      <c r="J182" s="332">
        <f t="shared" si="13"/>
        <v>15833.154770719324</v>
      </c>
    </row>
    <row r="183" spans="2:10">
      <c r="B183" s="789">
        <f t="shared" si="14"/>
        <v>48213</v>
      </c>
      <c r="C183" s="332">
        <f t="shared" si="10"/>
        <v>-2533304.7633150895</v>
      </c>
      <c r="D183" s="332">
        <f t="shared" si="11"/>
        <v>-3.7252902984619141E-9</v>
      </c>
      <c r="E183" s="332">
        <f t="shared" si="12"/>
        <v>-2533304.7633150932</v>
      </c>
      <c r="G183" s="608">
        <v>15833.154770719324</v>
      </c>
      <c r="J183" s="332">
        <f t="shared" si="13"/>
        <v>15833.154770719324</v>
      </c>
    </row>
    <row r="184" spans="2:10">
      <c r="B184" s="789">
        <f t="shared" si="14"/>
        <v>48244</v>
      </c>
      <c r="C184" s="332">
        <f t="shared" si="10"/>
        <v>-2517471.6085443702</v>
      </c>
      <c r="D184" s="332">
        <f t="shared" si="11"/>
        <v>-3.7252902984619141E-9</v>
      </c>
      <c r="E184" s="332">
        <f t="shared" si="12"/>
        <v>-2517471.6085443739</v>
      </c>
      <c r="G184" s="608">
        <v>15833.154770719324</v>
      </c>
      <c r="J184" s="332">
        <f t="shared" si="13"/>
        <v>15833.154770719324</v>
      </c>
    </row>
    <row r="185" spans="2:10">
      <c r="B185" s="789">
        <f t="shared" si="14"/>
        <v>48273</v>
      </c>
      <c r="C185" s="332">
        <f t="shared" si="10"/>
        <v>-2501638.4537736508</v>
      </c>
      <c r="D185" s="332">
        <f t="shared" si="11"/>
        <v>-3.7252902984619141E-9</v>
      </c>
      <c r="E185" s="332">
        <f t="shared" si="12"/>
        <v>-2501638.4537736545</v>
      </c>
      <c r="G185" s="608">
        <v>15833.154770719324</v>
      </c>
      <c r="J185" s="332">
        <f t="shared" si="13"/>
        <v>15833.154770719324</v>
      </c>
    </row>
    <row r="186" spans="2:10">
      <c r="B186" s="789">
        <f t="shared" si="14"/>
        <v>48304</v>
      </c>
      <c r="C186" s="332">
        <f t="shared" si="10"/>
        <v>-2485805.2990029315</v>
      </c>
      <c r="D186" s="332">
        <f t="shared" si="11"/>
        <v>-3.7252902984619141E-9</v>
      </c>
      <c r="E186" s="332">
        <f t="shared" si="12"/>
        <v>-2485805.2990029352</v>
      </c>
      <c r="G186" s="608">
        <v>15833.154770719324</v>
      </c>
      <c r="J186" s="332">
        <f t="shared" si="13"/>
        <v>15833.154770719324</v>
      </c>
    </row>
    <row r="187" spans="2:10">
      <c r="B187" s="789">
        <f t="shared" si="14"/>
        <v>48334</v>
      </c>
      <c r="C187" s="332">
        <f t="shared" si="10"/>
        <v>-2469972.1442322121</v>
      </c>
      <c r="D187" s="332">
        <f t="shared" si="11"/>
        <v>-3.7252902984619141E-9</v>
      </c>
      <c r="E187" s="332">
        <f t="shared" si="12"/>
        <v>-2469972.1442322158</v>
      </c>
      <c r="G187" s="608">
        <v>15833.154770719324</v>
      </c>
      <c r="J187" s="332">
        <f t="shared" si="13"/>
        <v>15833.154770719324</v>
      </c>
    </row>
    <row r="188" spans="2:10">
      <c r="B188" s="789">
        <f t="shared" si="14"/>
        <v>48365</v>
      </c>
      <c r="C188" s="332">
        <f t="shared" si="10"/>
        <v>-2454138.9894614927</v>
      </c>
      <c r="D188" s="332">
        <f t="shared" si="11"/>
        <v>-3.7252902984619141E-9</v>
      </c>
      <c r="E188" s="332">
        <f t="shared" si="12"/>
        <v>-2454138.9894614965</v>
      </c>
      <c r="G188" s="608">
        <v>15833.154770719324</v>
      </c>
      <c r="J188" s="332">
        <f t="shared" si="13"/>
        <v>15833.154770719324</v>
      </c>
    </row>
    <row r="189" spans="2:10">
      <c r="B189" s="789">
        <f t="shared" si="14"/>
        <v>48395</v>
      </c>
      <c r="C189" s="332">
        <f t="shared" si="10"/>
        <v>-2438305.8346907734</v>
      </c>
      <c r="D189" s="332">
        <f t="shared" si="11"/>
        <v>-3.7252902984619141E-9</v>
      </c>
      <c r="E189" s="332">
        <f t="shared" si="12"/>
        <v>-2438305.8346907771</v>
      </c>
      <c r="G189" s="608">
        <v>15833.154770719324</v>
      </c>
      <c r="J189" s="332">
        <f t="shared" si="13"/>
        <v>15833.154770719324</v>
      </c>
    </row>
    <row r="190" spans="2:10">
      <c r="B190" s="789">
        <f t="shared" si="14"/>
        <v>48426</v>
      </c>
      <c r="C190" s="332">
        <f t="shared" si="10"/>
        <v>-2422472.679920054</v>
      </c>
      <c r="D190" s="332">
        <f t="shared" si="11"/>
        <v>-3.7252902984619141E-9</v>
      </c>
      <c r="E190" s="332">
        <f t="shared" si="12"/>
        <v>-2422472.6799200578</v>
      </c>
      <c r="G190" s="608">
        <v>15833.154770719324</v>
      </c>
      <c r="J190" s="332">
        <f t="shared" si="13"/>
        <v>15833.154770719324</v>
      </c>
    </row>
    <row r="191" spans="2:10">
      <c r="B191" s="789">
        <f t="shared" si="14"/>
        <v>48457</v>
      </c>
      <c r="C191" s="332">
        <f t="shared" si="10"/>
        <v>-2406639.5251493347</v>
      </c>
      <c r="D191" s="332">
        <f t="shared" si="11"/>
        <v>-3.7252902984619141E-9</v>
      </c>
      <c r="E191" s="332">
        <f t="shared" si="12"/>
        <v>-2406639.5251493384</v>
      </c>
      <c r="G191" s="608">
        <v>15833.154770719324</v>
      </c>
      <c r="J191" s="332">
        <f t="shared" si="13"/>
        <v>15833.154770719324</v>
      </c>
    </row>
    <row r="192" spans="2:10">
      <c r="B192" s="789">
        <f t="shared" si="14"/>
        <v>48487</v>
      </c>
      <c r="C192" s="332">
        <f t="shared" si="10"/>
        <v>-2390806.3703786153</v>
      </c>
      <c r="D192" s="332">
        <f t="shared" si="11"/>
        <v>-3.7252902984619141E-9</v>
      </c>
      <c r="E192" s="332">
        <f t="shared" si="12"/>
        <v>-2390806.3703786191</v>
      </c>
      <c r="G192" s="608">
        <v>15833.154770719324</v>
      </c>
      <c r="J192" s="332">
        <f t="shared" si="13"/>
        <v>15833.154770719324</v>
      </c>
    </row>
    <row r="193" spans="2:10">
      <c r="B193" s="789">
        <f t="shared" si="14"/>
        <v>48518</v>
      </c>
      <c r="C193" s="332">
        <f t="shared" si="10"/>
        <v>-2374973.215607896</v>
      </c>
      <c r="D193" s="332">
        <f t="shared" si="11"/>
        <v>-3.7252902984619141E-9</v>
      </c>
      <c r="E193" s="332">
        <f t="shared" si="12"/>
        <v>-2374973.2156078997</v>
      </c>
      <c r="G193" s="608">
        <v>15833.154770719324</v>
      </c>
      <c r="J193" s="332">
        <f t="shared" si="13"/>
        <v>15833.154770719324</v>
      </c>
    </row>
    <row r="194" spans="2:10">
      <c r="B194" s="789">
        <f t="shared" si="14"/>
        <v>48548</v>
      </c>
      <c r="C194" s="332">
        <f t="shared" si="10"/>
        <v>-2359140.0608371766</v>
      </c>
      <c r="D194" s="332">
        <f t="shared" si="11"/>
        <v>-3.7252902984619141E-9</v>
      </c>
      <c r="E194" s="332">
        <f t="shared" si="12"/>
        <v>-2359140.0608371804</v>
      </c>
      <c r="G194" s="608">
        <v>15833.154770719324</v>
      </c>
      <c r="J194" s="332">
        <f t="shared" si="13"/>
        <v>15833.154770719324</v>
      </c>
    </row>
    <row r="195" spans="2:10">
      <c r="B195" s="789">
        <f t="shared" si="14"/>
        <v>48579</v>
      </c>
      <c r="C195" s="332">
        <f t="shared" si="10"/>
        <v>-2343306.9060664573</v>
      </c>
      <c r="D195" s="332">
        <f t="shared" si="11"/>
        <v>-3.7252902984619141E-9</v>
      </c>
      <c r="E195" s="332">
        <f t="shared" si="12"/>
        <v>-2343306.906066461</v>
      </c>
      <c r="G195" s="608">
        <v>15833.154770719324</v>
      </c>
      <c r="J195" s="332">
        <f t="shared" si="13"/>
        <v>15833.154770719324</v>
      </c>
    </row>
    <row r="196" spans="2:10">
      <c r="B196" s="789">
        <f t="shared" si="14"/>
        <v>48610</v>
      </c>
      <c r="C196" s="332">
        <f t="shared" si="10"/>
        <v>-2327473.7512957379</v>
      </c>
      <c r="D196" s="332">
        <f t="shared" si="11"/>
        <v>-3.7252902984619141E-9</v>
      </c>
      <c r="E196" s="332">
        <f t="shared" si="12"/>
        <v>-2327473.7512957416</v>
      </c>
      <c r="G196" s="608">
        <v>15833.154770719324</v>
      </c>
      <c r="J196" s="332">
        <f t="shared" si="13"/>
        <v>15833.154770719324</v>
      </c>
    </row>
    <row r="197" spans="2:10">
      <c r="B197" s="789">
        <f t="shared" si="14"/>
        <v>48638</v>
      </c>
      <c r="C197" s="332">
        <f t="shared" si="10"/>
        <v>-2311640.5965250186</v>
      </c>
      <c r="D197" s="332">
        <f t="shared" si="11"/>
        <v>-3.7252902984619141E-9</v>
      </c>
      <c r="E197" s="332">
        <f t="shared" si="12"/>
        <v>-2311640.5965250223</v>
      </c>
      <c r="G197" s="608">
        <v>15833.154770719324</v>
      </c>
      <c r="J197" s="332">
        <f t="shared" si="13"/>
        <v>15833.154770719324</v>
      </c>
    </row>
    <row r="198" spans="2:10">
      <c r="B198" s="789">
        <f t="shared" si="14"/>
        <v>48669</v>
      </c>
      <c r="C198" s="332">
        <f t="shared" si="10"/>
        <v>-2295807.4417542992</v>
      </c>
      <c r="D198" s="332">
        <f t="shared" si="11"/>
        <v>-3.7252902984619141E-9</v>
      </c>
      <c r="E198" s="332">
        <f t="shared" si="12"/>
        <v>-2295807.4417543029</v>
      </c>
      <c r="G198" s="608">
        <v>15833.154770719324</v>
      </c>
      <c r="J198" s="332">
        <f t="shared" si="13"/>
        <v>15833.154770719324</v>
      </c>
    </row>
    <row r="199" spans="2:10">
      <c r="B199" s="789">
        <f t="shared" si="14"/>
        <v>48699</v>
      </c>
      <c r="C199" s="332">
        <f t="shared" si="10"/>
        <v>-2279974.2869835799</v>
      </c>
      <c r="D199" s="332">
        <f t="shared" si="11"/>
        <v>-3.7252902984619141E-9</v>
      </c>
      <c r="E199" s="332">
        <f t="shared" si="12"/>
        <v>-2279974.2869835836</v>
      </c>
      <c r="G199" s="608">
        <v>15833.154770719324</v>
      </c>
      <c r="J199" s="332">
        <f t="shared" si="13"/>
        <v>15833.154770719324</v>
      </c>
    </row>
    <row r="200" spans="2:10">
      <c r="B200" s="789">
        <f t="shared" si="14"/>
        <v>48730</v>
      </c>
      <c r="C200" s="332">
        <f t="shared" si="10"/>
        <v>-2264141.1322128605</v>
      </c>
      <c r="D200" s="332">
        <f t="shared" si="11"/>
        <v>-3.7252902984619141E-9</v>
      </c>
      <c r="E200" s="332">
        <f t="shared" si="12"/>
        <v>-2264141.1322128642</v>
      </c>
      <c r="G200" s="608">
        <v>15833.154770719324</v>
      </c>
      <c r="J200" s="332">
        <f t="shared" si="13"/>
        <v>15833.154770719324</v>
      </c>
    </row>
    <row r="201" spans="2:10">
      <c r="B201" s="789">
        <f t="shared" si="14"/>
        <v>48760</v>
      </c>
      <c r="C201" s="332">
        <f t="shared" si="10"/>
        <v>-2248307.9774421412</v>
      </c>
      <c r="D201" s="332">
        <f t="shared" si="11"/>
        <v>-3.7252902984619141E-9</v>
      </c>
      <c r="E201" s="332">
        <f t="shared" si="12"/>
        <v>-2248307.9774421449</v>
      </c>
      <c r="G201" s="608">
        <v>15833.154770719324</v>
      </c>
      <c r="J201" s="332">
        <f t="shared" si="13"/>
        <v>15833.154770719324</v>
      </c>
    </row>
    <row r="202" spans="2:10">
      <c r="B202" s="789">
        <f t="shared" si="14"/>
        <v>48791</v>
      </c>
      <c r="C202" s="332">
        <f t="shared" si="10"/>
        <v>-2232474.8226714218</v>
      </c>
      <c r="D202" s="332">
        <f t="shared" si="11"/>
        <v>-3.7252902984619141E-9</v>
      </c>
      <c r="E202" s="332">
        <f t="shared" si="12"/>
        <v>-2232474.8226714255</v>
      </c>
      <c r="G202" s="608">
        <v>15833.154770719324</v>
      </c>
      <c r="J202" s="332">
        <f t="shared" si="13"/>
        <v>15833.154770719324</v>
      </c>
    </row>
    <row r="203" spans="2:10">
      <c r="B203" s="789">
        <f t="shared" si="14"/>
        <v>48822</v>
      </c>
      <c r="C203" s="332">
        <f t="shared" si="10"/>
        <v>-2216641.6679007025</v>
      </c>
      <c r="D203" s="332">
        <f t="shared" si="11"/>
        <v>-3.7252902984619141E-9</v>
      </c>
      <c r="E203" s="332">
        <f t="shared" si="12"/>
        <v>-2216641.6679007062</v>
      </c>
      <c r="G203" s="608">
        <v>15833.154770719324</v>
      </c>
      <c r="J203" s="332">
        <f t="shared" si="13"/>
        <v>15833.154770719324</v>
      </c>
    </row>
    <row r="204" spans="2:10">
      <c r="B204" s="789">
        <f t="shared" si="14"/>
        <v>48852</v>
      </c>
      <c r="C204" s="332">
        <f t="shared" si="10"/>
        <v>-2200808.5131299831</v>
      </c>
      <c r="D204" s="332">
        <f t="shared" si="11"/>
        <v>-3.7252902984619141E-9</v>
      </c>
      <c r="E204" s="332">
        <f t="shared" si="12"/>
        <v>-2200808.5131299868</v>
      </c>
      <c r="G204" s="608">
        <v>15833.154770719324</v>
      </c>
      <c r="J204" s="332">
        <f t="shared" si="13"/>
        <v>15833.154770719324</v>
      </c>
    </row>
    <row r="205" spans="2:10">
      <c r="B205" s="789">
        <f t="shared" si="14"/>
        <v>48883</v>
      </c>
      <c r="C205" s="332">
        <f t="shared" si="10"/>
        <v>-2184975.3583592637</v>
      </c>
      <c r="D205" s="332">
        <f t="shared" si="11"/>
        <v>-3.7252902984619141E-9</v>
      </c>
      <c r="E205" s="332">
        <f t="shared" si="12"/>
        <v>-2184975.3583592675</v>
      </c>
      <c r="G205" s="608">
        <v>15833.154770719324</v>
      </c>
      <c r="J205" s="332">
        <f t="shared" si="13"/>
        <v>15833.154770719324</v>
      </c>
    </row>
    <row r="206" spans="2:10">
      <c r="B206" s="789">
        <f t="shared" si="14"/>
        <v>48913</v>
      </c>
      <c r="C206" s="332">
        <f t="shared" si="10"/>
        <v>-2169142.2035885444</v>
      </c>
      <c r="D206" s="332">
        <f t="shared" si="11"/>
        <v>-3.7252902984619141E-9</v>
      </c>
      <c r="E206" s="332">
        <f t="shared" si="12"/>
        <v>-2169142.2035885481</v>
      </c>
      <c r="G206" s="608">
        <v>15833.154770719324</v>
      </c>
      <c r="J206" s="332">
        <f t="shared" si="13"/>
        <v>15833.154770719324</v>
      </c>
    </row>
    <row r="207" spans="2:10">
      <c r="B207" s="789">
        <f t="shared" si="14"/>
        <v>48944</v>
      </c>
      <c r="C207" s="332">
        <f t="shared" si="10"/>
        <v>-2153309.048817825</v>
      </c>
      <c r="D207" s="332">
        <f t="shared" si="11"/>
        <v>-3.7252902984619141E-9</v>
      </c>
      <c r="E207" s="332">
        <f t="shared" si="12"/>
        <v>-2153309.0488178288</v>
      </c>
      <c r="G207" s="608">
        <v>15833.154770719324</v>
      </c>
      <c r="J207" s="332">
        <f t="shared" si="13"/>
        <v>15833.154770719324</v>
      </c>
    </row>
    <row r="208" spans="2:10">
      <c r="B208" s="789">
        <f t="shared" si="14"/>
        <v>48975</v>
      </c>
      <c r="C208" s="332">
        <f t="shared" si="10"/>
        <v>-2137475.8940471057</v>
      </c>
      <c r="D208" s="332">
        <f t="shared" si="11"/>
        <v>-3.7252902984619141E-9</v>
      </c>
      <c r="E208" s="332">
        <f t="shared" si="12"/>
        <v>-2137475.8940471094</v>
      </c>
      <c r="G208" s="608">
        <v>15833.154770719324</v>
      </c>
      <c r="J208" s="332">
        <f t="shared" si="13"/>
        <v>15833.154770719324</v>
      </c>
    </row>
    <row r="209" spans="2:10">
      <c r="B209" s="789">
        <f t="shared" si="14"/>
        <v>49003</v>
      </c>
      <c r="C209" s="332">
        <f t="shared" si="10"/>
        <v>-2121642.7392763863</v>
      </c>
      <c r="D209" s="332">
        <f t="shared" si="11"/>
        <v>-3.7252902984619141E-9</v>
      </c>
      <c r="E209" s="332">
        <f t="shared" si="12"/>
        <v>-2121642.7392763901</v>
      </c>
      <c r="G209" s="608">
        <v>15833.154770719324</v>
      </c>
      <c r="J209" s="332">
        <f t="shared" si="13"/>
        <v>15833.154770719324</v>
      </c>
    </row>
    <row r="210" spans="2:10">
      <c r="B210" s="789">
        <f t="shared" si="14"/>
        <v>49034</v>
      </c>
      <c r="C210" s="332">
        <f t="shared" si="10"/>
        <v>-2105809.584505667</v>
      </c>
      <c r="D210" s="332">
        <f t="shared" si="11"/>
        <v>-3.7252902984619141E-9</v>
      </c>
      <c r="E210" s="332">
        <f t="shared" si="12"/>
        <v>-2105809.5845056707</v>
      </c>
      <c r="G210" s="608">
        <v>15833.154770719324</v>
      </c>
      <c r="J210" s="332">
        <f t="shared" si="13"/>
        <v>15833.154770719324</v>
      </c>
    </row>
    <row r="211" spans="2:10">
      <c r="B211" s="789">
        <f t="shared" si="14"/>
        <v>49064</v>
      </c>
      <c r="C211" s="332">
        <f t="shared" si="10"/>
        <v>-2089976.4297349476</v>
      </c>
      <c r="D211" s="332">
        <f t="shared" si="11"/>
        <v>-3.7252902984619141E-9</v>
      </c>
      <c r="E211" s="332">
        <f t="shared" si="12"/>
        <v>-2089976.4297349514</v>
      </c>
      <c r="G211" s="608">
        <v>15833.154770719324</v>
      </c>
      <c r="J211" s="332">
        <f t="shared" si="13"/>
        <v>15833.154770719324</v>
      </c>
    </row>
    <row r="212" spans="2:10">
      <c r="B212" s="789">
        <f t="shared" si="14"/>
        <v>49095</v>
      </c>
      <c r="C212" s="332">
        <f t="shared" si="10"/>
        <v>-2074143.2749642283</v>
      </c>
      <c r="D212" s="332">
        <f t="shared" si="11"/>
        <v>-3.7252902984619141E-9</v>
      </c>
      <c r="E212" s="332">
        <f t="shared" si="12"/>
        <v>-2074143.274964232</v>
      </c>
      <c r="G212" s="608">
        <v>15833.154770719324</v>
      </c>
      <c r="J212" s="332">
        <f t="shared" si="13"/>
        <v>15833.154770719324</v>
      </c>
    </row>
    <row r="213" spans="2:10">
      <c r="B213" s="789">
        <f t="shared" si="14"/>
        <v>49125</v>
      </c>
      <c r="C213" s="332">
        <f t="shared" ref="C213:C276" si="15">C212+G213</f>
        <v>-2058310.1201935089</v>
      </c>
      <c r="D213" s="332">
        <f t="shared" ref="D213:D276" si="16">D212+H213+I213</f>
        <v>-3.7252902984619141E-9</v>
      </c>
      <c r="E213" s="332">
        <f t="shared" ref="E213:E276" si="17">C213+D213</f>
        <v>-2058310.1201935126</v>
      </c>
      <c r="G213" s="608">
        <v>15833.154770719324</v>
      </c>
      <c r="J213" s="332">
        <f t="shared" ref="J213:J276" si="18">SUM(G213:I213)</f>
        <v>15833.154770719324</v>
      </c>
    </row>
    <row r="214" spans="2:10">
      <c r="B214" s="789">
        <f t="shared" ref="B214:B277" si="19">EOMONTH(B213,1)</f>
        <v>49156</v>
      </c>
      <c r="C214" s="332">
        <f t="shared" si="15"/>
        <v>-2042476.9654227896</v>
      </c>
      <c r="D214" s="332">
        <f t="shared" si="16"/>
        <v>-3.7252902984619141E-9</v>
      </c>
      <c r="E214" s="332">
        <f t="shared" si="17"/>
        <v>-2042476.9654227933</v>
      </c>
      <c r="G214" s="608">
        <v>15833.154770719324</v>
      </c>
      <c r="J214" s="332">
        <f t="shared" si="18"/>
        <v>15833.154770719324</v>
      </c>
    </row>
    <row r="215" spans="2:10">
      <c r="B215" s="789">
        <f t="shared" si="19"/>
        <v>49187</v>
      </c>
      <c r="C215" s="332">
        <f t="shared" si="15"/>
        <v>-2026643.8106520702</v>
      </c>
      <c r="D215" s="332">
        <f t="shared" si="16"/>
        <v>-3.7252902984619141E-9</v>
      </c>
      <c r="E215" s="332">
        <f t="shared" si="17"/>
        <v>-2026643.8106520739</v>
      </c>
      <c r="G215" s="608">
        <v>15833.154770719324</v>
      </c>
      <c r="J215" s="332">
        <f t="shared" si="18"/>
        <v>15833.154770719324</v>
      </c>
    </row>
    <row r="216" spans="2:10">
      <c r="B216" s="789">
        <f t="shared" si="19"/>
        <v>49217</v>
      </c>
      <c r="C216" s="332">
        <f t="shared" si="15"/>
        <v>-2010810.6558813509</v>
      </c>
      <c r="D216" s="332">
        <f t="shared" si="16"/>
        <v>-3.7252902984619141E-9</v>
      </c>
      <c r="E216" s="332">
        <f t="shared" si="17"/>
        <v>-2010810.6558813546</v>
      </c>
      <c r="G216" s="608">
        <v>15833.154770719324</v>
      </c>
      <c r="J216" s="332">
        <f t="shared" si="18"/>
        <v>15833.154770719324</v>
      </c>
    </row>
    <row r="217" spans="2:10">
      <c r="B217" s="789">
        <f t="shared" si="19"/>
        <v>49248</v>
      </c>
      <c r="C217" s="332">
        <f t="shared" si="15"/>
        <v>-1994977.5011106315</v>
      </c>
      <c r="D217" s="332">
        <f t="shared" si="16"/>
        <v>-3.7252902984619141E-9</v>
      </c>
      <c r="E217" s="332">
        <f t="shared" si="17"/>
        <v>-1994977.5011106352</v>
      </c>
      <c r="G217" s="608">
        <v>15833.154770719324</v>
      </c>
      <c r="J217" s="332">
        <f t="shared" si="18"/>
        <v>15833.154770719324</v>
      </c>
    </row>
    <row r="218" spans="2:10">
      <c r="B218" s="789">
        <f t="shared" si="19"/>
        <v>49278</v>
      </c>
      <c r="C218" s="332">
        <f t="shared" si="15"/>
        <v>-1979144.3463399122</v>
      </c>
      <c r="D218" s="332">
        <f t="shared" si="16"/>
        <v>-3.7252902984619141E-9</v>
      </c>
      <c r="E218" s="332">
        <f t="shared" si="17"/>
        <v>-1979144.3463399159</v>
      </c>
      <c r="G218" s="608">
        <v>15833.154770719324</v>
      </c>
      <c r="J218" s="332">
        <f t="shared" si="18"/>
        <v>15833.154770719324</v>
      </c>
    </row>
    <row r="219" spans="2:10">
      <c r="B219" s="789">
        <f t="shared" si="19"/>
        <v>49309</v>
      </c>
      <c r="C219" s="332">
        <f t="shared" si="15"/>
        <v>-1963311.1915691928</v>
      </c>
      <c r="D219" s="332">
        <f t="shared" si="16"/>
        <v>-3.7252902984619141E-9</v>
      </c>
      <c r="E219" s="332">
        <f t="shared" si="17"/>
        <v>-1963311.1915691965</v>
      </c>
      <c r="G219" s="608">
        <v>15833.154770719324</v>
      </c>
      <c r="J219" s="332">
        <f t="shared" si="18"/>
        <v>15833.154770719324</v>
      </c>
    </row>
    <row r="220" spans="2:10">
      <c r="B220" s="789">
        <f t="shared" si="19"/>
        <v>49340</v>
      </c>
      <c r="C220" s="332">
        <f t="shared" si="15"/>
        <v>-1947478.0367984734</v>
      </c>
      <c r="D220" s="332">
        <f t="shared" si="16"/>
        <v>-3.7252902984619141E-9</v>
      </c>
      <c r="E220" s="332">
        <f t="shared" si="17"/>
        <v>-1947478.0367984772</v>
      </c>
      <c r="G220" s="608">
        <v>15833.154770719324</v>
      </c>
      <c r="J220" s="332">
        <f t="shared" si="18"/>
        <v>15833.154770719324</v>
      </c>
    </row>
    <row r="221" spans="2:10">
      <c r="B221" s="789">
        <f t="shared" si="19"/>
        <v>49368</v>
      </c>
      <c r="C221" s="332">
        <f t="shared" si="15"/>
        <v>-1931644.8820277541</v>
      </c>
      <c r="D221" s="332">
        <f t="shared" si="16"/>
        <v>-3.7252902984619141E-9</v>
      </c>
      <c r="E221" s="332">
        <f t="shared" si="17"/>
        <v>-1931644.8820277578</v>
      </c>
      <c r="G221" s="608">
        <v>15833.154770719324</v>
      </c>
      <c r="J221" s="332">
        <f t="shared" si="18"/>
        <v>15833.154770719324</v>
      </c>
    </row>
    <row r="222" spans="2:10">
      <c r="B222" s="789">
        <f t="shared" si="19"/>
        <v>49399</v>
      </c>
      <c r="C222" s="332">
        <f t="shared" si="15"/>
        <v>-1915811.7272570347</v>
      </c>
      <c r="D222" s="332">
        <f t="shared" si="16"/>
        <v>-3.7252902984619141E-9</v>
      </c>
      <c r="E222" s="332">
        <f t="shared" si="17"/>
        <v>-1915811.7272570385</v>
      </c>
      <c r="G222" s="608">
        <v>15833.154770719324</v>
      </c>
      <c r="J222" s="332">
        <f t="shared" si="18"/>
        <v>15833.154770719324</v>
      </c>
    </row>
    <row r="223" spans="2:10">
      <c r="B223" s="789">
        <f t="shared" si="19"/>
        <v>49429</v>
      </c>
      <c r="C223" s="332">
        <f t="shared" si="15"/>
        <v>-1899978.5724863154</v>
      </c>
      <c r="D223" s="332">
        <f t="shared" si="16"/>
        <v>-3.7252902984619141E-9</v>
      </c>
      <c r="E223" s="332">
        <f t="shared" si="17"/>
        <v>-1899978.5724863191</v>
      </c>
      <c r="G223" s="608">
        <v>15833.154770719324</v>
      </c>
      <c r="J223" s="332">
        <f t="shared" si="18"/>
        <v>15833.154770719324</v>
      </c>
    </row>
    <row r="224" spans="2:10">
      <c r="B224" s="789">
        <f t="shared" si="19"/>
        <v>49460</v>
      </c>
      <c r="C224" s="332">
        <f t="shared" si="15"/>
        <v>-1884145.417715596</v>
      </c>
      <c r="D224" s="332">
        <f t="shared" si="16"/>
        <v>-3.7252902984619141E-9</v>
      </c>
      <c r="E224" s="332">
        <f t="shared" si="17"/>
        <v>-1884145.4177155998</v>
      </c>
      <c r="G224" s="608">
        <v>15833.154770719324</v>
      </c>
      <c r="J224" s="332">
        <f t="shared" si="18"/>
        <v>15833.154770719324</v>
      </c>
    </row>
    <row r="225" spans="2:10">
      <c r="B225" s="789">
        <f t="shared" si="19"/>
        <v>49490</v>
      </c>
      <c r="C225" s="332">
        <f t="shared" si="15"/>
        <v>-1868312.2629448767</v>
      </c>
      <c r="D225" s="332">
        <f t="shared" si="16"/>
        <v>-3.7252902984619141E-9</v>
      </c>
      <c r="E225" s="332">
        <f t="shared" si="17"/>
        <v>-1868312.2629448804</v>
      </c>
      <c r="G225" s="608">
        <v>15833.154770719324</v>
      </c>
      <c r="J225" s="332">
        <f t="shared" si="18"/>
        <v>15833.154770719324</v>
      </c>
    </row>
    <row r="226" spans="2:10">
      <c r="B226" s="789">
        <f t="shared" si="19"/>
        <v>49521</v>
      </c>
      <c r="C226" s="332">
        <f t="shared" si="15"/>
        <v>-1852479.1081741573</v>
      </c>
      <c r="D226" s="332">
        <f t="shared" si="16"/>
        <v>-3.7252902984619141E-9</v>
      </c>
      <c r="E226" s="332">
        <f t="shared" si="17"/>
        <v>-1852479.1081741611</v>
      </c>
      <c r="G226" s="608">
        <v>15833.154770719324</v>
      </c>
      <c r="J226" s="332">
        <f t="shared" si="18"/>
        <v>15833.154770719324</v>
      </c>
    </row>
    <row r="227" spans="2:10">
      <c r="B227" s="789">
        <f t="shared" si="19"/>
        <v>49552</v>
      </c>
      <c r="C227" s="332">
        <f t="shared" si="15"/>
        <v>-1836645.953403438</v>
      </c>
      <c r="D227" s="332">
        <f t="shared" si="16"/>
        <v>-3.7252902984619141E-9</v>
      </c>
      <c r="E227" s="332">
        <f t="shared" si="17"/>
        <v>-1836645.9534034417</v>
      </c>
      <c r="G227" s="608">
        <v>15833.154770719324</v>
      </c>
      <c r="J227" s="332">
        <f t="shared" si="18"/>
        <v>15833.154770719324</v>
      </c>
    </row>
    <row r="228" spans="2:10">
      <c r="B228" s="789">
        <f t="shared" si="19"/>
        <v>49582</v>
      </c>
      <c r="C228" s="332">
        <f t="shared" si="15"/>
        <v>-1820812.7986327186</v>
      </c>
      <c r="D228" s="332">
        <f t="shared" si="16"/>
        <v>-3.7252902984619141E-9</v>
      </c>
      <c r="E228" s="332">
        <f t="shared" si="17"/>
        <v>-1820812.7986327223</v>
      </c>
      <c r="G228" s="608">
        <v>15833.154770719324</v>
      </c>
      <c r="J228" s="332">
        <f t="shared" si="18"/>
        <v>15833.154770719324</v>
      </c>
    </row>
    <row r="229" spans="2:10">
      <c r="B229" s="789">
        <f t="shared" si="19"/>
        <v>49613</v>
      </c>
      <c r="C229" s="332">
        <f t="shared" si="15"/>
        <v>-1804979.6438619993</v>
      </c>
      <c r="D229" s="332">
        <f t="shared" si="16"/>
        <v>-3.7252902984619141E-9</v>
      </c>
      <c r="E229" s="332">
        <f t="shared" si="17"/>
        <v>-1804979.643862003</v>
      </c>
      <c r="G229" s="608">
        <v>15833.154770719324</v>
      </c>
      <c r="J229" s="332">
        <f t="shared" si="18"/>
        <v>15833.154770719324</v>
      </c>
    </row>
    <row r="230" spans="2:10">
      <c r="B230" s="789">
        <f t="shared" si="19"/>
        <v>49643</v>
      </c>
      <c r="C230" s="332">
        <f t="shared" si="15"/>
        <v>-1789146.4890912799</v>
      </c>
      <c r="D230" s="332">
        <f t="shared" si="16"/>
        <v>-3.7252902984619141E-9</v>
      </c>
      <c r="E230" s="332">
        <f t="shared" si="17"/>
        <v>-1789146.4890912836</v>
      </c>
      <c r="G230" s="608">
        <v>15833.154770719324</v>
      </c>
      <c r="J230" s="332">
        <f t="shared" si="18"/>
        <v>15833.154770719324</v>
      </c>
    </row>
    <row r="231" spans="2:10">
      <c r="B231" s="789">
        <f t="shared" si="19"/>
        <v>49674</v>
      </c>
      <c r="C231" s="332">
        <f t="shared" si="15"/>
        <v>-1773313.3343205606</v>
      </c>
      <c r="D231" s="332">
        <f t="shared" si="16"/>
        <v>-3.7252902984619141E-9</v>
      </c>
      <c r="E231" s="332">
        <f t="shared" si="17"/>
        <v>-1773313.3343205643</v>
      </c>
      <c r="G231" s="608">
        <v>15833.154770719324</v>
      </c>
      <c r="J231" s="332">
        <f t="shared" si="18"/>
        <v>15833.154770719324</v>
      </c>
    </row>
    <row r="232" spans="2:10">
      <c r="B232" s="789">
        <f t="shared" si="19"/>
        <v>49705</v>
      </c>
      <c r="C232" s="332">
        <f t="shared" si="15"/>
        <v>-1757480.1795498412</v>
      </c>
      <c r="D232" s="332">
        <f t="shared" si="16"/>
        <v>-3.7252902984619141E-9</v>
      </c>
      <c r="E232" s="332">
        <f t="shared" si="17"/>
        <v>-1757480.1795498449</v>
      </c>
      <c r="G232" s="608">
        <v>15833.154770719324</v>
      </c>
      <c r="J232" s="332">
        <f t="shared" si="18"/>
        <v>15833.154770719324</v>
      </c>
    </row>
    <row r="233" spans="2:10">
      <c r="B233" s="789">
        <f t="shared" si="19"/>
        <v>49734</v>
      </c>
      <c r="C233" s="332">
        <f t="shared" si="15"/>
        <v>-1741647.0247791219</v>
      </c>
      <c r="D233" s="332">
        <f t="shared" si="16"/>
        <v>-3.7252902984619141E-9</v>
      </c>
      <c r="E233" s="332">
        <f t="shared" si="17"/>
        <v>-1741647.0247791256</v>
      </c>
      <c r="G233" s="608">
        <v>15833.154770719324</v>
      </c>
      <c r="J233" s="332">
        <f t="shared" si="18"/>
        <v>15833.154770719324</v>
      </c>
    </row>
    <row r="234" spans="2:10">
      <c r="B234" s="789">
        <f t="shared" si="19"/>
        <v>49765</v>
      </c>
      <c r="C234" s="332">
        <f t="shared" si="15"/>
        <v>-1725813.8700084025</v>
      </c>
      <c r="D234" s="332">
        <f t="shared" si="16"/>
        <v>-3.7252902984619141E-9</v>
      </c>
      <c r="E234" s="332">
        <f t="shared" si="17"/>
        <v>-1725813.8700084062</v>
      </c>
      <c r="G234" s="608">
        <v>15833.154770719324</v>
      </c>
      <c r="J234" s="332">
        <f t="shared" si="18"/>
        <v>15833.154770719324</v>
      </c>
    </row>
    <row r="235" spans="2:10">
      <c r="B235" s="789">
        <f t="shared" si="19"/>
        <v>49795</v>
      </c>
      <c r="C235" s="332">
        <f t="shared" si="15"/>
        <v>-1709980.7152376832</v>
      </c>
      <c r="D235" s="332">
        <f t="shared" si="16"/>
        <v>-3.7252902984619141E-9</v>
      </c>
      <c r="E235" s="332">
        <f t="shared" si="17"/>
        <v>-1709980.7152376869</v>
      </c>
      <c r="G235" s="608">
        <v>15833.154770719324</v>
      </c>
      <c r="J235" s="332">
        <f t="shared" si="18"/>
        <v>15833.154770719324</v>
      </c>
    </row>
    <row r="236" spans="2:10">
      <c r="B236" s="789">
        <f t="shared" si="19"/>
        <v>49826</v>
      </c>
      <c r="C236" s="332">
        <f t="shared" si="15"/>
        <v>-1694147.5604669638</v>
      </c>
      <c r="D236" s="332">
        <f t="shared" si="16"/>
        <v>-3.7252902984619141E-9</v>
      </c>
      <c r="E236" s="332">
        <f t="shared" si="17"/>
        <v>-1694147.5604669675</v>
      </c>
      <c r="G236" s="608">
        <v>15833.154770719324</v>
      </c>
      <c r="J236" s="332">
        <f t="shared" si="18"/>
        <v>15833.154770719324</v>
      </c>
    </row>
    <row r="237" spans="2:10">
      <c r="B237" s="789">
        <f t="shared" si="19"/>
        <v>49856</v>
      </c>
      <c r="C237" s="332">
        <f t="shared" si="15"/>
        <v>-1678314.4056962444</v>
      </c>
      <c r="D237" s="332">
        <f t="shared" si="16"/>
        <v>-3.7252902984619141E-9</v>
      </c>
      <c r="E237" s="332">
        <f t="shared" si="17"/>
        <v>-1678314.4056962482</v>
      </c>
      <c r="G237" s="608">
        <v>15833.154770719324</v>
      </c>
      <c r="J237" s="332">
        <f t="shared" si="18"/>
        <v>15833.154770719324</v>
      </c>
    </row>
    <row r="238" spans="2:10">
      <c r="B238" s="789">
        <f t="shared" si="19"/>
        <v>49887</v>
      </c>
      <c r="C238" s="332">
        <f t="shared" si="15"/>
        <v>-1662481.2509255251</v>
      </c>
      <c r="D238" s="332">
        <f t="shared" si="16"/>
        <v>-3.7252902984619141E-9</v>
      </c>
      <c r="E238" s="332">
        <f t="shared" si="17"/>
        <v>-1662481.2509255288</v>
      </c>
      <c r="G238" s="608">
        <v>15833.154770719324</v>
      </c>
      <c r="J238" s="332">
        <f t="shared" si="18"/>
        <v>15833.154770719324</v>
      </c>
    </row>
    <row r="239" spans="2:10">
      <c r="B239" s="789">
        <f t="shared" si="19"/>
        <v>49918</v>
      </c>
      <c r="C239" s="332">
        <f t="shared" si="15"/>
        <v>-1646648.0961548057</v>
      </c>
      <c r="D239" s="332">
        <f t="shared" si="16"/>
        <v>-3.7252902984619141E-9</v>
      </c>
      <c r="E239" s="332">
        <f t="shared" si="17"/>
        <v>-1646648.0961548095</v>
      </c>
      <c r="G239" s="608">
        <v>15833.154770719324</v>
      </c>
      <c r="J239" s="332">
        <f t="shared" si="18"/>
        <v>15833.154770719324</v>
      </c>
    </row>
    <row r="240" spans="2:10">
      <c r="B240" s="789">
        <f t="shared" si="19"/>
        <v>49948</v>
      </c>
      <c r="C240" s="332">
        <f t="shared" si="15"/>
        <v>-1630814.9413840864</v>
      </c>
      <c r="D240" s="332">
        <f t="shared" si="16"/>
        <v>-3.7252902984619141E-9</v>
      </c>
      <c r="E240" s="332">
        <f t="shared" si="17"/>
        <v>-1630814.9413840901</v>
      </c>
      <c r="G240" s="608">
        <v>15833.154770719324</v>
      </c>
      <c r="J240" s="332">
        <f t="shared" si="18"/>
        <v>15833.154770719324</v>
      </c>
    </row>
    <row r="241" spans="2:10">
      <c r="B241" s="789">
        <f t="shared" si="19"/>
        <v>49979</v>
      </c>
      <c r="C241" s="332">
        <f t="shared" si="15"/>
        <v>-1614981.786613367</v>
      </c>
      <c r="D241" s="332">
        <f t="shared" si="16"/>
        <v>-3.7252902984619141E-9</v>
      </c>
      <c r="E241" s="332">
        <f t="shared" si="17"/>
        <v>-1614981.7866133708</v>
      </c>
      <c r="G241" s="608">
        <v>15833.154770719324</v>
      </c>
      <c r="J241" s="332">
        <f t="shared" si="18"/>
        <v>15833.154770719324</v>
      </c>
    </row>
    <row r="242" spans="2:10">
      <c r="B242" s="789">
        <f t="shared" si="19"/>
        <v>50009</v>
      </c>
      <c r="C242" s="332">
        <f t="shared" si="15"/>
        <v>-1599148.6318426477</v>
      </c>
      <c r="D242" s="332">
        <f t="shared" si="16"/>
        <v>-3.7252902984619141E-9</v>
      </c>
      <c r="E242" s="332">
        <f t="shared" si="17"/>
        <v>-1599148.6318426514</v>
      </c>
      <c r="G242" s="608">
        <v>15833.154770719324</v>
      </c>
      <c r="J242" s="332">
        <f t="shared" si="18"/>
        <v>15833.154770719324</v>
      </c>
    </row>
    <row r="243" spans="2:10">
      <c r="B243" s="789">
        <f t="shared" si="19"/>
        <v>50040</v>
      </c>
      <c r="C243" s="332">
        <f t="shared" si="15"/>
        <v>-1583315.4770719283</v>
      </c>
      <c r="D243" s="332">
        <f t="shared" si="16"/>
        <v>-3.7252902984619141E-9</v>
      </c>
      <c r="E243" s="332">
        <f t="shared" si="17"/>
        <v>-1583315.4770719321</v>
      </c>
      <c r="G243" s="608">
        <v>15833.154770719324</v>
      </c>
      <c r="J243" s="332">
        <f t="shared" si="18"/>
        <v>15833.154770719324</v>
      </c>
    </row>
    <row r="244" spans="2:10">
      <c r="B244" s="789">
        <f t="shared" si="19"/>
        <v>50071</v>
      </c>
      <c r="C244" s="332">
        <f t="shared" si="15"/>
        <v>-1567482.322301209</v>
      </c>
      <c r="D244" s="332">
        <f t="shared" si="16"/>
        <v>-3.7252902984619141E-9</v>
      </c>
      <c r="E244" s="332">
        <f t="shared" si="17"/>
        <v>-1567482.3223012127</v>
      </c>
      <c r="G244" s="608">
        <v>15833.154770719324</v>
      </c>
      <c r="J244" s="332">
        <f t="shared" si="18"/>
        <v>15833.154770719324</v>
      </c>
    </row>
    <row r="245" spans="2:10">
      <c r="B245" s="789">
        <f t="shared" si="19"/>
        <v>50099</v>
      </c>
      <c r="C245" s="332">
        <f t="shared" si="15"/>
        <v>-1551649.1675304896</v>
      </c>
      <c r="D245" s="332">
        <f t="shared" si="16"/>
        <v>-3.7252902984619141E-9</v>
      </c>
      <c r="E245" s="332">
        <f t="shared" si="17"/>
        <v>-1551649.1675304933</v>
      </c>
      <c r="G245" s="608">
        <v>15833.154770719324</v>
      </c>
      <c r="J245" s="332">
        <f t="shared" si="18"/>
        <v>15833.154770719324</v>
      </c>
    </row>
    <row r="246" spans="2:10">
      <c r="B246" s="789">
        <f t="shared" si="19"/>
        <v>50130</v>
      </c>
      <c r="C246" s="332">
        <f t="shared" si="15"/>
        <v>-1535816.0127597703</v>
      </c>
      <c r="D246" s="332">
        <f t="shared" si="16"/>
        <v>-3.7252902984619141E-9</v>
      </c>
      <c r="E246" s="332">
        <f t="shared" si="17"/>
        <v>-1535816.012759774</v>
      </c>
      <c r="G246" s="608">
        <v>15833.154770719324</v>
      </c>
      <c r="J246" s="332">
        <f t="shared" si="18"/>
        <v>15833.154770719324</v>
      </c>
    </row>
    <row r="247" spans="2:10">
      <c r="B247" s="789">
        <f t="shared" si="19"/>
        <v>50160</v>
      </c>
      <c r="C247" s="332">
        <f t="shared" si="15"/>
        <v>-1519982.8579890509</v>
      </c>
      <c r="D247" s="332">
        <f t="shared" si="16"/>
        <v>-3.7252902984619141E-9</v>
      </c>
      <c r="E247" s="332">
        <f t="shared" si="17"/>
        <v>-1519982.8579890546</v>
      </c>
      <c r="G247" s="608">
        <v>15833.154770719324</v>
      </c>
      <c r="J247" s="332">
        <f t="shared" si="18"/>
        <v>15833.154770719324</v>
      </c>
    </row>
    <row r="248" spans="2:10">
      <c r="B248" s="789">
        <f t="shared" si="19"/>
        <v>50191</v>
      </c>
      <c r="C248" s="332">
        <f t="shared" si="15"/>
        <v>-1504149.7032183316</v>
      </c>
      <c r="D248" s="332">
        <f t="shared" si="16"/>
        <v>-3.7252902984619141E-9</v>
      </c>
      <c r="E248" s="332">
        <f t="shared" si="17"/>
        <v>-1504149.7032183353</v>
      </c>
      <c r="G248" s="608">
        <v>15833.154770719324</v>
      </c>
      <c r="J248" s="332">
        <f t="shared" si="18"/>
        <v>15833.154770719324</v>
      </c>
    </row>
    <row r="249" spans="2:10">
      <c r="B249" s="789">
        <f t="shared" si="19"/>
        <v>50221</v>
      </c>
      <c r="C249" s="332">
        <f t="shared" si="15"/>
        <v>-1488316.5484476122</v>
      </c>
      <c r="D249" s="332">
        <f t="shared" si="16"/>
        <v>-3.7252902984619141E-9</v>
      </c>
      <c r="E249" s="332">
        <f t="shared" si="17"/>
        <v>-1488316.5484476159</v>
      </c>
      <c r="G249" s="608">
        <v>15833.154770719324</v>
      </c>
      <c r="J249" s="332">
        <f t="shared" si="18"/>
        <v>15833.154770719324</v>
      </c>
    </row>
    <row r="250" spans="2:10">
      <c r="B250" s="789">
        <f t="shared" si="19"/>
        <v>50252</v>
      </c>
      <c r="C250" s="332">
        <f t="shared" si="15"/>
        <v>-1472483.3936768929</v>
      </c>
      <c r="D250" s="332">
        <f t="shared" si="16"/>
        <v>-3.7252902984619141E-9</v>
      </c>
      <c r="E250" s="332">
        <f t="shared" si="17"/>
        <v>-1472483.3936768966</v>
      </c>
      <c r="G250" s="608">
        <v>15833.154770719324</v>
      </c>
      <c r="J250" s="332">
        <f t="shared" si="18"/>
        <v>15833.154770719324</v>
      </c>
    </row>
    <row r="251" spans="2:10">
      <c r="B251" s="789">
        <f t="shared" si="19"/>
        <v>50283</v>
      </c>
      <c r="C251" s="332">
        <f t="shared" si="15"/>
        <v>-1456650.2389061735</v>
      </c>
      <c r="D251" s="332">
        <f t="shared" si="16"/>
        <v>-3.7252902984619141E-9</v>
      </c>
      <c r="E251" s="332">
        <f t="shared" si="17"/>
        <v>-1456650.2389061772</v>
      </c>
      <c r="G251" s="608">
        <v>15833.154770719324</v>
      </c>
      <c r="J251" s="332">
        <f t="shared" si="18"/>
        <v>15833.154770719324</v>
      </c>
    </row>
    <row r="252" spans="2:10">
      <c r="B252" s="789">
        <f t="shared" si="19"/>
        <v>50313</v>
      </c>
      <c r="C252" s="332">
        <f t="shared" si="15"/>
        <v>-1440817.0841354541</v>
      </c>
      <c r="D252" s="332">
        <f t="shared" si="16"/>
        <v>-3.7252902984619141E-9</v>
      </c>
      <c r="E252" s="332">
        <f t="shared" si="17"/>
        <v>-1440817.0841354579</v>
      </c>
      <c r="G252" s="608">
        <v>15833.154770719324</v>
      </c>
      <c r="J252" s="332">
        <f t="shared" si="18"/>
        <v>15833.154770719324</v>
      </c>
    </row>
    <row r="253" spans="2:10">
      <c r="B253" s="789">
        <f t="shared" si="19"/>
        <v>50344</v>
      </c>
      <c r="C253" s="332">
        <f t="shared" si="15"/>
        <v>-1424983.9293647348</v>
      </c>
      <c r="D253" s="332">
        <f t="shared" si="16"/>
        <v>-3.7252902984619141E-9</v>
      </c>
      <c r="E253" s="332">
        <f t="shared" si="17"/>
        <v>-1424983.9293647385</v>
      </c>
      <c r="G253" s="608">
        <v>15833.154770719324</v>
      </c>
      <c r="J253" s="332">
        <f t="shared" si="18"/>
        <v>15833.154770719324</v>
      </c>
    </row>
    <row r="254" spans="2:10">
      <c r="B254" s="789">
        <f t="shared" si="19"/>
        <v>50374</v>
      </c>
      <c r="C254" s="332">
        <f t="shared" si="15"/>
        <v>-1409150.7745940154</v>
      </c>
      <c r="D254" s="332">
        <f t="shared" si="16"/>
        <v>-3.7252902984619141E-9</v>
      </c>
      <c r="E254" s="332">
        <f t="shared" si="17"/>
        <v>-1409150.7745940192</v>
      </c>
      <c r="G254" s="608">
        <v>15833.154770719324</v>
      </c>
      <c r="J254" s="332">
        <f t="shared" si="18"/>
        <v>15833.154770719324</v>
      </c>
    </row>
    <row r="255" spans="2:10">
      <c r="B255" s="789">
        <f t="shared" si="19"/>
        <v>50405</v>
      </c>
      <c r="C255" s="332">
        <f t="shared" si="15"/>
        <v>-1393317.6198232961</v>
      </c>
      <c r="D255" s="332">
        <f t="shared" si="16"/>
        <v>-3.7252902984619141E-9</v>
      </c>
      <c r="E255" s="332">
        <f t="shared" si="17"/>
        <v>-1393317.6198232998</v>
      </c>
      <c r="G255" s="608">
        <v>15833.154770719324</v>
      </c>
      <c r="J255" s="332">
        <f t="shared" si="18"/>
        <v>15833.154770719324</v>
      </c>
    </row>
    <row r="256" spans="2:10">
      <c r="B256" s="789">
        <f t="shared" si="19"/>
        <v>50436</v>
      </c>
      <c r="C256" s="332">
        <f t="shared" si="15"/>
        <v>-1377484.4650525767</v>
      </c>
      <c r="D256" s="332">
        <f t="shared" si="16"/>
        <v>-3.7252902984619141E-9</v>
      </c>
      <c r="E256" s="332">
        <f t="shared" si="17"/>
        <v>-1377484.4650525805</v>
      </c>
      <c r="G256" s="608">
        <v>15833.154770719324</v>
      </c>
      <c r="J256" s="332">
        <f t="shared" si="18"/>
        <v>15833.154770719324</v>
      </c>
    </row>
    <row r="257" spans="2:10">
      <c r="B257" s="789">
        <f t="shared" si="19"/>
        <v>50464</v>
      </c>
      <c r="C257" s="332">
        <f t="shared" si="15"/>
        <v>-1361651.3102818574</v>
      </c>
      <c r="D257" s="332">
        <f t="shared" si="16"/>
        <v>-3.7252902984619141E-9</v>
      </c>
      <c r="E257" s="332">
        <f t="shared" si="17"/>
        <v>-1361651.3102818611</v>
      </c>
      <c r="G257" s="608">
        <v>15833.154770719324</v>
      </c>
      <c r="J257" s="332">
        <f t="shared" si="18"/>
        <v>15833.154770719324</v>
      </c>
    </row>
    <row r="258" spans="2:10">
      <c r="B258" s="789">
        <f t="shared" si="19"/>
        <v>50495</v>
      </c>
      <c r="C258" s="332">
        <f t="shared" si="15"/>
        <v>-1345818.155511138</v>
      </c>
      <c r="D258" s="332">
        <f t="shared" si="16"/>
        <v>-3.7252902984619141E-9</v>
      </c>
      <c r="E258" s="332">
        <f t="shared" si="17"/>
        <v>-1345818.1555111418</v>
      </c>
      <c r="G258" s="608">
        <v>15833.154770719324</v>
      </c>
      <c r="J258" s="332">
        <f t="shared" si="18"/>
        <v>15833.154770719324</v>
      </c>
    </row>
    <row r="259" spans="2:10">
      <c r="B259" s="789">
        <f t="shared" si="19"/>
        <v>50525</v>
      </c>
      <c r="C259" s="332">
        <f t="shared" si="15"/>
        <v>-1329985.0007404187</v>
      </c>
      <c r="D259" s="332">
        <f t="shared" si="16"/>
        <v>-3.7252902984619141E-9</v>
      </c>
      <c r="E259" s="332">
        <f t="shared" si="17"/>
        <v>-1329985.0007404224</v>
      </c>
      <c r="G259" s="608">
        <v>15833.154770719324</v>
      </c>
      <c r="J259" s="332">
        <f t="shared" si="18"/>
        <v>15833.154770719324</v>
      </c>
    </row>
    <row r="260" spans="2:10">
      <c r="B260" s="789">
        <f t="shared" si="19"/>
        <v>50556</v>
      </c>
      <c r="C260" s="332">
        <f t="shared" si="15"/>
        <v>-1314151.8459696993</v>
      </c>
      <c r="D260" s="332">
        <f t="shared" si="16"/>
        <v>-3.7252902984619141E-9</v>
      </c>
      <c r="E260" s="332">
        <f t="shared" si="17"/>
        <v>-1314151.845969703</v>
      </c>
      <c r="G260" s="608">
        <v>15833.154770719324</v>
      </c>
      <c r="J260" s="332">
        <f t="shared" si="18"/>
        <v>15833.154770719324</v>
      </c>
    </row>
    <row r="261" spans="2:10">
      <c r="B261" s="789">
        <f t="shared" si="19"/>
        <v>50586</v>
      </c>
      <c r="C261" s="332">
        <f t="shared" si="15"/>
        <v>-1298318.69119898</v>
      </c>
      <c r="D261" s="332">
        <f t="shared" si="16"/>
        <v>-3.7252902984619141E-9</v>
      </c>
      <c r="E261" s="332">
        <f t="shared" si="17"/>
        <v>-1298318.6911989837</v>
      </c>
      <c r="G261" s="608">
        <v>15833.154770719324</v>
      </c>
      <c r="J261" s="332">
        <f t="shared" si="18"/>
        <v>15833.154770719324</v>
      </c>
    </row>
    <row r="262" spans="2:10">
      <c r="B262" s="789">
        <f t="shared" si="19"/>
        <v>50617</v>
      </c>
      <c r="C262" s="332">
        <f t="shared" si="15"/>
        <v>-1282485.5364282606</v>
      </c>
      <c r="D262" s="332">
        <f t="shared" si="16"/>
        <v>-3.7252902984619141E-9</v>
      </c>
      <c r="E262" s="332">
        <f t="shared" si="17"/>
        <v>-1282485.5364282643</v>
      </c>
      <c r="G262" s="608">
        <v>15833.154770719324</v>
      </c>
      <c r="J262" s="332">
        <f t="shared" si="18"/>
        <v>15833.154770719324</v>
      </c>
    </row>
    <row r="263" spans="2:10">
      <c r="B263" s="789">
        <f t="shared" si="19"/>
        <v>50648</v>
      </c>
      <c r="C263" s="332">
        <f t="shared" si="15"/>
        <v>-1266652.3816575413</v>
      </c>
      <c r="D263" s="332">
        <f t="shared" si="16"/>
        <v>-3.7252902984619141E-9</v>
      </c>
      <c r="E263" s="332">
        <f t="shared" si="17"/>
        <v>-1266652.381657545</v>
      </c>
      <c r="G263" s="608">
        <v>15833.154770719324</v>
      </c>
      <c r="J263" s="332">
        <f t="shared" si="18"/>
        <v>15833.154770719324</v>
      </c>
    </row>
    <row r="264" spans="2:10">
      <c r="B264" s="789">
        <f t="shared" si="19"/>
        <v>50678</v>
      </c>
      <c r="C264" s="332">
        <f t="shared" si="15"/>
        <v>-1250819.2268868219</v>
      </c>
      <c r="D264" s="332">
        <f t="shared" si="16"/>
        <v>-3.7252902984619141E-9</v>
      </c>
      <c r="E264" s="332">
        <f t="shared" si="17"/>
        <v>-1250819.2268868256</v>
      </c>
      <c r="G264" s="608">
        <v>15833.154770719324</v>
      </c>
      <c r="J264" s="332">
        <f t="shared" si="18"/>
        <v>15833.154770719324</v>
      </c>
    </row>
    <row r="265" spans="2:10">
      <c r="B265" s="789">
        <f t="shared" si="19"/>
        <v>50709</v>
      </c>
      <c r="C265" s="332">
        <f t="shared" si="15"/>
        <v>-1234986.0721161026</v>
      </c>
      <c r="D265" s="332">
        <f t="shared" si="16"/>
        <v>-3.7252902984619141E-9</v>
      </c>
      <c r="E265" s="332">
        <f t="shared" si="17"/>
        <v>-1234986.0721161063</v>
      </c>
      <c r="G265" s="608">
        <v>15833.154770719324</v>
      </c>
      <c r="J265" s="332">
        <f t="shared" si="18"/>
        <v>15833.154770719324</v>
      </c>
    </row>
    <row r="266" spans="2:10">
      <c r="B266" s="789">
        <f t="shared" si="19"/>
        <v>50739</v>
      </c>
      <c r="C266" s="332">
        <f t="shared" si="15"/>
        <v>-1219152.9173453832</v>
      </c>
      <c r="D266" s="332">
        <f t="shared" si="16"/>
        <v>-3.7252902984619141E-9</v>
      </c>
      <c r="E266" s="332">
        <f t="shared" si="17"/>
        <v>-1219152.9173453869</v>
      </c>
      <c r="G266" s="608">
        <v>15833.154770719324</v>
      </c>
      <c r="J266" s="332">
        <f t="shared" si="18"/>
        <v>15833.154770719324</v>
      </c>
    </row>
    <row r="267" spans="2:10">
      <c r="B267" s="789">
        <f t="shared" si="19"/>
        <v>50770</v>
      </c>
      <c r="C267" s="332">
        <f t="shared" si="15"/>
        <v>-1203319.7625746639</v>
      </c>
      <c r="D267" s="332">
        <f t="shared" si="16"/>
        <v>-3.7252902984619141E-9</v>
      </c>
      <c r="E267" s="332">
        <f t="shared" si="17"/>
        <v>-1203319.7625746676</v>
      </c>
      <c r="G267" s="608">
        <v>15833.154770719324</v>
      </c>
      <c r="J267" s="332">
        <f t="shared" si="18"/>
        <v>15833.154770719324</v>
      </c>
    </row>
    <row r="268" spans="2:10">
      <c r="B268" s="789">
        <f t="shared" si="19"/>
        <v>50801</v>
      </c>
      <c r="C268" s="332">
        <f t="shared" si="15"/>
        <v>-1187486.6078039445</v>
      </c>
      <c r="D268" s="332">
        <f t="shared" si="16"/>
        <v>-3.7252902984619141E-9</v>
      </c>
      <c r="E268" s="332">
        <f t="shared" si="17"/>
        <v>-1187486.6078039482</v>
      </c>
      <c r="G268" s="608">
        <v>15833.154770719324</v>
      </c>
      <c r="J268" s="332">
        <f t="shared" si="18"/>
        <v>15833.154770719324</v>
      </c>
    </row>
    <row r="269" spans="2:10">
      <c r="B269" s="789">
        <f t="shared" si="19"/>
        <v>50829</v>
      </c>
      <c r="C269" s="332">
        <f t="shared" si="15"/>
        <v>-1171653.4530332251</v>
      </c>
      <c r="D269" s="332">
        <f t="shared" si="16"/>
        <v>-3.7252902984619141E-9</v>
      </c>
      <c r="E269" s="332">
        <f t="shared" si="17"/>
        <v>-1171653.4530332289</v>
      </c>
      <c r="G269" s="608">
        <v>15833.154770719324</v>
      </c>
      <c r="J269" s="332">
        <f t="shared" si="18"/>
        <v>15833.154770719324</v>
      </c>
    </row>
    <row r="270" spans="2:10">
      <c r="B270" s="789">
        <f t="shared" si="19"/>
        <v>50860</v>
      </c>
      <c r="C270" s="332">
        <f t="shared" si="15"/>
        <v>-1155820.2982625058</v>
      </c>
      <c r="D270" s="332">
        <f t="shared" si="16"/>
        <v>-3.7252902984619141E-9</v>
      </c>
      <c r="E270" s="332">
        <f t="shared" si="17"/>
        <v>-1155820.2982625095</v>
      </c>
      <c r="G270" s="608">
        <v>15833.154770719324</v>
      </c>
      <c r="J270" s="332">
        <f t="shared" si="18"/>
        <v>15833.154770719324</v>
      </c>
    </row>
    <row r="271" spans="2:10">
      <c r="B271" s="789">
        <f t="shared" si="19"/>
        <v>50890</v>
      </c>
      <c r="C271" s="332">
        <f t="shared" si="15"/>
        <v>-1139987.1434917864</v>
      </c>
      <c r="D271" s="332">
        <f t="shared" si="16"/>
        <v>-3.7252902984619141E-9</v>
      </c>
      <c r="E271" s="332">
        <f t="shared" si="17"/>
        <v>-1139987.1434917902</v>
      </c>
      <c r="G271" s="608">
        <v>15833.154770719324</v>
      </c>
      <c r="J271" s="332">
        <f t="shared" si="18"/>
        <v>15833.154770719324</v>
      </c>
    </row>
    <row r="272" spans="2:10">
      <c r="B272" s="789">
        <f t="shared" si="19"/>
        <v>50921</v>
      </c>
      <c r="C272" s="332">
        <f t="shared" si="15"/>
        <v>-1124153.9887210671</v>
      </c>
      <c r="D272" s="332">
        <f t="shared" si="16"/>
        <v>-3.7252902984619141E-9</v>
      </c>
      <c r="E272" s="332">
        <f t="shared" si="17"/>
        <v>-1124153.9887210708</v>
      </c>
      <c r="G272" s="608">
        <v>15833.154770719324</v>
      </c>
      <c r="J272" s="332">
        <f t="shared" si="18"/>
        <v>15833.154770719324</v>
      </c>
    </row>
    <row r="273" spans="2:10">
      <c r="B273" s="789">
        <f t="shared" si="19"/>
        <v>50951</v>
      </c>
      <c r="C273" s="332">
        <f t="shared" si="15"/>
        <v>-1108320.8339503477</v>
      </c>
      <c r="D273" s="332">
        <f t="shared" si="16"/>
        <v>-3.7252902984619141E-9</v>
      </c>
      <c r="E273" s="332">
        <f t="shared" si="17"/>
        <v>-1108320.8339503515</v>
      </c>
      <c r="G273" s="608">
        <v>15833.154770719324</v>
      </c>
      <c r="J273" s="332">
        <f t="shared" si="18"/>
        <v>15833.154770719324</v>
      </c>
    </row>
    <row r="274" spans="2:10">
      <c r="B274" s="789">
        <f t="shared" si="19"/>
        <v>50982</v>
      </c>
      <c r="C274" s="332">
        <f t="shared" si="15"/>
        <v>-1092487.6791796284</v>
      </c>
      <c r="D274" s="332">
        <f t="shared" si="16"/>
        <v>-3.7252902984619141E-9</v>
      </c>
      <c r="E274" s="332">
        <f t="shared" si="17"/>
        <v>-1092487.6791796321</v>
      </c>
      <c r="G274" s="608">
        <v>15833.154770719324</v>
      </c>
      <c r="J274" s="332">
        <f t="shared" si="18"/>
        <v>15833.154770719324</v>
      </c>
    </row>
    <row r="275" spans="2:10">
      <c r="B275" s="789">
        <f t="shared" si="19"/>
        <v>51013</v>
      </c>
      <c r="C275" s="332">
        <f t="shared" si="15"/>
        <v>-1076654.524408909</v>
      </c>
      <c r="D275" s="332">
        <f t="shared" si="16"/>
        <v>-3.7252902984619141E-9</v>
      </c>
      <c r="E275" s="332">
        <f t="shared" si="17"/>
        <v>-1076654.5244089128</v>
      </c>
      <c r="G275" s="608">
        <v>15833.154770719324</v>
      </c>
      <c r="J275" s="332">
        <f t="shared" si="18"/>
        <v>15833.154770719324</v>
      </c>
    </row>
    <row r="276" spans="2:10">
      <c r="B276" s="789">
        <f t="shared" si="19"/>
        <v>51043</v>
      </c>
      <c r="C276" s="332">
        <f t="shared" si="15"/>
        <v>-1060821.3696381897</v>
      </c>
      <c r="D276" s="332">
        <f t="shared" si="16"/>
        <v>-3.7252902984619141E-9</v>
      </c>
      <c r="E276" s="332">
        <f t="shared" si="17"/>
        <v>-1060821.3696381934</v>
      </c>
      <c r="G276" s="608">
        <v>15833.154770719324</v>
      </c>
      <c r="J276" s="332">
        <f t="shared" si="18"/>
        <v>15833.154770719324</v>
      </c>
    </row>
    <row r="277" spans="2:10">
      <c r="B277" s="789">
        <f t="shared" si="19"/>
        <v>51074</v>
      </c>
      <c r="C277" s="332">
        <f t="shared" ref="C277:C282" si="20">C276+G277</f>
        <v>-1044988.2148674703</v>
      </c>
      <c r="D277" s="332">
        <f t="shared" ref="D277:D282" si="21">D276+H277+I277</f>
        <v>-3.7252902984619141E-9</v>
      </c>
      <c r="E277" s="332">
        <f t="shared" ref="E277:E282" si="22">C277+D277</f>
        <v>-1044988.214867474</v>
      </c>
      <c r="G277" s="608">
        <v>15833.154770719324</v>
      </c>
      <c r="J277" s="332">
        <f t="shared" ref="J277:J282" si="23">SUM(G277:I277)</f>
        <v>15833.154770719324</v>
      </c>
    </row>
    <row r="278" spans="2:10">
      <c r="B278" s="789">
        <f t="shared" ref="B278:B341" si="24">EOMONTH(B277,1)</f>
        <v>51104</v>
      </c>
      <c r="C278" s="332">
        <f t="shared" si="20"/>
        <v>-1029155.060096751</v>
      </c>
      <c r="D278" s="332">
        <f t="shared" si="21"/>
        <v>-3.7252902984619141E-9</v>
      </c>
      <c r="E278" s="332">
        <f t="shared" si="22"/>
        <v>-1029155.0600967547</v>
      </c>
      <c r="G278" s="608">
        <v>15833.154770719324</v>
      </c>
      <c r="J278" s="332">
        <f t="shared" si="23"/>
        <v>15833.154770719324</v>
      </c>
    </row>
    <row r="279" spans="2:10">
      <c r="B279" s="789">
        <f t="shared" si="24"/>
        <v>51135</v>
      </c>
      <c r="C279" s="332">
        <f t="shared" si="20"/>
        <v>-1013321.9053260316</v>
      </c>
      <c r="D279" s="332">
        <f t="shared" si="21"/>
        <v>-3.7252902984619141E-9</v>
      </c>
      <c r="E279" s="332">
        <f t="shared" si="22"/>
        <v>-1013321.9053260353</v>
      </c>
      <c r="G279" s="608">
        <v>15833.154770719324</v>
      </c>
      <c r="J279" s="332">
        <f t="shared" si="23"/>
        <v>15833.154770719324</v>
      </c>
    </row>
    <row r="280" spans="2:10">
      <c r="B280" s="789">
        <f t="shared" si="24"/>
        <v>51166</v>
      </c>
      <c r="C280" s="332">
        <f t="shared" si="20"/>
        <v>-997488.75055531226</v>
      </c>
      <c r="D280" s="332">
        <f t="shared" si="21"/>
        <v>-3.7252902984619141E-9</v>
      </c>
      <c r="E280" s="332">
        <f t="shared" si="22"/>
        <v>-997488.75055531599</v>
      </c>
      <c r="G280" s="608">
        <v>15833.154770719324</v>
      </c>
      <c r="J280" s="332">
        <f t="shared" si="23"/>
        <v>15833.154770719324</v>
      </c>
    </row>
    <row r="281" spans="2:10">
      <c r="B281" s="789">
        <f t="shared" si="24"/>
        <v>51195</v>
      </c>
      <c r="C281" s="332">
        <f t="shared" si="20"/>
        <v>-981655.59578459291</v>
      </c>
      <c r="D281" s="332">
        <f t="shared" si="21"/>
        <v>-3.7252902984619141E-9</v>
      </c>
      <c r="E281" s="332">
        <f t="shared" si="22"/>
        <v>-981655.59578459663</v>
      </c>
      <c r="G281" s="608">
        <v>15833.154770719324</v>
      </c>
      <c r="J281" s="332">
        <f t="shared" si="23"/>
        <v>15833.154770719324</v>
      </c>
    </row>
    <row r="282" spans="2:10">
      <c r="B282" s="789">
        <f t="shared" si="24"/>
        <v>51226</v>
      </c>
      <c r="C282" s="332">
        <f t="shared" si="20"/>
        <v>-965822.44101387355</v>
      </c>
      <c r="D282" s="332">
        <f t="shared" si="21"/>
        <v>-3.7252902984619141E-9</v>
      </c>
      <c r="E282" s="332">
        <f t="shared" si="22"/>
        <v>-965822.44101387728</v>
      </c>
      <c r="G282" s="608">
        <v>15833.154770719324</v>
      </c>
      <c r="J282" s="332">
        <f t="shared" si="23"/>
        <v>15833.154770719324</v>
      </c>
    </row>
    <row r="283" spans="2:10">
      <c r="B283" s="789">
        <f t="shared" si="24"/>
        <v>51256</v>
      </c>
      <c r="C283" s="332">
        <f t="shared" ref="C283:C326" si="25">C282+G283</f>
        <v>-949989.2862431542</v>
      </c>
      <c r="D283" s="332">
        <f t="shared" ref="D283:D326" si="26">D282+H283+I283</f>
        <v>-3.7252902984619141E-9</v>
      </c>
      <c r="E283" s="332">
        <f t="shared" ref="E283:E326" si="27">C283+D283</f>
        <v>-949989.28624315793</v>
      </c>
      <c r="G283" s="608">
        <v>15833.154770719324</v>
      </c>
      <c r="J283" s="332">
        <f t="shared" ref="J283:J326" si="28">SUM(G283:I283)</f>
        <v>15833.154770719324</v>
      </c>
    </row>
    <row r="284" spans="2:10">
      <c r="B284" s="789">
        <f t="shared" si="24"/>
        <v>51287</v>
      </c>
      <c r="C284" s="332">
        <f t="shared" si="25"/>
        <v>-934156.13147243485</v>
      </c>
      <c r="D284" s="332">
        <f t="shared" si="26"/>
        <v>-3.7252902984619141E-9</v>
      </c>
      <c r="E284" s="332">
        <f t="shared" si="27"/>
        <v>-934156.13147243857</v>
      </c>
      <c r="G284" s="608">
        <v>15833.154770719324</v>
      </c>
      <c r="J284" s="332">
        <f t="shared" si="28"/>
        <v>15833.154770719324</v>
      </c>
    </row>
    <row r="285" spans="2:10">
      <c r="B285" s="789">
        <f t="shared" si="24"/>
        <v>51317</v>
      </c>
      <c r="C285" s="332">
        <f t="shared" si="25"/>
        <v>-918322.9767017155</v>
      </c>
      <c r="D285" s="332">
        <f t="shared" si="26"/>
        <v>-3.7252902984619141E-9</v>
      </c>
      <c r="E285" s="332">
        <f t="shared" si="27"/>
        <v>-918322.97670171922</v>
      </c>
      <c r="G285" s="608">
        <v>15833.154770719324</v>
      </c>
      <c r="J285" s="332">
        <f t="shared" si="28"/>
        <v>15833.154770719324</v>
      </c>
    </row>
    <row r="286" spans="2:10">
      <c r="B286" s="789">
        <f t="shared" si="24"/>
        <v>51348</v>
      </c>
      <c r="C286" s="332">
        <f t="shared" si="25"/>
        <v>-902489.82193099614</v>
      </c>
      <c r="D286" s="332">
        <f t="shared" si="26"/>
        <v>-3.7252902984619141E-9</v>
      </c>
      <c r="E286" s="332">
        <f t="shared" si="27"/>
        <v>-902489.82193099987</v>
      </c>
      <c r="G286" s="608">
        <v>15833.154770719324</v>
      </c>
      <c r="J286" s="332">
        <f t="shared" si="28"/>
        <v>15833.154770719324</v>
      </c>
    </row>
    <row r="287" spans="2:10">
      <c r="B287" s="789">
        <f t="shared" si="24"/>
        <v>51379</v>
      </c>
      <c r="C287" s="332">
        <f t="shared" si="25"/>
        <v>-886656.66716027679</v>
      </c>
      <c r="D287" s="332">
        <f t="shared" si="26"/>
        <v>-3.7252902984619141E-9</v>
      </c>
      <c r="E287" s="332">
        <f t="shared" si="27"/>
        <v>-886656.66716028051</v>
      </c>
      <c r="G287" s="608">
        <v>15833.154770719324</v>
      </c>
      <c r="J287" s="332">
        <f t="shared" si="28"/>
        <v>15833.154770719324</v>
      </c>
    </row>
    <row r="288" spans="2:10">
      <c r="B288" s="789">
        <f t="shared" si="24"/>
        <v>51409</v>
      </c>
      <c r="C288" s="332">
        <f t="shared" si="25"/>
        <v>-870823.51238955744</v>
      </c>
      <c r="D288" s="332">
        <f t="shared" si="26"/>
        <v>-3.7252902984619141E-9</v>
      </c>
      <c r="E288" s="332">
        <f t="shared" si="27"/>
        <v>-870823.51238956116</v>
      </c>
      <c r="G288" s="608">
        <v>15833.154770719324</v>
      </c>
      <c r="J288" s="332">
        <f t="shared" si="28"/>
        <v>15833.154770719324</v>
      </c>
    </row>
    <row r="289" spans="2:10">
      <c r="B289" s="789">
        <f t="shared" si="24"/>
        <v>51440</v>
      </c>
      <c r="C289" s="332">
        <f t="shared" si="25"/>
        <v>-854990.35761883808</v>
      </c>
      <c r="D289" s="332">
        <f t="shared" si="26"/>
        <v>-3.7252902984619141E-9</v>
      </c>
      <c r="E289" s="332">
        <f t="shared" si="27"/>
        <v>-854990.35761884181</v>
      </c>
      <c r="G289" s="608">
        <v>15833.154770719324</v>
      </c>
      <c r="J289" s="332">
        <f t="shared" si="28"/>
        <v>15833.154770719324</v>
      </c>
    </row>
    <row r="290" spans="2:10">
      <c r="B290" s="789">
        <f t="shared" si="24"/>
        <v>51470</v>
      </c>
      <c r="C290" s="332">
        <f t="shared" si="25"/>
        <v>-839157.20284811873</v>
      </c>
      <c r="D290" s="332">
        <f t="shared" si="26"/>
        <v>-3.7252902984619141E-9</v>
      </c>
      <c r="E290" s="332">
        <f t="shared" si="27"/>
        <v>-839157.20284812246</v>
      </c>
      <c r="G290" s="608">
        <v>15833.154770719324</v>
      </c>
      <c r="J290" s="332">
        <f t="shared" si="28"/>
        <v>15833.154770719324</v>
      </c>
    </row>
    <row r="291" spans="2:10">
      <c r="B291" s="789">
        <f t="shared" si="24"/>
        <v>51501</v>
      </c>
      <c r="C291" s="332">
        <f t="shared" si="25"/>
        <v>-823324.04807739938</v>
      </c>
      <c r="D291" s="332">
        <f t="shared" si="26"/>
        <v>-3.7252902984619141E-9</v>
      </c>
      <c r="E291" s="332">
        <f t="shared" si="27"/>
        <v>-823324.0480774031</v>
      </c>
      <c r="G291" s="608">
        <v>15833.154770719324</v>
      </c>
      <c r="J291" s="332">
        <f t="shared" si="28"/>
        <v>15833.154770719324</v>
      </c>
    </row>
    <row r="292" spans="2:10">
      <c r="B292" s="789">
        <f t="shared" si="24"/>
        <v>51532</v>
      </c>
      <c r="C292" s="332">
        <f t="shared" si="25"/>
        <v>-807490.89330668002</v>
      </c>
      <c r="D292" s="332">
        <f t="shared" si="26"/>
        <v>-3.7252902984619141E-9</v>
      </c>
      <c r="E292" s="332">
        <f t="shared" si="27"/>
        <v>-807490.89330668375</v>
      </c>
      <c r="G292" s="608">
        <v>15833.154770719324</v>
      </c>
      <c r="J292" s="332">
        <f t="shared" si="28"/>
        <v>15833.154770719324</v>
      </c>
    </row>
    <row r="293" spans="2:10">
      <c r="B293" s="789">
        <f t="shared" si="24"/>
        <v>51560</v>
      </c>
      <c r="C293" s="332">
        <f t="shared" si="25"/>
        <v>-791657.73853596067</v>
      </c>
      <c r="D293" s="332">
        <f t="shared" si="26"/>
        <v>-3.7252902984619141E-9</v>
      </c>
      <c r="E293" s="332">
        <f t="shared" si="27"/>
        <v>-791657.7385359644</v>
      </c>
      <c r="G293" s="608">
        <v>15833.154770719324</v>
      </c>
      <c r="J293" s="332">
        <f t="shared" si="28"/>
        <v>15833.154770719324</v>
      </c>
    </row>
    <row r="294" spans="2:10">
      <c r="B294" s="789">
        <f t="shared" si="24"/>
        <v>51591</v>
      </c>
      <c r="C294" s="332">
        <f t="shared" si="25"/>
        <v>-775824.58376524132</v>
      </c>
      <c r="D294" s="332">
        <f t="shared" si="26"/>
        <v>-3.7252902984619141E-9</v>
      </c>
      <c r="E294" s="332">
        <f t="shared" si="27"/>
        <v>-775824.58376524504</v>
      </c>
      <c r="G294" s="608">
        <v>15833.154770719324</v>
      </c>
      <c r="J294" s="332">
        <f t="shared" si="28"/>
        <v>15833.154770719324</v>
      </c>
    </row>
    <row r="295" spans="2:10">
      <c r="B295" s="789">
        <f t="shared" si="24"/>
        <v>51621</v>
      </c>
      <c r="C295" s="332">
        <f t="shared" si="25"/>
        <v>-759991.42899452196</v>
      </c>
      <c r="D295" s="332">
        <f t="shared" si="26"/>
        <v>-3.7252902984619141E-9</v>
      </c>
      <c r="E295" s="332">
        <f t="shared" si="27"/>
        <v>-759991.42899452569</v>
      </c>
      <c r="G295" s="608">
        <v>15833.154770719324</v>
      </c>
      <c r="J295" s="332">
        <f t="shared" si="28"/>
        <v>15833.154770719324</v>
      </c>
    </row>
    <row r="296" spans="2:10">
      <c r="B296" s="789">
        <f t="shared" si="24"/>
        <v>51652</v>
      </c>
      <c r="C296" s="332">
        <f t="shared" si="25"/>
        <v>-744158.27422380261</v>
      </c>
      <c r="D296" s="332">
        <f t="shared" si="26"/>
        <v>-3.7252902984619141E-9</v>
      </c>
      <c r="E296" s="332">
        <f t="shared" si="27"/>
        <v>-744158.27422380634</v>
      </c>
      <c r="G296" s="608">
        <v>15833.154770719324</v>
      </c>
      <c r="J296" s="332">
        <f t="shared" si="28"/>
        <v>15833.154770719324</v>
      </c>
    </row>
    <row r="297" spans="2:10">
      <c r="B297" s="789">
        <f t="shared" si="24"/>
        <v>51682</v>
      </c>
      <c r="C297" s="332">
        <f t="shared" si="25"/>
        <v>-728325.11945308326</v>
      </c>
      <c r="D297" s="332">
        <f t="shared" si="26"/>
        <v>-3.7252902984619141E-9</v>
      </c>
      <c r="E297" s="332">
        <f t="shared" si="27"/>
        <v>-728325.11945308698</v>
      </c>
      <c r="G297" s="608">
        <v>15833.154770719324</v>
      </c>
      <c r="J297" s="332">
        <f t="shared" si="28"/>
        <v>15833.154770719324</v>
      </c>
    </row>
    <row r="298" spans="2:10">
      <c r="B298" s="789">
        <f t="shared" si="24"/>
        <v>51713</v>
      </c>
      <c r="C298" s="332">
        <f t="shared" si="25"/>
        <v>-712491.96468236391</v>
      </c>
      <c r="D298" s="332">
        <f t="shared" si="26"/>
        <v>-3.7252902984619141E-9</v>
      </c>
      <c r="E298" s="332">
        <f t="shared" si="27"/>
        <v>-712491.96468236763</v>
      </c>
      <c r="G298" s="608">
        <v>15833.154770719324</v>
      </c>
      <c r="J298" s="332">
        <f t="shared" si="28"/>
        <v>15833.154770719324</v>
      </c>
    </row>
    <row r="299" spans="2:10">
      <c r="B299" s="789">
        <f t="shared" si="24"/>
        <v>51744</v>
      </c>
      <c r="C299" s="332">
        <f t="shared" si="25"/>
        <v>-696658.80991164455</v>
      </c>
      <c r="D299" s="332">
        <f t="shared" si="26"/>
        <v>-3.7252902984619141E-9</v>
      </c>
      <c r="E299" s="332">
        <f t="shared" si="27"/>
        <v>-696658.80991164828</v>
      </c>
      <c r="G299" s="608">
        <v>15833.154770719324</v>
      </c>
      <c r="J299" s="332">
        <f t="shared" si="28"/>
        <v>15833.154770719324</v>
      </c>
    </row>
    <row r="300" spans="2:10">
      <c r="B300" s="789">
        <f t="shared" si="24"/>
        <v>51774</v>
      </c>
      <c r="C300" s="332">
        <f t="shared" si="25"/>
        <v>-680825.6551409252</v>
      </c>
      <c r="D300" s="332">
        <f t="shared" si="26"/>
        <v>-3.7252902984619141E-9</v>
      </c>
      <c r="E300" s="332">
        <f t="shared" si="27"/>
        <v>-680825.65514092892</v>
      </c>
      <c r="G300" s="608">
        <v>15833.154770719324</v>
      </c>
      <c r="J300" s="332">
        <f t="shared" si="28"/>
        <v>15833.154770719324</v>
      </c>
    </row>
    <row r="301" spans="2:10">
      <c r="B301" s="789">
        <f t="shared" si="24"/>
        <v>51805</v>
      </c>
      <c r="C301" s="332">
        <f t="shared" si="25"/>
        <v>-664992.50037020585</v>
      </c>
      <c r="D301" s="332">
        <f t="shared" si="26"/>
        <v>-3.7252902984619141E-9</v>
      </c>
      <c r="E301" s="332">
        <f t="shared" si="27"/>
        <v>-664992.50037020957</v>
      </c>
      <c r="G301" s="608">
        <v>15833.154770719324</v>
      </c>
      <c r="J301" s="332">
        <f t="shared" si="28"/>
        <v>15833.154770719324</v>
      </c>
    </row>
    <row r="302" spans="2:10">
      <c r="B302" s="789">
        <f t="shared" si="24"/>
        <v>51835</v>
      </c>
      <c r="C302" s="332">
        <f t="shared" si="25"/>
        <v>-649159.34559948649</v>
      </c>
      <c r="D302" s="332">
        <f t="shared" si="26"/>
        <v>-3.7252902984619141E-9</v>
      </c>
      <c r="E302" s="332">
        <f t="shared" si="27"/>
        <v>-649159.34559949022</v>
      </c>
      <c r="G302" s="608">
        <v>15833.154770719324</v>
      </c>
      <c r="J302" s="332">
        <f t="shared" si="28"/>
        <v>15833.154770719324</v>
      </c>
    </row>
    <row r="303" spans="2:10">
      <c r="B303" s="789">
        <f t="shared" si="24"/>
        <v>51866</v>
      </c>
      <c r="C303" s="332">
        <f t="shared" si="25"/>
        <v>-633326.19082876714</v>
      </c>
      <c r="D303" s="332">
        <f t="shared" si="26"/>
        <v>-3.7252902984619141E-9</v>
      </c>
      <c r="E303" s="332">
        <f t="shared" si="27"/>
        <v>-633326.19082877086</v>
      </c>
      <c r="G303" s="608">
        <v>15833.154770719324</v>
      </c>
      <c r="J303" s="332">
        <f t="shared" si="28"/>
        <v>15833.154770719324</v>
      </c>
    </row>
    <row r="304" spans="2:10">
      <c r="B304" s="789">
        <f t="shared" si="24"/>
        <v>51897</v>
      </c>
      <c r="C304" s="332">
        <f t="shared" si="25"/>
        <v>-617493.03605804779</v>
      </c>
      <c r="D304" s="332">
        <f t="shared" si="26"/>
        <v>-3.7252902984619141E-9</v>
      </c>
      <c r="E304" s="332">
        <f t="shared" si="27"/>
        <v>-617493.03605805151</v>
      </c>
      <c r="G304" s="608">
        <v>15833.154770719324</v>
      </c>
      <c r="J304" s="332">
        <f t="shared" si="28"/>
        <v>15833.154770719324</v>
      </c>
    </row>
    <row r="305" spans="2:10">
      <c r="B305" s="789">
        <f t="shared" si="24"/>
        <v>51925</v>
      </c>
      <c r="C305" s="332">
        <f t="shared" si="25"/>
        <v>-601659.88128732843</v>
      </c>
      <c r="D305" s="332">
        <f t="shared" si="26"/>
        <v>-3.7252902984619141E-9</v>
      </c>
      <c r="E305" s="332">
        <f t="shared" si="27"/>
        <v>-601659.88128733216</v>
      </c>
      <c r="G305" s="608">
        <v>15833.154770719324</v>
      </c>
      <c r="J305" s="332">
        <f t="shared" si="28"/>
        <v>15833.154770719324</v>
      </c>
    </row>
    <row r="306" spans="2:10">
      <c r="B306" s="789">
        <f t="shared" si="24"/>
        <v>51956</v>
      </c>
      <c r="C306" s="332">
        <f t="shared" si="25"/>
        <v>-585826.72651660908</v>
      </c>
      <c r="D306" s="332">
        <f t="shared" si="26"/>
        <v>-3.7252902984619141E-9</v>
      </c>
      <c r="E306" s="332">
        <f t="shared" si="27"/>
        <v>-585826.72651661281</v>
      </c>
      <c r="G306" s="608">
        <v>15833.154770719324</v>
      </c>
      <c r="J306" s="332">
        <f t="shared" si="28"/>
        <v>15833.154770719324</v>
      </c>
    </row>
    <row r="307" spans="2:10">
      <c r="B307" s="789">
        <f t="shared" si="24"/>
        <v>51986</v>
      </c>
      <c r="C307" s="332">
        <f t="shared" si="25"/>
        <v>-569993.57174588973</v>
      </c>
      <c r="D307" s="332">
        <f t="shared" si="26"/>
        <v>-3.7252902984619141E-9</v>
      </c>
      <c r="E307" s="332">
        <f t="shared" si="27"/>
        <v>-569993.57174589345</v>
      </c>
      <c r="G307" s="608">
        <v>15833.154770719324</v>
      </c>
      <c r="J307" s="332">
        <f t="shared" si="28"/>
        <v>15833.154770719324</v>
      </c>
    </row>
    <row r="308" spans="2:10">
      <c r="B308" s="789">
        <f t="shared" si="24"/>
        <v>52017</v>
      </c>
      <c r="C308" s="332">
        <f t="shared" si="25"/>
        <v>-554160.41697517037</v>
      </c>
      <c r="D308" s="332">
        <f t="shared" si="26"/>
        <v>-3.7252902984619141E-9</v>
      </c>
      <c r="E308" s="332">
        <f t="shared" si="27"/>
        <v>-554160.4169751741</v>
      </c>
      <c r="G308" s="608">
        <v>15833.154770719324</v>
      </c>
      <c r="J308" s="332">
        <f t="shared" si="28"/>
        <v>15833.154770719324</v>
      </c>
    </row>
    <row r="309" spans="2:10">
      <c r="B309" s="789">
        <f t="shared" si="24"/>
        <v>52047</v>
      </c>
      <c r="C309" s="332">
        <f t="shared" si="25"/>
        <v>-538327.26220445102</v>
      </c>
      <c r="D309" s="332">
        <f t="shared" si="26"/>
        <v>-3.7252902984619141E-9</v>
      </c>
      <c r="E309" s="332">
        <f t="shared" si="27"/>
        <v>-538327.26220445475</v>
      </c>
      <c r="G309" s="608">
        <v>15833.154770719324</v>
      </c>
      <c r="J309" s="332">
        <f t="shared" si="28"/>
        <v>15833.154770719324</v>
      </c>
    </row>
    <row r="310" spans="2:10">
      <c r="B310" s="789">
        <f t="shared" si="24"/>
        <v>52078</v>
      </c>
      <c r="C310" s="332">
        <f t="shared" si="25"/>
        <v>-522494.10743373167</v>
      </c>
      <c r="D310" s="332">
        <f t="shared" si="26"/>
        <v>-3.7252902984619141E-9</v>
      </c>
      <c r="E310" s="332">
        <f t="shared" si="27"/>
        <v>-522494.10743373539</v>
      </c>
      <c r="G310" s="608">
        <v>15833.154770719324</v>
      </c>
      <c r="J310" s="332">
        <f t="shared" si="28"/>
        <v>15833.154770719324</v>
      </c>
    </row>
    <row r="311" spans="2:10">
      <c r="B311" s="789">
        <f t="shared" si="24"/>
        <v>52109</v>
      </c>
      <c r="C311" s="332">
        <f t="shared" si="25"/>
        <v>-506660.95266301231</v>
      </c>
      <c r="D311" s="332">
        <f t="shared" si="26"/>
        <v>-3.7252902984619141E-9</v>
      </c>
      <c r="E311" s="332">
        <f t="shared" si="27"/>
        <v>-506660.95266301604</v>
      </c>
      <c r="G311" s="608">
        <v>15833.154770719324</v>
      </c>
      <c r="J311" s="332">
        <f t="shared" si="28"/>
        <v>15833.154770719324</v>
      </c>
    </row>
    <row r="312" spans="2:10">
      <c r="B312" s="789">
        <f t="shared" si="24"/>
        <v>52139</v>
      </c>
      <c r="C312" s="332">
        <f t="shared" si="25"/>
        <v>-490827.79789229296</v>
      </c>
      <c r="D312" s="332">
        <f t="shared" si="26"/>
        <v>-3.7252902984619141E-9</v>
      </c>
      <c r="E312" s="332">
        <f t="shared" si="27"/>
        <v>-490827.79789229669</v>
      </c>
      <c r="G312" s="608">
        <v>15833.154770719324</v>
      </c>
      <c r="J312" s="332">
        <f t="shared" si="28"/>
        <v>15833.154770719324</v>
      </c>
    </row>
    <row r="313" spans="2:10">
      <c r="B313" s="789">
        <f t="shared" si="24"/>
        <v>52170</v>
      </c>
      <c r="C313" s="332">
        <f t="shared" si="25"/>
        <v>-474994.64312157361</v>
      </c>
      <c r="D313" s="332">
        <f t="shared" si="26"/>
        <v>-3.7252902984619141E-9</v>
      </c>
      <c r="E313" s="332">
        <f t="shared" si="27"/>
        <v>-474994.64312157733</v>
      </c>
      <c r="G313" s="608">
        <v>15833.154770719324</v>
      </c>
      <c r="J313" s="332">
        <f t="shared" si="28"/>
        <v>15833.154770719324</v>
      </c>
    </row>
    <row r="314" spans="2:10">
      <c r="B314" s="789">
        <f t="shared" si="24"/>
        <v>52200</v>
      </c>
      <c r="C314" s="332">
        <f t="shared" si="25"/>
        <v>-459161.48835085426</v>
      </c>
      <c r="D314" s="332">
        <f t="shared" si="26"/>
        <v>-3.7252902984619141E-9</v>
      </c>
      <c r="E314" s="332">
        <f t="shared" si="27"/>
        <v>-459161.48835085798</v>
      </c>
      <c r="G314" s="608">
        <v>15833.154770719324</v>
      </c>
      <c r="J314" s="332">
        <f t="shared" si="28"/>
        <v>15833.154770719324</v>
      </c>
    </row>
    <row r="315" spans="2:10">
      <c r="B315" s="789">
        <f t="shared" si="24"/>
        <v>52231</v>
      </c>
      <c r="C315" s="332">
        <f t="shared" si="25"/>
        <v>-443328.3335801349</v>
      </c>
      <c r="D315" s="332">
        <f t="shared" si="26"/>
        <v>-3.7252902984619141E-9</v>
      </c>
      <c r="E315" s="332">
        <f t="shared" si="27"/>
        <v>-443328.33358013863</v>
      </c>
      <c r="G315" s="608">
        <v>15833.154770719324</v>
      </c>
      <c r="J315" s="332">
        <f t="shared" si="28"/>
        <v>15833.154770719324</v>
      </c>
    </row>
    <row r="316" spans="2:10">
      <c r="B316" s="789">
        <f t="shared" si="24"/>
        <v>52262</v>
      </c>
      <c r="C316" s="332">
        <f t="shared" si="25"/>
        <v>-427495.17880941555</v>
      </c>
      <c r="D316" s="332">
        <f t="shared" si="26"/>
        <v>-3.7252902984619141E-9</v>
      </c>
      <c r="E316" s="332">
        <f t="shared" si="27"/>
        <v>-427495.17880941927</v>
      </c>
      <c r="G316" s="608">
        <v>15833.154770719324</v>
      </c>
      <c r="J316" s="332">
        <f t="shared" si="28"/>
        <v>15833.154770719324</v>
      </c>
    </row>
    <row r="317" spans="2:10">
      <c r="B317" s="789">
        <f t="shared" si="24"/>
        <v>52290</v>
      </c>
      <c r="C317" s="332">
        <f t="shared" si="25"/>
        <v>-411662.0240386962</v>
      </c>
      <c r="D317" s="332">
        <f t="shared" si="26"/>
        <v>-3.7252902984619141E-9</v>
      </c>
      <c r="E317" s="332">
        <f t="shared" si="27"/>
        <v>-411662.02403869992</v>
      </c>
      <c r="G317" s="608">
        <v>15833.154770719324</v>
      </c>
      <c r="J317" s="332">
        <f t="shared" si="28"/>
        <v>15833.154770719324</v>
      </c>
    </row>
    <row r="318" spans="2:10">
      <c r="B318" s="789">
        <f t="shared" si="24"/>
        <v>52321</v>
      </c>
      <c r="C318" s="332">
        <f t="shared" si="25"/>
        <v>-395828.86926797684</v>
      </c>
      <c r="D318" s="332">
        <f t="shared" si="26"/>
        <v>-3.7252902984619141E-9</v>
      </c>
      <c r="E318" s="332">
        <f t="shared" si="27"/>
        <v>-395828.86926798057</v>
      </c>
      <c r="G318" s="608">
        <v>15833.154770719324</v>
      </c>
      <c r="J318" s="332">
        <f t="shared" si="28"/>
        <v>15833.154770719324</v>
      </c>
    </row>
    <row r="319" spans="2:10">
      <c r="B319" s="789">
        <f t="shared" si="24"/>
        <v>52351</v>
      </c>
      <c r="C319" s="332">
        <f t="shared" si="25"/>
        <v>-379995.71449725749</v>
      </c>
      <c r="D319" s="332">
        <f t="shared" si="26"/>
        <v>-3.7252902984619141E-9</v>
      </c>
      <c r="E319" s="332">
        <f t="shared" si="27"/>
        <v>-379995.71449726122</v>
      </c>
      <c r="G319" s="608">
        <v>15833.154770719324</v>
      </c>
      <c r="J319" s="332">
        <f t="shared" si="28"/>
        <v>15833.154770719324</v>
      </c>
    </row>
    <row r="320" spans="2:10">
      <c r="B320" s="789">
        <f t="shared" si="24"/>
        <v>52382</v>
      </c>
      <c r="C320" s="332">
        <f t="shared" si="25"/>
        <v>-364162.55972653814</v>
      </c>
      <c r="D320" s="332">
        <f t="shared" si="26"/>
        <v>-3.7252902984619141E-9</v>
      </c>
      <c r="E320" s="332">
        <f t="shared" si="27"/>
        <v>-364162.55972654186</v>
      </c>
      <c r="G320" s="608">
        <v>15833.154770719324</v>
      </c>
      <c r="J320" s="332">
        <f t="shared" si="28"/>
        <v>15833.154770719324</v>
      </c>
    </row>
    <row r="321" spans="2:10">
      <c r="B321" s="789">
        <f t="shared" si="24"/>
        <v>52412</v>
      </c>
      <c r="C321" s="332">
        <f t="shared" si="25"/>
        <v>-348329.40495581878</v>
      </c>
      <c r="D321" s="332">
        <f t="shared" si="26"/>
        <v>-3.7252902984619141E-9</v>
      </c>
      <c r="E321" s="332">
        <f t="shared" si="27"/>
        <v>-348329.40495582251</v>
      </c>
      <c r="G321" s="608">
        <v>15833.154770719324</v>
      </c>
      <c r="J321" s="332">
        <f t="shared" si="28"/>
        <v>15833.154770719324</v>
      </c>
    </row>
    <row r="322" spans="2:10">
      <c r="B322" s="789">
        <f t="shared" si="24"/>
        <v>52443</v>
      </c>
      <c r="C322" s="332">
        <f t="shared" si="25"/>
        <v>-332496.25018509943</v>
      </c>
      <c r="D322" s="332">
        <f t="shared" si="26"/>
        <v>-3.7252902984619141E-9</v>
      </c>
      <c r="E322" s="332">
        <f t="shared" si="27"/>
        <v>-332496.25018510316</v>
      </c>
      <c r="G322" s="608">
        <v>15833.154770719324</v>
      </c>
      <c r="J322" s="332">
        <f t="shared" si="28"/>
        <v>15833.154770719324</v>
      </c>
    </row>
    <row r="323" spans="2:10">
      <c r="B323" s="789">
        <f t="shared" si="24"/>
        <v>52474</v>
      </c>
      <c r="C323" s="332">
        <f t="shared" si="25"/>
        <v>-316663.09541438008</v>
      </c>
      <c r="D323" s="332">
        <f t="shared" si="26"/>
        <v>-3.7252902984619141E-9</v>
      </c>
      <c r="E323" s="332">
        <f t="shared" si="27"/>
        <v>-316663.0954143838</v>
      </c>
      <c r="G323" s="608">
        <v>15833.154770719324</v>
      </c>
      <c r="J323" s="332">
        <f t="shared" si="28"/>
        <v>15833.154770719324</v>
      </c>
    </row>
    <row r="324" spans="2:10">
      <c r="B324" s="789">
        <f t="shared" si="24"/>
        <v>52504</v>
      </c>
      <c r="C324" s="332">
        <f t="shared" si="25"/>
        <v>-300829.94064366072</v>
      </c>
      <c r="D324" s="332">
        <f t="shared" si="26"/>
        <v>-3.7252902984619141E-9</v>
      </c>
      <c r="E324" s="332">
        <f t="shared" si="27"/>
        <v>-300829.94064366445</v>
      </c>
      <c r="G324" s="608">
        <v>15833.154770719324</v>
      </c>
      <c r="J324" s="332">
        <f t="shared" si="28"/>
        <v>15833.154770719324</v>
      </c>
    </row>
    <row r="325" spans="2:10">
      <c r="B325" s="789">
        <f t="shared" si="24"/>
        <v>52535</v>
      </c>
      <c r="C325" s="332">
        <f t="shared" si="25"/>
        <v>-284996.78587294137</v>
      </c>
      <c r="D325" s="332">
        <f t="shared" si="26"/>
        <v>-3.7252902984619141E-9</v>
      </c>
      <c r="E325" s="332">
        <f t="shared" si="27"/>
        <v>-284996.7858729451</v>
      </c>
      <c r="G325" s="608">
        <v>15833.154770719324</v>
      </c>
      <c r="J325" s="332">
        <f t="shared" si="28"/>
        <v>15833.154770719324</v>
      </c>
    </row>
    <row r="326" spans="2:10">
      <c r="B326" s="789">
        <f t="shared" si="24"/>
        <v>52565</v>
      </c>
      <c r="C326" s="332">
        <f t="shared" si="25"/>
        <v>-269163.63110222202</v>
      </c>
      <c r="D326" s="332">
        <f t="shared" si="26"/>
        <v>-3.7252902984619141E-9</v>
      </c>
      <c r="E326" s="332">
        <f t="shared" si="27"/>
        <v>-269163.63110222574</v>
      </c>
      <c r="G326" s="608">
        <v>15833.154770719324</v>
      </c>
      <c r="J326" s="332">
        <f t="shared" si="28"/>
        <v>15833.154770719324</v>
      </c>
    </row>
    <row r="327" spans="2:10">
      <c r="B327" s="789">
        <f t="shared" si="24"/>
        <v>52596</v>
      </c>
      <c r="C327" s="332">
        <f t="shared" ref="C327:C340" si="29">C326+G327</f>
        <v>-253330.47633150269</v>
      </c>
      <c r="D327" s="332">
        <f t="shared" ref="D327:D340" si="30">D326+H327+I327</f>
        <v>-3.7252902984619141E-9</v>
      </c>
      <c r="E327" s="332">
        <f t="shared" ref="E327:E340" si="31">C327+D327</f>
        <v>-253330.47633150642</v>
      </c>
      <c r="G327" s="608">
        <v>15833.154770719324</v>
      </c>
      <c r="J327" s="332">
        <f t="shared" ref="J327:J340" si="32">SUM(G327:I327)</f>
        <v>15833.154770719324</v>
      </c>
    </row>
    <row r="328" spans="2:10">
      <c r="B328" s="789">
        <f t="shared" si="24"/>
        <v>52627</v>
      </c>
      <c r="C328" s="332">
        <f t="shared" si="29"/>
        <v>-237497.32156078337</v>
      </c>
      <c r="D328" s="332">
        <f t="shared" si="30"/>
        <v>-3.7252902984619141E-9</v>
      </c>
      <c r="E328" s="332">
        <f t="shared" si="31"/>
        <v>-237497.3215607871</v>
      </c>
      <c r="G328" s="608">
        <v>15833.154770719324</v>
      </c>
      <c r="J328" s="332">
        <f t="shared" si="32"/>
        <v>15833.154770719324</v>
      </c>
    </row>
    <row r="329" spans="2:10">
      <c r="B329" s="789">
        <f t="shared" si="24"/>
        <v>52656</v>
      </c>
      <c r="C329" s="332">
        <f t="shared" si="29"/>
        <v>-221664.16679006405</v>
      </c>
      <c r="D329" s="332">
        <f t="shared" si="30"/>
        <v>-3.7252902984619141E-9</v>
      </c>
      <c r="E329" s="332">
        <f t="shared" si="31"/>
        <v>-221664.16679006777</v>
      </c>
      <c r="G329" s="608">
        <v>15833.154770719324</v>
      </c>
      <c r="J329" s="332">
        <f t="shared" si="32"/>
        <v>15833.154770719324</v>
      </c>
    </row>
    <row r="330" spans="2:10">
      <c r="B330" s="789">
        <f t="shared" si="24"/>
        <v>52687</v>
      </c>
      <c r="C330" s="332">
        <f t="shared" si="29"/>
        <v>-205831.01201934472</v>
      </c>
      <c r="D330" s="332">
        <f t="shared" si="30"/>
        <v>-3.7252902984619141E-9</v>
      </c>
      <c r="E330" s="332">
        <f t="shared" si="31"/>
        <v>-205831.01201934845</v>
      </c>
      <c r="G330" s="608">
        <v>15833.154770719324</v>
      </c>
      <c r="J330" s="332">
        <f t="shared" si="32"/>
        <v>15833.154770719324</v>
      </c>
    </row>
    <row r="331" spans="2:10">
      <c r="B331" s="789">
        <f t="shared" si="24"/>
        <v>52717</v>
      </c>
      <c r="C331" s="332">
        <f t="shared" si="29"/>
        <v>-189997.8572486254</v>
      </c>
      <c r="D331" s="332">
        <f t="shared" si="30"/>
        <v>-3.7252902984619141E-9</v>
      </c>
      <c r="E331" s="332">
        <f t="shared" si="31"/>
        <v>-189997.85724862912</v>
      </c>
      <c r="G331" s="608">
        <v>15833.154770719324</v>
      </c>
      <c r="J331" s="332">
        <f t="shared" si="32"/>
        <v>15833.154770719324</v>
      </c>
    </row>
    <row r="332" spans="2:10">
      <c r="B332" s="789">
        <f t="shared" si="24"/>
        <v>52748</v>
      </c>
      <c r="C332" s="332">
        <f t="shared" si="29"/>
        <v>-174164.70247790607</v>
      </c>
      <c r="D332" s="332">
        <f t="shared" si="30"/>
        <v>-3.7252902984619141E-9</v>
      </c>
      <c r="E332" s="332">
        <f t="shared" si="31"/>
        <v>-174164.7024779098</v>
      </c>
      <c r="G332" s="608">
        <v>15833.154770719324</v>
      </c>
      <c r="J332" s="332">
        <f t="shared" si="32"/>
        <v>15833.154770719324</v>
      </c>
    </row>
    <row r="333" spans="2:10">
      <c r="B333" s="789">
        <f t="shared" si="24"/>
        <v>52778</v>
      </c>
      <c r="C333" s="332">
        <f t="shared" si="29"/>
        <v>-158331.54770718675</v>
      </c>
      <c r="D333" s="332">
        <f t="shared" si="30"/>
        <v>-3.7252902984619141E-9</v>
      </c>
      <c r="E333" s="332">
        <f t="shared" si="31"/>
        <v>-158331.54770719048</v>
      </c>
      <c r="G333" s="608">
        <v>15833.154770719324</v>
      </c>
      <c r="J333" s="332">
        <f t="shared" si="32"/>
        <v>15833.154770719324</v>
      </c>
    </row>
    <row r="334" spans="2:10">
      <c r="B334" s="789">
        <f t="shared" si="24"/>
        <v>52809</v>
      </c>
      <c r="C334" s="332">
        <f t="shared" si="29"/>
        <v>-142498.39293646743</v>
      </c>
      <c r="D334" s="332">
        <f t="shared" si="30"/>
        <v>-3.7252902984619141E-9</v>
      </c>
      <c r="E334" s="332">
        <f t="shared" si="31"/>
        <v>-142498.39293647115</v>
      </c>
      <c r="G334" s="608">
        <v>15833.154770719324</v>
      </c>
      <c r="J334" s="332">
        <f t="shared" si="32"/>
        <v>15833.154770719324</v>
      </c>
    </row>
    <row r="335" spans="2:10">
      <c r="B335" s="789">
        <f t="shared" si="24"/>
        <v>52840</v>
      </c>
      <c r="C335" s="332">
        <f t="shared" si="29"/>
        <v>-126665.2381657481</v>
      </c>
      <c r="D335" s="332">
        <f t="shared" si="30"/>
        <v>-3.7252902984619141E-9</v>
      </c>
      <c r="E335" s="332">
        <f t="shared" si="31"/>
        <v>-126665.23816575183</v>
      </c>
      <c r="G335" s="608">
        <v>15833.154770719324</v>
      </c>
      <c r="J335" s="332">
        <f t="shared" si="32"/>
        <v>15833.154770719324</v>
      </c>
    </row>
    <row r="336" spans="2:10">
      <c r="B336" s="789">
        <f t="shared" si="24"/>
        <v>52870</v>
      </c>
      <c r="C336" s="332">
        <f t="shared" si="29"/>
        <v>-110832.08339502878</v>
      </c>
      <c r="D336" s="332">
        <f t="shared" si="30"/>
        <v>-3.7252902984619141E-9</v>
      </c>
      <c r="E336" s="332">
        <f t="shared" si="31"/>
        <v>-110832.0833950325</v>
      </c>
      <c r="G336" s="608">
        <v>15833.154770719324</v>
      </c>
      <c r="J336" s="332">
        <f t="shared" si="32"/>
        <v>15833.154770719324</v>
      </c>
    </row>
    <row r="337" spans="1:10">
      <c r="B337" s="789">
        <f t="shared" si="24"/>
        <v>52901</v>
      </c>
      <c r="C337" s="332">
        <f t="shared" si="29"/>
        <v>-94998.928624309454</v>
      </c>
      <c r="D337" s="332">
        <f t="shared" si="30"/>
        <v>-3.7252902984619141E-9</v>
      </c>
      <c r="E337" s="332">
        <f t="shared" si="31"/>
        <v>-94998.928624313179</v>
      </c>
      <c r="G337" s="608">
        <v>15833.154770719324</v>
      </c>
      <c r="J337" s="332">
        <f t="shared" si="32"/>
        <v>15833.154770719324</v>
      </c>
    </row>
    <row r="338" spans="1:10">
      <c r="B338" s="789">
        <f t="shared" si="24"/>
        <v>52931</v>
      </c>
      <c r="C338" s="332">
        <f t="shared" si="29"/>
        <v>-79165.77385359013</v>
      </c>
      <c r="D338" s="332">
        <f t="shared" si="30"/>
        <v>-3.7252902984619141E-9</v>
      </c>
      <c r="E338" s="332">
        <f t="shared" si="31"/>
        <v>-79165.773853593855</v>
      </c>
      <c r="G338" s="608">
        <v>15833.154770719324</v>
      </c>
      <c r="J338" s="332">
        <f t="shared" si="32"/>
        <v>15833.154770719324</v>
      </c>
    </row>
    <row r="339" spans="1:10">
      <c r="B339" s="789">
        <f t="shared" si="24"/>
        <v>52962</v>
      </c>
      <c r="C339" s="332">
        <f t="shared" si="29"/>
        <v>-63332.619082870806</v>
      </c>
      <c r="D339" s="332">
        <f t="shared" si="30"/>
        <v>-3.7252902984619141E-9</v>
      </c>
      <c r="E339" s="332">
        <f t="shared" si="31"/>
        <v>-63332.619082874531</v>
      </c>
      <c r="G339" s="608">
        <v>15833.154770719324</v>
      </c>
      <c r="J339" s="332">
        <f t="shared" si="32"/>
        <v>15833.154770719324</v>
      </c>
    </row>
    <row r="340" spans="1:10">
      <c r="B340" s="789">
        <f t="shared" si="24"/>
        <v>52993</v>
      </c>
      <c r="C340" s="332">
        <f t="shared" si="29"/>
        <v>-47499.464312151482</v>
      </c>
      <c r="D340" s="332">
        <f t="shared" si="30"/>
        <v>-3.7252902984619141E-9</v>
      </c>
      <c r="E340" s="332">
        <f t="shared" si="31"/>
        <v>-47499.464312155207</v>
      </c>
      <c r="G340" s="608">
        <v>15833.154770719324</v>
      </c>
      <c r="J340" s="332">
        <f t="shared" si="32"/>
        <v>15833.154770719324</v>
      </c>
    </row>
    <row r="341" spans="1:10">
      <c r="B341" s="789">
        <f t="shared" si="24"/>
        <v>53021</v>
      </c>
      <c r="C341" s="332">
        <f t="shared" ref="C341:C343" si="33">C340+G341</f>
        <v>-31666.309541432158</v>
      </c>
      <c r="D341" s="332">
        <f t="shared" ref="D341:D343" si="34">D340+H341+I341</f>
        <v>-3.7252902984619141E-9</v>
      </c>
      <c r="E341" s="332">
        <f t="shared" ref="E341:E343" si="35">C341+D341</f>
        <v>-31666.309541435883</v>
      </c>
      <c r="G341" s="608">
        <v>15833.154770719324</v>
      </c>
      <c r="J341" s="332">
        <f t="shared" ref="J341:J343" si="36">SUM(G341:I341)</f>
        <v>15833.154770719324</v>
      </c>
    </row>
    <row r="342" spans="1:10">
      <c r="B342" s="789">
        <f t="shared" ref="B342:B343" si="37">EOMONTH(B341,1)</f>
        <v>53052</v>
      </c>
      <c r="C342" s="332">
        <f t="shared" si="33"/>
        <v>-15833.154770712834</v>
      </c>
      <c r="D342" s="332">
        <f t="shared" si="34"/>
        <v>-3.7252902984619141E-9</v>
      </c>
      <c r="E342" s="332">
        <f t="shared" si="35"/>
        <v>-15833.154770716559</v>
      </c>
      <c r="G342" s="608">
        <v>15833.154770719324</v>
      </c>
      <c r="J342" s="332">
        <f t="shared" si="36"/>
        <v>15833.154770719324</v>
      </c>
    </row>
    <row r="343" spans="1:10">
      <c r="B343" s="789">
        <f t="shared" si="37"/>
        <v>53082</v>
      </c>
      <c r="C343" s="332">
        <f t="shared" si="33"/>
        <v>6.4901541918516159E-9</v>
      </c>
      <c r="D343" s="332">
        <f t="shared" si="34"/>
        <v>-3.7252902984619141E-9</v>
      </c>
      <c r="E343" s="332">
        <f t="shared" si="35"/>
        <v>2.7648638933897018E-9</v>
      </c>
      <c r="G343" s="608">
        <v>15833.154770719324</v>
      </c>
      <c r="J343" s="332">
        <f t="shared" si="36"/>
        <v>15833.154770719324</v>
      </c>
    </row>
    <row r="344" spans="1:10">
      <c r="B344" s="671"/>
    </row>
    <row r="345" spans="1:10">
      <c r="B345" s="671"/>
    </row>
    <row r="346" spans="1:10">
      <c r="A346" s="45" t="s">
        <v>657</v>
      </c>
      <c r="B346" s="671"/>
    </row>
    <row r="347" spans="1:10">
      <c r="A347" s="45" t="s">
        <v>1645</v>
      </c>
      <c r="B347" s="671"/>
    </row>
  </sheetData>
  <mergeCells count="9">
    <mergeCell ref="A1:J1"/>
    <mergeCell ref="A2:J2"/>
    <mergeCell ref="G17:J17"/>
    <mergeCell ref="A19:B19"/>
    <mergeCell ref="A3:J3"/>
    <mergeCell ref="A4:J4"/>
    <mergeCell ref="A5:J5"/>
    <mergeCell ref="C17:E17"/>
    <mergeCell ref="C11:E11"/>
  </mergeCells>
  <pageMargins left="0.7" right="0.7" top="0.75" bottom="0.75" header="0.3" footer="0.3"/>
  <pageSetup scale="56" orientation="portrait" r:id="rId1"/>
  <headerFooter>
    <oddFooter>&amp;RSchedule &amp;A
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92D050"/>
    <pageSetUpPr fitToPage="1"/>
  </sheetPr>
  <dimension ref="A1:S27"/>
  <sheetViews>
    <sheetView view="pageBreakPreview" zoomScale="80" zoomScaleNormal="100" zoomScaleSheetLayoutView="80" workbookViewId="0">
      <selection activeCell="D13" sqref="D13"/>
    </sheetView>
  </sheetViews>
  <sheetFormatPr defaultColWidth="8.44140625" defaultRowHeight="15"/>
  <cols>
    <col min="1" max="1" width="5.77734375" style="1" customWidth="1"/>
    <col min="2" max="2" width="6.88671875" style="1" customWidth="1"/>
    <col min="3" max="3" width="47" style="1" customWidth="1"/>
    <col min="4" max="15" width="10.5546875" style="1" bestFit="1" customWidth="1"/>
    <col min="16" max="16" width="12" style="1" bestFit="1" customWidth="1"/>
    <col min="17" max="17" width="11" style="1" customWidth="1"/>
    <col min="18" max="16384" width="8.44140625" style="1"/>
  </cols>
  <sheetData>
    <row r="1" spans="1:19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</row>
    <row r="2" spans="1:19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</row>
    <row r="3" spans="1:19">
      <c r="A3" s="1060" t="s">
        <v>1186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</row>
    <row r="4" spans="1:19">
      <c r="A4" s="1059" t="str">
        <f>Allocation!A3</f>
        <v>Base Period: Twelve Months Ended December 31, 2024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</row>
    <row r="5" spans="1:19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9">
      <c r="A6" s="699" t="str">
        <f>'B.1 B'!A6</f>
        <v>Data:__X___Base Period______Forecasted Period</v>
      </c>
      <c r="B6" s="4"/>
      <c r="Q6" s="1" t="s">
        <v>1338</v>
      </c>
    </row>
    <row r="7" spans="1:19">
      <c r="A7" s="699" t="str">
        <f>'B.1 B'!A7</f>
        <v>Type of Filing:___X____Original________Updated ________Revised</v>
      </c>
      <c r="C7" s="4"/>
      <c r="Q7" s="1" t="s">
        <v>776</v>
      </c>
    </row>
    <row r="8" spans="1:19">
      <c r="A8" s="717" t="str">
        <f>'B.1 B'!A8</f>
        <v>Workpaper Reference No(s).</v>
      </c>
      <c r="B8" s="6"/>
      <c r="C8" s="6"/>
      <c r="D8" s="6"/>
      <c r="E8" s="6"/>
      <c r="F8" s="6"/>
      <c r="G8" s="28"/>
      <c r="H8" s="28"/>
      <c r="I8" s="6"/>
      <c r="J8" s="6"/>
      <c r="K8" s="28"/>
      <c r="L8" s="6"/>
      <c r="M8" s="28"/>
      <c r="N8" s="28"/>
      <c r="O8" s="28"/>
      <c r="P8" s="28"/>
      <c r="Q8" s="476" t="s">
        <v>1658</v>
      </c>
    </row>
    <row r="9" spans="1:19">
      <c r="D9" s="38"/>
      <c r="E9" s="38"/>
      <c r="F9" s="2"/>
      <c r="G9" s="2"/>
      <c r="H9" s="2"/>
      <c r="I9" s="2"/>
      <c r="J9" s="38"/>
      <c r="K9" s="2"/>
    </row>
    <row r="10" spans="1:19">
      <c r="A10" s="2" t="s">
        <v>88</v>
      </c>
      <c r="B10" s="2" t="s">
        <v>89</v>
      </c>
      <c r="D10" s="37" t="s">
        <v>102</v>
      </c>
      <c r="E10" s="37" t="s">
        <v>102</v>
      </c>
      <c r="F10" s="37" t="s">
        <v>102</v>
      </c>
      <c r="G10" s="37" t="s">
        <v>102</v>
      </c>
      <c r="H10" s="37" t="s">
        <v>102</v>
      </c>
      <c r="I10" s="37" t="s">
        <v>102</v>
      </c>
      <c r="J10" s="37" t="s">
        <v>102</v>
      </c>
      <c r="K10" s="37" t="s">
        <v>431</v>
      </c>
      <c r="L10" s="37" t="s">
        <v>431</v>
      </c>
      <c r="M10" s="37" t="s">
        <v>431</v>
      </c>
      <c r="N10" s="37" t="s">
        <v>431</v>
      </c>
      <c r="O10" s="37" t="s">
        <v>431</v>
      </c>
      <c r="P10" s="37" t="s">
        <v>431</v>
      </c>
      <c r="Q10" s="37" t="s">
        <v>306</v>
      </c>
    </row>
    <row r="11" spans="1:19">
      <c r="A11" s="9" t="s">
        <v>94</v>
      </c>
      <c r="B11" s="9" t="s">
        <v>95</v>
      </c>
      <c r="C11" s="6"/>
      <c r="D11" s="774">
        <f>'WP B.4.1B'!C10</f>
        <v>45262</v>
      </c>
      <c r="E11" s="774">
        <f>'WP B.4.1B'!D10</f>
        <v>45292</v>
      </c>
      <c r="F11" s="774">
        <f>'WP B.4.1B'!E10</f>
        <v>45323</v>
      </c>
      <c r="G11" s="774">
        <f>'WP B.4.1B'!F10</f>
        <v>45352</v>
      </c>
      <c r="H11" s="774">
        <f>'WP B.4.1B'!G10</f>
        <v>45383</v>
      </c>
      <c r="I11" s="774">
        <f>'WP B.4.1B'!H10</f>
        <v>45413</v>
      </c>
      <c r="J11" s="774">
        <f>'WP B.4.1B'!I10</f>
        <v>45444</v>
      </c>
      <c r="K11" s="774">
        <f>'WP B.4.1B'!J10</f>
        <v>45474</v>
      </c>
      <c r="L11" s="774">
        <f>'WP B.4.1B'!K10</f>
        <v>45505</v>
      </c>
      <c r="M11" s="774">
        <f>'WP B.4.1B'!L10</f>
        <v>45536</v>
      </c>
      <c r="N11" s="774">
        <f>'WP B.4.1B'!M10</f>
        <v>45566</v>
      </c>
      <c r="O11" s="774">
        <f>'WP B.4.1B'!N10</f>
        <v>45597</v>
      </c>
      <c r="P11" s="774">
        <f>'WP B.4.1B'!O10</f>
        <v>45627</v>
      </c>
      <c r="Q11" s="40" t="s">
        <v>93</v>
      </c>
    </row>
    <row r="12" spans="1:19" ht="15.75">
      <c r="B12" s="12" t="s">
        <v>205</v>
      </c>
    </row>
    <row r="13" spans="1:19">
      <c r="A13" s="2">
        <v>1</v>
      </c>
      <c r="B13" s="215">
        <v>15560</v>
      </c>
      <c r="C13" s="4" t="s">
        <v>50</v>
      </c>
      <c r="D13" s="720">
        <v>-736136.34</v>
      </c>
      <c r="E13" s="720">
        <v>-736136.34</v>
      </c>
      <c r="F13" s="720">
        <v>-736136.34</v>
      </c>
      <c r="G13" s="720">
        <v>-736136.34</v>
      </c>
      <c r="H13" s="720">
        <v>-736136.34</v>
      </c>
      <c r="I13" s="720">
        <v>-736136.34</v>
      </c>
      <c r="J13" s="720">
        <v>-736136.34</v>
      </c>
      <c r="K13" s="720">
        <v>-736136.34</v>
      </c>
      <c r="L13" s="720">
        <v>-736136.34</v>
      </c>
      <c r="M13" s="720">
        <v>-736136.34</v>
      </c>
      <c r="N13" s="720">
        <v>-736136.34</v>
      </c>
      <c r="O13" s="720">
        <v>-736136.34</v>
      </c>
      <c r="P13" s="720">
        <v>-736136.34</v>
      </c>
      <c r="Q13" s="697">
        <f>SUM(D13:P13)/13</f>
        <v>-736136.34</v>
      </c>
      <c r="S13" s="375"/>
    </row>
    <row r="14" spans="1:19">
      <c r="A14" s="38">
        <v>2</v>
      </c>
      <c r="B14" s="2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9" ht="15.75">
      <c r="A15" s="2">
        <v>3</v>
      </c>
      <c r="B15" s="12" t="s">
        <v>206</v>
      </c>
    </row>
    <row r="16" spans="1:19">
      <c r="A16" s="38">
        <v>4</v>
      </c>
      <c r="B16" s="215">
        <v>15560</v>
      </c>
      <c r="C16" s="4" t="s">
        <v>50</v>
      </c>
      <c r="D16" s="720">
        <v>0</v>
      </c>
      <c r="E16" s="720">
        <v>0</v>
      </c>
      <c r="F16" s="720">
        <v>0</v>
      </c>
      <c r="G16" s="720">
        <v>0</v>
      </c>
      <c r="H16" s="720">
        <v>0</v>
      </c>
      <c r="I16" s="720">
        <v>0</v>
      </c>
      <c r="J16" s="720">
        <v>0</v>
      </c>
      <c r="K16" s="720">
        <v>0</v>
      </c>
      <c r="L16" s="720">
        <v>0</v>
      </c>
      <c r="M16" s="720">
        <v>0</v>
      </c>
      <c r="N16" s="720">
        <v>0</v>
      </c>
      <c r="O16" s="720">
        <v>0</v>
      </c>
      <c r="P16" s="720">
        <v>0</v>
      </c>
      <c r="Q16" s="697">
        <f>(SUM(D16:P16))/13</f>
        <v>0</v>
      </c>
    </row>
    <row r="17" spans="1:17">
      <c r="A17" s="2">
        <v>5</v>
      </c>
      <c r="B17" s="217"/>
      <c r="C17" s="4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7" ht="15.75">
      <c r="A18" s="38">
        <v>6</v>
      </c>
      <c r="B18" s="12" t="s">
        <v>1075</v>
      </c>
      <c r="C18" s="1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7">
      <c r="A19" s="2">
        <v>7</v>
      </c>
      <c r="B19" s="215">
        <v>15560</v>
      </c>
      <c r="C19" s="4" t="s">
        <v>50</v>
      </c>
      <c r="D19" s="720">
        <v>0</v>
      </c>
      <c r="E19" s="720">
        <v>0</v>
      </c>
      <c r="F19" s="720">
        <v>0</v>
      </c>
      <c r="G19" s="720">
        <v>0</v>
      </c>
      <c r="H19" s="720">
        <v>0</v>
      </c>
      <c r="I19" s="720">
        <v>0</v>
      </c>
      <c r="J19" s="720">
        <v>0</v>
      </c>
      <c r="K19" s="720">
        <v>0</v>
      </c>
      <c r="L19" s="720">
        <v>0</v>
      </c>
      <c r="M19" s="720">
        <v>0</v>
      </c>
      <c r="N19" s="720">
        <v>0</v>
      </c>
      <c r="O19" s="720">
        <v>0</v>
      </c>
      <c r="P19" s="720">
        <v>0</v>
      </c>
      <c r="Q19" s="697">
        <f>(SUM(D19:P19))/13</f>
        <v>0</v>
      </c>
    </row>
    <row r="20" spans="1:17">
      <c r="A20" s="38">
        <v>8</v>
      </c>
      <c r="B20" s="217"/>
      <c r="C20" s="4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</row>
    <row r="21" spans="1:17" ht="15.75">
      <c r="A21" s="2">
        <v>9</v>
      </c>
      <c r="B21" s="12" t="s">
        <v>649</v>
      </c>
    </row>
    <row r="22" spans="1:17">
      <c r="A22" s="38">
        <v>10</v>
      </c>
      <c r="B22" s="215">
        <v>15560</v>
      </c>
      <c r="C22" s="4" t="s">
        <v>50</v>
      </c>
      <c r="D22" s="720">
        <v>0</v>
      </c>
      <c r="E22" s="720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P22" s="720">
        <v>0</v>
      </c>
      <c r="Q22" s="697">
        <f>(SUM(D22:P22))/13</f>
        <v>0</v>
      </c>
    </row>
    <row r="23" spans="1:17">
      <c r="A23" s="2"/>
      <c r="B23" s="216"/>
      <c r="D23" s="10"/>
      <c r="E23" s="10"/>
      <c r="F23" s="10"/>
      <c r="G23" s="10"/>
      <c r="H23" s="10"/>
      <c r="I23" s="10"/>
      <c r="J23" s="10"/>
      <c r="K23" s="10"/>
      <c r="L23" s="219"/>
      <c r="M23" s="177"/>
      <c r="N23" s="177"/>
      <c r="O23" s="177"/>
      <c r="P23" s="177"/>
    </row>
    <row r="24" spans="1:17">
      <c r="A24" s="2"/>
      <c r="D24" s="10"/>
      <c r="E24" s="10"/>
      <c r="F24" s="10"/>
      <c r="G24" s="10"/>
      <c r="H24" s="10"/>
      <c r="I24" s="10"/>
      <c r="J24" s="10"/>
      <c r="K24" s="10"/>
      <c r="L24" s="219"/>
      <c r="M24" s="177"/>
      <c r="N24" s="177"/>
      <c r="O24" s="177"/>
      <c r="P24" s="177"/>
    </row>
    <row r="25" spans="1:17">
      <c r="P25" s="177"/>
    </row>
    <row r="26" spans="1:17">
      <c r="B26" s="1" t="s">
        <v>657</v>
      </c>
    </row>
    <row r="27" spans="1:17">
      <c r="B27" s="1" t="s">
        <v>1669</v>
      </c>
    </row>
  </sheetData>
  <mergeCells count="4">
    <mergeCell ref="A1:Q1"/>
    <mergeCell ref="A2:Q2"/>
    <mergeCell ref="A3:Q3"/>
    <mergeCell ref="A4:Q4"/>
  </mergeCells>
  <phoneticPr fontId="20" type="noConversion"/>
  <printOptions horizontalCentered="1"/>
  <pageMargins left="0.54" right="0.53" top="0.93" bottom="1" header="0.5" footer="0.5"/>
  <pageSetup scale="50" orientation="landscape" verticalDpi="300" r:id="rId1"/>
  <headerFooter alignWithMargins="0">
    <oddFooter>&amp;R&amp;A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C16"/>
  <sheetViews>
    <sheetView view="pageBreakPreview" zoomScale="80" zoomScaleNormal="100" zoomScaleSheetLayoutView="80" workbookViewId="0">
      <selection sqref="A1:C1"/>
    </sheetView>
  </sheetViews>
  <sheetFormatPr defaultRowHeight="15"/>
  <cols>
    <col min="1" max="1" width="13.109375" customWidth="1"/>
    <col min="3" max="3" width="38.6640625" customWidth="1"/>
  </cols>
  <sheetData>
    <row r="1" spans="1:3">
      <c r="A1" s="1057" t="str">
        <f>'Table of Contents'!A1:C1</f>
        <v>Atmos Energy Corporation, Kentucky/Mid-States Division</v>
      </c>
      <c r="B1" s="1057"/>
      <c r="C1" s="1057"/>
    </row>
    <row r="2" spans="1:3">
      <c r="A2" s="1057" t="str">
        <f>'Table of Contents'!A2:C2</f>
        <v xml:space="preserve">Kentucky Jurisdiction Case No. 2024-00276 </v>
      </c>
      <c r="B2" s="1057"/>
      <c r="C2" s="1057"/>
    </row>
    <row r="3" spans="1:3">
      <c r="A3" s="1057" t="str">
        <f>'Table of Contents'!A3:C3</f>
        <v>Base Period: Twelve Months Ended December 31, 2024</v>
      </c>
      <c r="B3" s="1057"/>
      <c r="C3" s="1057"/>
    </row>
    <row r="4" spans="1:3">
      <c r="A4" s="1057" t="str">
        <f>'Table of Contents'!A4:C4</f>
        <v>Forecasted Test Period:  Twelve Months Ended March 31, 2026</v>
      </c>
      <c r="B4" s="1057"/>
      <c r="C4" s="1057"/>
    </row>
    <row r="14" spans="1:3" ht="15.75">
      <c r="A14" s="172" t="s">
        <v>56</v>
      </c>
      <c r="B14" s="172" t="s">
        <v>587</v>
      </c>
      <c r="C14" s="172" t="s">
        <v>949</v>
      </c>
    </row>
    <row r="15" spans="1:3">
      <c r="A15" s="50"/>
      <c r="B15" s="30"/>
      <c r="C15" s="30"/>
    </row>
    <row r="16" spans="1:3">
      <c r="A16" s="50" t="s">
        <v>164</v>
      </c>
      <c r="B16" s="50">
        <v>1</v>
      </c>
      <c r="C16" s="50" t="s">
        <v>964</v>
      </c>
    </row>
  </sheetData>
  <mergeCells count="4">
    <mergeCell ref="A1:C1"/>
    <mergeCell ref="A2:C2"/>
    <mergeCell ref="A3:C3"/>
    <mergeCell ref="A4:C4"/>
  </mergeCells>
  <phoneticPr fontId="20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92D050"/>
    <pageSetUpPr fitToPage="1"/>
  </sheetPr>
  <dimension ref="A1:Q27"/>
  <sheetViews>
    <sheetView view="pageBreakPreview" zoomScale="80" zoomScaleNormal="100" zoomScaleSheetLayoutView="80" workbookViewId="0">
      <selection activeCell="B27" sqref="B27"/>
    </sheetView>
  </sheetViews>
  <sheetFormatPr defaultColWidth="8.44140625" defaultRowHeight="15"/>
  <cols>
    <col min="1" max="1" width="5.77734375" style="1" customWidth="1"/>
    <col min="2" max="2" width="7.109375" style="1" customWidth="1"/>
    <col min="3" max="3" width="44.21875" style="1" customWidth="1"/>
    <col min="4" max="15" width="10.5546875" style="1" bestFit="1" customWidth="1"/>
    <col min="16" max="16" width="12" style="1" bestFit="1" customWidth="1"/>
    <col min="17" max="17" width="10" style="1" bestFit="1" customWidth="1"/>
    <col min="18" max="16384" width="8.44140625" style="1"/>
  </cols>
  <sheetData>
    <row r="1" spans="1:17">
      <c r="A1" s="1059" t="str">
        <f>Allocation!A1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</row>
    <row r="2" spans="1:17">
      <c r="A2" s="1059" t="str">
        <f>Allocation!A2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</row>
    <row r="3" spans="1:17">
      <c r="A3" s="1060" t="s">
        <v>1186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</row>
    <row r="4" spans="1:17">
      <c r="A4" s="1059" t="str">
        <f>Allocation!A3</f>
        <v>Base Period: Twelve Months Ended December 31, 2024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</row>
    <row r="5" spans="1:17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7">
      <c r="A6" s="699" t="str">
        <f>'B.1 F '!A6</f>
        <v>Data:______Base Period__X___Forecasted Period</v>
      </c>
      <c r="B6" s="4"/>
      <c r="Q6" s="1" t="s">
        <v>1337</v>
      </c>
    </row>
    <row r="7" spans="1:17">
      <c r="A7" s="699" t="str">
        <f>'B.1 F '!A7</f>
        <v>Type of Filing:___X____Original________Updated ________Revised</v>
      </c>
      <c r="C7" s="4"/>
      <c r="Q7" s="1" t="s">
        <v>1125</v>
      </c>
    </row>
    <row r="8" spans="1:17">
      <c r="A8" s="717" t="str">
        <f>'B.1 F '!A8</f>
        <v>Workpaper Reference No(s).</v>
      </c>
      <c r="B8" s="6"/>
      <c r="C8" s="6"/>
      <c r="D8" s="6"/>
      <c r="E8" s="6"/>
      <c r="F8" s="6"/>
      <c r="G8" s="28"/>
      <c r="H8" s="28"/>
      <c r="I8" s="6"/>
      <c r="J8" s="6"/>
      <c r="K8" s="28"/>
      <c r="L8" s="6"/>
      <c r="M8" s="28"/>
      <c r="N8" s="28"/>
      <c r="O8" s="28"/>
      <c r="P8" s="28"/>
      <c r="Q8" s="28" t="s">
        <v>1658</v>
      </c>
    </row>
    <row r="9" spans="1:17">
      <c r="D9" s="38"/>
      <c r="E9" s="38"/>
      <c r="F9" s="2"/>
      <c r="G9" s="2"/>
      <c r="H9" s="2"/>
      <c r="I9" s="2"/>
      <c r="J9" s="38"/>
      <c r="K9" s="2"/>
    </row>
    <row r="10" spans="1:17">
      <c r="A10" s="2" t="s">
        <v>88</v>
      </c>
      <c r="B10" s="2" t="s">
        <v>89</v>
      </c>
      <c r="D10" s="37" t="s">
        <v>431</v>
      </c>
      <c r="E10" s="37" t="s">
        <v>431</v>
      </c>
      <c r="F10" s="37" t="s">
        <v>431</v>
      </c>
      <c r="G10" s="37" t="s">
        <v>431</v>
      </c>
      <c r="H10" s="37" t="s">
        <v>431</v>
      </c>
      <c r="I10" s="37" t="s">
        <v>41</v>
      </c>
      <c r="J10" s="37" t="s">
        <v>41</v>
      </c>
      <c r="K10" s="37" t="s">
        <v>41</v>
      </c>
      <c r="L10" s="37" t="s">
        <v>41</v>
      </c>
      <c r="M10" s="37" t="s">
        <v>41</v>
      </c>
      <c r="N10" s="37" t="s">
        <v>41</v>
      </c>
      <c r="O10" s="37" t="s">
        <v>41</v>
      </c>
      <c r="P10" s="37" t="s">
        <v>41</v>
      </c>
      <c r="Q10" s="37" t="s">
        <v>306</v>
      </c>
    </row>
    <row r="11" spans="1:17">
      <c r="A11" s="9" t="s">
        <v>94</v>
      </c>
      <c r="B11" s="9" t="s">
        <v>95</v>
      </c>
      <c r="C11" s="6"/>
      <c r="D11" s="774">
        <f>'WP B.4.1F'!C11</f>
        <v>45717</v>
      </c>
      <c r="E11" s="774">
        <f>'WP B.4.1F'!D11</f>
        <v>45748</v>
      </c>
      <c r="F11" s="774">
        <f>'WP B.4.1F'!E11</f>
        <v>45778</v>
      </c>
      <c r="G11" s="774">
        <f>'WP B.4.1F'!F11</f>
        <v>45809</v>
      </c>
      <c r="H11" s="774">
        <f>'WP B.4.1F'!G11</f>
        <v>45839</v>
      </c>
      <c r="I11" s="774">
        <f>'WP B.4.1F'!H11</f>
        <v>45870</v>
      </c>
      <c r="J11" s="774">
        <f>'WP B.4.1F'!I11</f>
        <v>45901</v>
      </c>
      <c r="K11" s="774">
        <f>'WP B.4.1F'!J11</f>
        <v>45931</v>
      </c>
      <c r="L11" s="774">
        <f>'WP B.4.1F'!K11</f>
        <v>45962</v>
      </c>
      <c r="M11" s="774">
        <f>'WP B.4.1F'!L11</f>
        <v>45992</v>
      </c>
      <c r="N11" s="774">
        <f>'WP B.4.1F'!M11</f>
        <v>46023</v>
      </c>
      <c r="O11" s="774">
        <f>'WP B.4.1F'!N11</f>
        <v>46054</v>
      </c>
      <c r="P11" s="774">
        <f>'WP B.4.1F'!O11</f>
        <v>46082</v>
      </c>
      <c r="Q11" s="40" t="s">
        <v>93</v>
      </c>
    </row>
    <row r="12" spans="1:17" ht="15.75">
      <c r="B12" s="12" t="s">
        <v>205</v>
      </c>
    </row>
    <row r="13" spans="1:17">
      <c r="A13" s="2">
        <v>1</v>
      </c>
      <c r="B13" s="215">
        <v>15560</v>
      </c>
      <c r="C13" s="4" t="s">
        <v>50</v>
      </c>
      <c r="D13" s="720">
        <v>-736136.34</v>
      </c>
      <c r="E13" s="720">
        <v>-736136.34</v>
      </c>
      <c r="F13" s="720">
        <v>-736136.34</v>
      </c>
      <c r="G13" s="720">
        <v>-736136.34</v>
      </c>
      <c r="H13" s="720">
        <v>-736136.34</v>
      </c>
      <c r="I13" s="720">
        <v>-736136.34</v>
      </c>
      <c r="J13" s="720">
        <v>-736136.34</v>
      </c>
      <c r="K13" s="720">
        <v>-736136.34</v>
      </c>
      <c r="L13" s="720">
        <v>-736136.34</v>
      </c>
      <c r="M13" s="720">
        <v>-736136.34</v>
      </c>
      <c r="N13" s="720">
        <v>-736136.34</v>
      </c>
      <c r="O13" s="720">
        <v>-736136.34</v>
      </c>
      <c r="P13" s="720">
        <v>-736136.34</v>
      </c>
      <c r="Q13" s="697">
        <f>SUM(D13:P13)/13</f>
        <v>-736136.34</v>
      </c>
    </row>
    <row r="14" spans="1:17">
      <c r="A14" s="38">
        <v>2</v>
      </c>
      <c r="B14" s="2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7" ht="15.75">
      <c r="A15" s="2">
        <v>3</v>
      </c>
      <c r="B15" s="12" t="s">
        <v>206</v>
      </c>
    </row>
    <row r="16" spans="1:17">
      <c r="A16" s="38">
        <v>4</v>
      </c>
      <c r="B16" s="215">
        <v>15560</v>
      </c>
      <c r="C16" s="4" t="s">
        <v>50</v>
      </c>
      <c r="D16" s="720">
        <v>0</v>
      </c>
      <c r="E16" s="720">
        <v>0</v>
      </c>
      <c r="F16" s="720">
        <v>0</v>
      </c>
      <c r="G16" s="720">
        <v>0</v>
      </c>
      <c r="H16" s="720">
        <v>0</v>
      </c>
      <c r="I16" s="720">
        <v>0</v>
      </c>
      <c r="J16" s="720">
        <v>0</v>
      </c>
      <c r="K16" s="720">
        <v>0</v>
      </c>
      <c r="L16" s="720">
        <v>0</v>
      </c>
      <c r="M16" s="720">
        <v>0</v>
      </c>
      <c r="N16" s="720">
        <v>0</v>
      </c>
      <c r="O16" s="720">
        <v>0</v>
      </c>
      <c r="P16" s="720">
        <v>0</v>
      </c>
      <c r="Q16" s="697">
        <f>SUM(D16:P16)/13</f>
        <v>0</v>
      </c>
    </row>
    <row r="17" spans="1:17">
      <c r="A17" s="2">
        <v>5</v>
      </c>
      <c r="B17" s="217"/>
      <c r="C17" s="4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7" ht="15.75">
      <c r="A18" s="38">
        <v>6</v>
      </c>
      <c r="B18" s="12" t="s">
        <v>1075</v>
      </c>
      <c r="C18" s="1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7">
      <c r="A19" s="2">
        <v>7</v>
      </c>
      <c r="B19" s="215">
        <v>15560</v>
      </c>
      <c r="C19" s="4" t="s">
        <v>50</v>
      </c>
      <c r="D19" s="720">
        <v>0</v>
      </c>
      <c r="E19" s="720">
        <v>0</v>
      </c>
      <c r="F19" s="720">
        <v>0</v>
      </c>
      <c r="G19" s="720">
        <v>0</v>
      </c>
      <c r="H19" s="720">
        <v>0</v>
      </c>
      <c r="I19" s="720">
        <v>0</v>
      </c>
      <c r="J19" s="720">
        <v>0</v>
      </c>
      <c r="K19" s="720">
        <v>0</v>
      </c>
      <c r="L19" s="720">
        <v>0</v>
      </c>
      <c r="M19" s="720">
        <v>0</v>
      </c>
      <c r="N19" s="720">
        <v>0</v>
      </c>
      <c r="O19" s="720">
        <v>0</v>
      </c>
      <c r="P19" s="720">
        <v>0</v>
      </c>
      <c r="Q19" s="697">
        <f>SUM(D19:P19)/13</f>
        <v>0</v>
      </c>
    </row>
    <row r="20" spans="1:17">
      <c r="A20" s="38">
        <v>8</v>
      </c>
      <c r="B20" s="217"/>
      <c r="C20" s="4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</row>
    <row r="21" spans="1:17" ht="15.75">
      <c r="A21" s="2">
        <v>9</v>
      </c>
      <c r="B21" s="12" t="s">
        <v>649</v>
      </c>
    </row>
    <row r="22" spans="1:17">
      <c r="A22" s="38">
        <v>10</v>
      </c>
      <c r="B22" s="215">
        <v>15560</v>
      </c>
      <c r="C22" s="4" t="s">
        <v>50</v>
      </c>
      <c r="D22" s="720">
        <v>0</v>
      </c>
      <c r="E22" s="720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P22" s="720">
        <v>0</v>
      </c>
      <c r="Q22" s="697">
        <f>SUM(D22:P22)/13</f>
        <v>0</v>
      </c>
    </row>
    <row r="23" spans="1:17">
      <c r="A23" s="2"/>
      <c r="B23" s="2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7">
      <c r="A24" s="2"/>
      <c r="D24" s="10"/>
      <c r="E24" s="10"/>
      <c r="F24" s="10"/>
      <c r="G24" s="10"/>
      <c r="H24" s="10"/>
      <c r="I24" s="10"/>
      <c r="J24" s="10"/>
      <c r="K24" s="10"/>
      <c r="L24" s="219"/>
      <c r="M24" s="177"/>
      <c r="N24" s="177"/>
      <c r="O24" s="177"/>
      <c r="P24" s="177"/>
    </row>
    <row r="26" spans="1:17">
      <c r="B26" s="1" t="s">
        <v>657</v>
      </c>
    </row>
    <row r="27" spans="1:17">
      <c r="B27" s="1" t="s">
        <v>1669</v>
      </c>
    </row>
  </sheetData>
  <mergeCells count="4">
    <mergeCell ref="A1:Q1"/>
    <mergeCell ref="A2:Q2"/>
    <mergeCell ref="A3:Q3"/>
    <mergeCell ref="A4:Q4"/>
  </mergeCells>
  <phoneticPr fontId="20" type="noConversion"/>
  <printOptions horizontalCentered="1"/>
  <pageMargins left="0.54" right="0.55000000000000004" top="0.87" bottom="1" header="0.5" footer="0.5"/>
  <pageSetup scale="51" orientation="landscape" verticalDpi="300" r:id="rId1"/>
  <headerFooter alignWithMargins="0">
    <oddFooter>&amp;R&amp;A
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C20"/>
  <sheetViews>
    <sheetView view="pageBreakPreview" zoomScale="80" zoomScaleNormal="100" zoomScaleSheetLayoutView="80" workbookViewId="0">
      <selection sqref="A1:C1"/>
    </sheetView>
  </sheetViews>
  <sheetFormatPr defaultRowHeight="15"/>
  <cols>
    <col min="1" max="1" width="13.109375" customWidth="1"/>
    <col min="3" max="3" width="51.21875" customWidth="1"/>
  </cols>
  <sheetData>
    <row r="1" spans="1:3">
      <c r="A1" s="1057" t="str">
        <f>'Table of Contents'!A1:C1</f>
        <v>Atmos Energy Corporation, Kentucky/Mid-States Division</v>
      </c>
      <c r="B1" s="1057"/>
      <c r="C1" s="1057"/>
    </row>
    <row r="2" spans="1:3">
      <c r="A2" s="1057" t="str">
        <f>'Table of Contents'!A2:C2</f>
        <v xml:space="preserve">Kentucky Jurisdiction Case No. 2024-00276 </v>
      </c>
      <c r="B2" s="1057"/>
      <c r="C2" s="1057"/>
    </row>
    <row r="3" spans="1:3">
      <c r="A3" s="1057" t="str">
        <f>'Table of Contents'!A3:C3</f>
        <v>Base Period: Twelve Months Ended December 31, 2024</v>
      </c>
      <c r="B3" s="1057"/>
      <c r="C3" s="1057"/>
    </row>
    <row r="4" spans="1:3">
      <c r="A4" s="1057" t="str">
        <f>'Table of Contents'!A4:C4</f>
        <v>Forecasted Test Period:  Twelve Months Ended March 31, 2026</v>
      </c>
      <c r="B4" s="1057"/>
      <c r="C4" s="1057"/>
    </row>
    <row r="9" spans="1:3" ht="15.75">
      <c r="A9" s="1081" t="s">
        <v>1339</v>
      </c>
      <c r="B9" s="1081"/>
      <c r="C9" s="1081"/>
    </row>
    <row r="11" spans="1:3" ht="15.75">
      <c r="A11" s="1061" t="s">
        <v>57</v>
      </c>
      <c r="B11" s="1061"/>
      <c r="C11" s="1061"/>
    </row>
    <row r="14" spans="1:3">
      <c r="A14" s="121" t="s">
        <v>56</v>
      </c>
      <c r="B14" s="40" t="s">
        <v>587</v>
      </c>
      <c r="C14" s="43" t="s">
        <v>949</v>
      </c>
    </row>
    <row r="15" spans="1:3">
      <c r="A15" s="50"/>
      <c r="B15" s="30"/>
      <c r="C15" s="30"/>
    </row>
    <row r="16" spans="1:3">
      <c r="A16" s="124" t="s">
        <v>359</v>
      </c>
      <c r="B16" s="50">
        <v>1</v>
      </c>
      <c r="C16" s="30" t="s">
        <v>57</v>
      </c>
    </row>
    <row r="17" spans="1:3">
      <c r="A17" s="124" t="s">
        <v>134</v>
      </c>
      <c r="B17" s="50">
        <v>1</v>
      </c>
      <c r="C17" s="30" t="s">
        <v>119</v>
      </c>
    </row>
    <row r="18" spans="1:3">
      <c r="A18" s="124" t="s">
        <v>1126</v>
      </c>
      <c r="B18" s="50">
        <v>10</v>
      </c>
      <c r="C18" s="30" t="s">
        <v>1096</v>
      </c>
    </row>
    <row r="19" spans="1:3">
      <c r="A19" s="124" t="s">
        <v>3</v>
      </c>
      <c r="B19" s="50">
        <v>10</v>
      </c>
      <c r="C19" s="30" t="s">
        <v>438</v>
      </c>
    </row>
    <row r="20" spans="1:3">
      <c r="A20" s="124" t="s">
        <v>437</v>
      </c>
      <c r="B20" s="50">
        <v>2</v>
      </c>
      <c r="C20" t="s">
        <v>439</v>
      </c>
    </row>
  </sheetData>
  <mergeCells count="6">
    <mergeCell ref="A9:C9"/>
    <mergeCell ref="A11:C11"/>
    <mergeCell ref="A1:C1"/>
    <mergeCell ref="A2:C2"/>
    <mergeCell ref="A3:C3"/>
    <mergeCell ref="A4:C4"/>
  </mergeCells>
  <phoneticPr fontId="20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92D050"/>
    <pageSetUpPr fitToPage="1"/>
  </sheetPr>
  <dimension ref="A1:X35"/>
  <sheetViews>
    <sheetView view="pageBreakPreview" zoomScale="80" zoomScaleNormal="100" zoomScaleSheetLayoutView="80" workbookViewId="0">
      <selection activeCell="D20" sqref="D20"/>
    </sheetView>
  </sheetViews>
  <sheetFormatPr defaultColWidth="10.109375" defaultRowHeight="15"/>
  <cols>
    <col min="1" max="1" width="5.21875" style="30" customWidth="1"/>
    <col min="2" max="2" width="2.21875" style="30" customWidth="1"/>
    <col min="3" max="3" width="26.109375" style="30" customWidth="1"/>
    <col min="4" max="4" width="14.5546875" style="30" bestFit="1" customWidth="1"/>
    <col min="5" max="5" width="2.33203125" style="30" customWidth="1"/>
    <col min="6" max="6" width="14.5546875" style="30" bestFit="1" customWidth="1"/>
    <col min="7" max="7" width="2.109375" style="30" customWidth="1"/>
    <col min="8" max="8" width="12.88671875" style="30" customWidth="1"/>
    <col min="9" max="9" width="2.109375" style="30" customWidth="1"/>
    <col min="10" max="10" width="13.88671875" style="30" customWidth="1"/>
    <col min="11" max="11" width="11.44140625" style="30" bestFit="1" customWidth="1"/>
    <col min="12" max="12" width="6.5546875" style="30" bestFit="1" customWidth="1"/>
    <col min="13" max="13" width="11.109375" style="30" customWidth="1"/>
    <col min="14" max="14" width="8" style="30" bestFit="1" customWidth="1"/>
    <col min="15" max="15" width="12" style="30" customWidth="1"/>
    <col min="16" max="16" width="10.109375" style="30" customWidth="1"/>
    <col min="17" max="17" width="3.21875" style="30" customWidth="1"/>
    <col min="18" max="18" width="11.88671875" style="30" customWidth="1"/>
    <col min="19" max="19" width="1.33203125" style="30" customWidth="1"/>
    <col min="20" max="20" width="12.33203125" style="30" customWidth="1"/>
    <col min="21" max="21" width="1.6640625" style="30" customWidth="1"/>
    <col min="22" max="22" width="10.5546875" style="30" bestFit="1" customWidth="1"/>
    <col min="23" max="23" width="0.88671875" style="30" customWidth="1"/>
    <col min="24" max="24" width="10.44140625" style="30" bestFit="1" customWidth="1"/>
    <col min="25" max="16384" width="10.109375" style="30"/>
  </cols>
  <sheetData>
    <row r="1" spans="1:24" s="1" customFormat="1">
      <c r="A1" s="1082" t="str">
        <f>'Table of Contents'!A1:C1</f>
        <v>Atmos Energy Corporation, Kentucky/Mid-States Division</v>
      </c>
      <c r="B1" s="1082"/>
      <c r="C1" s="1082"/>
      <c r="D1" s="1082"/>
      <c r="E1" s="1082"/>
      <c r="F1" s="1082"/>
      <c r="G1" s="1082"/>
      <c r="H1" s="1082"/>
      <c r="I1" s="1082"/>
      <c r="J1" s="1082"/>
    </row>
    <row r="2" spans="1:24" s="1" customFormat="1">
      <c r="A2" s="1082" t="str">
        <f>'Table of Contents'!A2:C2</f>
        <v xml:space="preserve">Kentucky Jurisdiction Case No. 2024-00276 </v>
      </c>
      <c r="B2" s="1082"/>
      <c r="C2" s="1082"/>
      <c r="D2" s="1082"/>
      <c r="E2" s="1082"/>
      <c r="F2" s="1082"/>
      <c r="G2" s="1082"/>
      <c r="H2" s="1082"/>
      <c r="I2" s="1082"/>
      <c r="J2" s="1082"/>
    </row>
    <row r="3" spans="1:24" s="1" customFormat="1">
      <c r="A3" s="1083" t="s">
        <v>57</v>
      </c>
      <c r="B3" s="1083"/>
      <c r="C3" s="1083"/>
      <c r="D3" s="1083"/>
      <c r="E3" s="1083"/>
      <c r="F3" s="1083"/>
      <c r="G3" s="1083"/>
      <c r="H3" s="1083"/>
      <c r="I3" s="1083"/>
      <c r="J3" s="1083"/>
    </row>
    <row r="4" spans="1:24" s="1" customFormat="1">
      <c r="A4" s="1082" t="str">
        <f>'Table of Contents'!A4:C4</f>
        <v>Forecasted Test Period:  Twelve Months Ended March 31, 2026</v>
      </c>
      <c r="B4" s="1082"/>
      <c r="C4" s="1082"/>
      <c r="D4" s="1082"/>
      <c r="E4" s="1082"/>
      <c r="F4" s="1082"/>
      <c r="G4" s="1082"/>
      <c r="H4" s="1082"/>
      <c r="I4" s="1082"/>
      <c r="J4" s="1082"/>
    </row>
    <row r="5" spans="1:24" s="1" customFormat="1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24" s="1" customFormat="1"/>
    <row r="7" spans="1:24" s="1" customFormat="1">
      <c r="A7" s="4" t="s">
        <v>829</v>
      </c>
      <c r="I7" s="4"/>
      <c r="J7" s="84" t="s">
        <v>1340</v>
      </c>
    </row>
    <row r="8" spans="1:24" s="1" customFormat="1">
      <c r="A8" s="4" t="s">
        <v>588</v>
      </c>
      <c r="H8" s="4"/>
      <c r="I8" s="4"/>
      <c r="J8" s="17" t="s">
        <v>256</v>
      </c>
    </row>
    <row r="9" spans="1:24" s="1" customFormat="1">
      <c r="A9" s="5" t="s">
        <v>356</v>
      </c>
      <c r="B9" s="6"/>
      <c r="C9" s="6"/>
      <c r="D9" s="6"/>
      <c r="E9" s="6"/>
      <c r="F9" s="6"/>
      <c r="G9" s="6"/>
      <c r="H9" s="5"/>
      <c r="I9" s="5"/>
      <c r="J9" s="635" t="s">
        <v>1665</v>
      </c>
    </row>
    <row r="10" spans="1:24" s="1" customFormat="1">
      <c r="D10" s="38" t="s">
        <v>42</v>
      </c>
      <c r="F10" s="2" t="s">
        <v>41</v>
      </c>
      <c r="J10" s="2" t="s">
        <v>41</v>
      </c>
      <c r="R10" s="397"/>
      <c r="S10" s="397"/>
      <c r="T10" s="397"/>
      <c r="U10" s="397"/>
      <c r="V10" s="397"/>
      <c r="W10" s="397"/>
      <c r="X10" s="397"/>
    </row>
    <row r="11" spans="1:24" s="1" customFormat="1">
      <c r="A11" s="2" t="s">
        <v>88</v>
      </c>
      <c r="D11" s="2" t="s">
        <v>408</v>
      </c>
      <c r="F11" s="2" t="s">
        <v>408</v>
      </c>
      <c r="H11" s="2" t="s">
        <v>377</v>
      </c>
      <c r="J11" s="2" t="s">
        <v>408</v>
      </c>
      <c r="R11" s="397"/>
      <c r="S11" s="397"/>
      <c r="T11" s="397"/>
      <c r="U11" s="397"/>
      <c r="V11" s="397"/>
      <c r="W11" s="397"/>
      <c r="X11" s="397"/>
    </row>
    <row r="12" spans="1:24">
      <c r="A12" s="9" t="s">
        <v>94</v>
      </c>
      <c r="B12" s="6"/>
      <c r="C12" s="5" t="s">
        <v>949</v>
      </c>
      <c r="D12" s="9" t="s">
        <v>406</v>
      </c>
      <c r="E12" s="6"/>
      <c r="F12" s="9" t="s">
        <v>406</v>
      </c>
      <c r="G12" s="6"/>
      <c r="H12" s="9" t="s">
        <v>1070</v>
      </c>
      <c r="I12" s="6"/>
      <c r="J12" s="9" t="s">
        <v>407</v>
      </c>
      <c r="K12" s="1"/>
      <c r="L12" s="397"/>
      <c r="M12" s="1"/>
      <c r="N12" s="1"/>
      <c r="O12" s="404"/>
      <c r="P12" s="405"/>
      <c r="R12" s="397"/>
      <c r="S12" s="397"/>
      <c r="T12" s="397"/>
      <c r="U12" s="397"/>
      <c r="V12" s="406"/>
      <c r="W12" s="406"/>
      <c r="X12" s="397"/>
    </row>
    <row r="13" spans="1:24">
      <c r="D13" s="104"/>
      <c r="F13" s="104"/>
      <c r="H13" s="104"/>
      <c r="J13" s="104"/>
      <c r="L13" s="397"/>
      <c r="O13" s="405"/>
      <c r="P13" s="405"/>
      <c r="R13" s="407"/>
      <c r="S13" s="397"/>
      <c r="T13" s="397"/>
      <c r="U13" s="397"/>
      <c r="V13" s="407"/>
      <c r="W13" s="407"/>
      <c r="X13" s="397"/>
    </row>
    <row r="14" spans="1:24">
      <c r="L14" s="397"/>
      <c r="O14" s="363"/>
      <c r="P14" s="363"/>
      <c r="R14" s="397"/>
      <c r="S14" s="397"/>
      <c r="T14" s="397"/>
      <c r="U14" s="397"/>
      <c r="V14" s="397"/>
      <c r="W14" s="397"/>
      <c r="X14" s="397"/>
    </row>
    <row r="15" spans="1:24">
      <c r="A15" s="104">
        <v>1</v>
      </c>
      <c r="C15" s="98" t="s">
        <v>710</v>
      </c>
      <c r="D15" s="688">
        <f>+C.2!D14</f>
        <v>154805382.38077351</v>
      </c>
      <c r="F15" s="688">
        <f>C.2!O14</f>
        <v>187822013.2190111</v>
      </c>
      <c r="G15" s="103"/>
      <c r="H15" s="744">
        <f>A.1!G30</f>
        <v>34853999</v>
      </c>
      <c r="I15" s="103"/>
      <c r="J15" s="745">
        <f>+F15+H15</f>
        <v>222676012.2190111</v>
      </c>
      <c r="K15" s="103"/>
      <c r="L15" s="416"/>
      <c r="M15" s="273"/>
      <c r="N15" s="103"/>
      <c r="O15" s="365"/>
      <c r="P15" s="364"/>
      <c r="Q15" s="103"/>
      <c r="R15" s="408"/>
      <c r="S15" s="408"/>
      <c r="T15" s="408"/>
      <c r="U15" s="397"/>
      <c r="V15" s="397"/>
      <c r="W15" s="397"/>
      <c r="X15" s="397"/>
    </row>
    <row r="16" spans="1:24">
      <c r="F16" s="103"/>
      <c r="G16" s="103"/>
      <c r="H16" s="103"/>
      <c r="I16" s="103"/>
      <c r="J16" s="103"/>
      <c r="K16" s="103"/>
      <c r="L16" s="409"/>
      <c r="M16" s="103"/>
      <c r="N16" s="103"/>
      <c r="O16" s="364"/>
      <c r="P16" s="364"/>
      <c r="Q16" s="103"/>
      <c r="R16" s="397"/>
      <c r="S16" s="397"/>
      <c r="T16" s="409"/>
      <c r="U16" s="397"/>
      <c r="V16" s="397"/>
      <c r="W16" s="397"/>
      <c r="X16" s="397"/>
    </row>
    <row r="17" spans="1:24">
      <c r="A17" s="104">
        <v>2</v>
      </c>
      <c r="C17" s="98" t="s">
        <v>954</v>
      </c>
      <c r="D17" s="103"/>
      <c r="F17" s="103"/>
      <c r="G17" s="103"/>
      <c r="H17" s="103"/>
      <c r="I17" s="103"/>
      <c r="J17" s="103"/>
      <c r="K17" s="103"/>
      <c r="L17" s="409"/>
      <c r="M17" s="103"/>
      <c r="N17" s="103"/>
      <c r="O17" s="364"/>
      <c r="P17" s="364"/>
      <c r="Q17" s="103"/>
      <c r="R17" s="397"/>
      <c r="S17" s="397"/>
      <c r="T17" s="409"/>
      <c r="U17" s="397"/>
      <c r="V17" s="397"/>
      <c r="W17" s="397"/>
      <c r="X17" s="397"/>
    </row>
    <row r="18" spans="1:24">
      <c r="A18" s="104">
        <v>3</v>
      </c>
      <c r="C18" s="136" t="s">
        <v>23</v>
      </c>
      <c r="D18" s="700">
        <f>+C.2!D17</f>
        <v>52986727.226981685</v>
      </c>
      <c r="E18" s="293"/>
      <c r="F18" s="700">
        <f>C.2!O17</f>
        <v>87640898.071899399</v>
      </c>
      <c r="G18" s="176"/>
      <c r="H18" s="176"/>
      <c r="I18" s="176"/>
      <c r="J18" s="794">
        <f>+F18+H18</f>
        <v>87640898.071899399</v>
      </c>
      <c r="K18" s="103"/>
      <c r="L18" s="416"/>
      <c r="M18" s="103"/>
      <c r="O18" s="365"/>
      <c r="P18" s="364"/>
      <c r="Q18" s="103"/>
      <c r="R18" s="408"/>
      <c r="S18" s="410"/>
      <c r="T18" s="408"/>
      <c r="U18" s="397"/>
      <c r="V18" s="397"/>
      <c r="W18" s="397"/>
      <c r="X18" s="397"/>
    </row>
    <row r="19" spans="1:24">
      <c r="A19" s="104">
        <v>4</v>
      </c>
      <c r="C19" s="136" t="s">
        <v>435</v>
      </c>
      <c r="D19" s="700">
        <f>SUM(C.2!D18:D25)</f>
        <v>33536926.780049894</v>
      </c>
      <c r="E19" s="293"/>
      <c r="F19" s="700">
        <f>SUM(C.2!O18:O25)</f>
        <v>32793427.975425456</v>
      </c>
      <c r="G19" s="176"/>
      <c r="H19" s="700">
        <f>+(H15*H.1!E19)</f>
        <v>348539.99</v>
      </c>
      <c r="I19" s="176"/>
      <c r="J19" s="794">
        <f>+F19+H19</f>
        <v>33141967.965425454</v>
      </c>
      <c r="K19" s="103"/>
      <c r="L19" s="416"/>
      <c r="M19" s="364"/>
      <c r="N19" s="402"/>
      <c r="O19" s="365"/>
      <c r="P19" s="364"/>
      <c r="Q19" s="103"/>
      <c r="R19" s="408"/>
      <c r="S19" s="410"/>
      <c r="T19" s="408"/>
      <c r="U19" s="397"/>
      <c r="V19" s="397"/>
      <c r="W19" s="397"/>
      <c r="X19" s="397"/>
    </row>
    <row r="20" spans="1:24">
      <c r="A20" s="104">
        <v>5</v>
      </c>
      <c r="C20" s="98" t="s">
        <v>1012</v>
      </c>
      <c r="D20" s="700">
        <f>+C.2!D26</f>
        <v>19915761.448384304</v>
      </c>
      <c r="E20" s="293"/>
      <c r="F20" s="700">
        <f>+C.2!O26</f>
        <v>22028374.895356476</v>
      </c>
      <c r="G20" s="298"/>
      <c r="H20" s="176"/>
      <c r="I20" s="298"/>
      <c r="J20" s="795">
        <f>+F20+H20</f>
        <v>22028374.895356476</v>
      </c>
      <c r="K20" s="103"/>
      <c r="L20" s="416"/>
      <c r="M20" s="103"/>
      <c r="N20" s="403"/>
      <c r="O20" s="365"/>
      <c r="P20" s="364"/>
      <c r="Q20" s="103"/>
      <c r="R20" s="408"/>
      <c r="S20" s="410"/>
      <c r="T20" s="408"/>
      <c r="U20" s="397"/>
      <c r="V20" s="397"/>
      <c r="W20" s="397"/>
      <c r="X20" s="397"/>
    </row>
    <row r="21" spans="1:24">
      <c r="A21" s="104">
        <v>6</v>
      </c>
      <c r="C21" s="98" t="s">
        <v>599</v>
      </c>
      <c r="D21" s="700">
        <f>+C.2!D27</f>
        <v>12842194.805499708</v>
      </c>
      <c r="E21" s="293"/>
      <c r="F21" s="700">
        <f>+C.2!O27</f>
        <v>13731223.681868786</v>
      </c>
      <c r="G21" s="298"/>
      <c r="H21" s="700">
        <f>(H15*H.1!E21)</f>
        <v>54163.114446</v>
      </c>
      <c r="I21" s="298"/>
      <c r="J21" s="795">
        <f>+F21+H21</f>
        <v>13785386.796314785</v>
      </c>
      <c r="K21" s="103"/>
      <c r="L21" s="416"/>
      <c r="M21" s="364"/>
      <c r="N21" s="402"/>
      <c r="O21" s="365"/>
      <c r="P21" s="364"/>
      <c r="Q21" s="103"/>
      <c r="R21" s="408"/>
      <c r="S21" s="410"/>
      <c r="T21" s="408"/>
      <c r="U21" s="397"/>
      <c r="V21" s="397"/>
      <c r="W21" s="397"/>
      <c r="X21" s="397"/>
    </row>
    <row r="22" spans="1:24">
      <c r="A22" s="104">
        <v>7</v>
      </c>
      <c r="C22" s="98"/>
      <c r="D22" s="234"/>
      <c r="E22" s="234"/>
      <c r="F22" s="298"/>
      <c r="G22" s="298"/>
      <c r="H22" s="176"/>
      <c r="I22" s="298"/>
      <c r="J22" s="298"/>
      <c r="K22" s="103"/>
      <c r="L22" s="409"/>
      <c r="M22" s="103"/>
      <c r="O22" s="365"/>
      <c r="P22" s="364"/>
      <c r="Q22" s="103"/>
      <c r="R22" s="411"/>
      <c r="S22" s="411"/>
      <c r="T22" s="412"/>
      <c r="U22" s="397"/>
      <c r="V22" s="397"/>
      <c r="W22" s="397"/>
      <c r="X22" s="397"/>
    </row>
    <row r="23" spans="1:24">
      <c r="A23" s="104">
        <v>8</v>
      </c>
      <c r="C23" s="98" t="s">
        <v>295</v>
      </c>
      <c r="D23" s="725">
        <f>+E!E23</f>
        <v>6401312.0020306474</v>
      </c>
      <c r="E23" s="234"/>
      <c r="F23" s="725">
        <f>E!G23</f>
        <v>5336026.0100546945</v>
      </c>
      <c r="G23" s="298"/>
      <c r="H23" s="796">
        <f>((+H15-H19-H21)*0.05)+((+H15-H19-H21-((+H15-H19-H21)*0.05))*0.21)</f>
        <v>8595598.3259407226</v>
      </c>
      <c r="I23" s="298"/>
      <c r="J23" s="797">
        <f>+F23+H23</f>
        <v>13931624.335995417</v>
      </c>
      <c r="K23" s="103"/>
      <c r="L23" s="641"/>
      <c r="M23" s="103"/>
      <c r="N23" s="103"/>
      <c r="O23" s="365"/>
      <c r="P23" s="364"/>
      <c r="Q23" s="103"/>
      <c r="R23" s="408"/>
      <c r="S23" s="410"/>
      <c r="T23" s="408"/>
      <c r="U23" s="397"/>
      <c r="V23" s="397"/>
      <c r="W23" s="397"/>
      <c r="X23" s="397"/>
    </row>
    <row r="24" spans="1:24">
      <c r="A24" s="104">
        <v>9</v>
      </c>
      <c r="C24" s="98" t="s">
        <v>1079</v>
      </c>
      <c r="D24" s="745">
        <f>SUM(D18:D23)</f>
        <v>125682922.26294622</v>
      </c>
      <c r="F24" s="691">
        <f>SUM(F18:F23)</f>
        <v>161529950.63460481</v>
      </c>
      <c r="G24" s="103"/>
      <c r="H24" s="745">
        <f>SUM(H18:H23)</f>
        <v>8998301.4303867221</v>
      </c>
      <c r="I24" s="103"/>
      <c r="J24" s="745">
        <f>SUM(J18:J23)</f>
        <v>170528252.0649915</v>
      </c>
      <c r="K24" s="103"/>
      <c r="L24" s="416"/>
      <c r="M24" s="103"/>
      <c r="N24" s="103"/>
      <c r="O24" s="365"/>
      <c r="P24" s="364"/>
      <c r="Q24" s="103"/>
      <c r="R24" s="408"/>
      <c r="S24" s="410"/>
      <c r="T24" s="408"/>
      <c r="U24" s="397"/>
      <c r="V24" s="397"/>
      <c r="W24" s="397"/>
      <c r="X24" s="397"/>
    </row>
    <row r="25" spans="1:24">
      <c r="D25" s="103"/>
      <c r="F25" s="103"/>
      <c r="G25" s="103"/>
      <c r="H25" s="103"/>
      <c r="I25" s="103"/>
      <c r="J25" s="103"/>
      <c r="K25" s="103"/>
      <c r="L25" s="409"/>
      <c r="M25" s="103"/>
      <c r="N25" s="103"/>
      <c r="O25" s="364"/>
      <c r="P25" s="364"/>
      <c r="Q25" s="103"/>
      <c r="R25" s="408"/>
      <c r="S25" s="410"/>
      <c r="T25" s="408"/>
      <c r="U25" s="397"/>
      <c r="V25" s="397"/>
      <c r="W25" s="397"/>
      <c r="X25" s="397"/>
    </row>
    <row r="26" spans="1:24" ht="15.75" thickBot="1">
      <c r="A26" s="104">
        <v>10</v>
      </c>
      <c r="C26" s="98" t="s">
        <v>763</v>
      </c>
      <c r="D26" s="798">
        <f>D15-D24</f>
        <v>29122460.117827296</v>
      </c>
      <c r="F26" s="799">
        <f>F15-F24</f>
        <v>26292062.584406286</v>
      </c>
      <c r="G26" s="103"/>
      <c r="H26" s="799">
        <f>H15-H24</f>
        <v>25855697.569613278</v>
      </c>
      <c r="I26" s="103"/>
      <c r="J26" s="798">
        <f>J15-J24</f>
        <v>52147760.154019594</v>
      </c>
      <c r="K26" s="103"/>
      <c r="L26" s="416"/>
      <c r="M26" s="103"/>
      <c r="N26" s="103"/>
      <c r="O26" s="365"/>
      <c r="P26" s="364"/>
      <c r="Q26" s="103"/>
      <c r="R26" s="408"/>
      <c r="S26" s="410"/>
      <c r="T26" s="408"/>
      <c r="U26" s="397"/>
      <c r="V26" s="397"/>
      <c r="W26" s="397"/>
      <c r="X26" s="397"/>
    </row>
    <row r="27" spans="1:24" ht="15.75" thickTop="1">
      <c r="F27" s="103"/>
      <c r="G27" s="103"/>
      <c r="H27" s="103"/>
      <c r="I27" s="103"/>
      <c r="J27" s="103"/>
      <c r="K27" s="103"/>
      <c r="L27" s="409"/>
      <c r="M27" s="103"/>
      <c r="N27" s="103"/>
      <c r="O27" s="103"/>
      <c r="P27" s="103"/>
      <c r="Q27" s="103"/>
      <c r="R27" s="397"/>
      <c r="S27" s="411"/>
      <c r="T27" s="409"/>
      <c r="U27" s="397"/>
      <c r="V27" s="397"/>
      <c r="W27" s="397"/>
      <c r="X27" s="397"/>
    </row>
    <row r="28" spans="1:24">
      <c r="A28" s="104">
        <v>11</v>
      </c>
      <c r="C28" s="98" t="s">
        <v>262</v>
      </c>
      <c r="D28" s="700">
        <f>+'B.1 B'!F27</f>
        <v>625170076.1927433</v>
      </c>
      <c r="E28" s="234"/>
      <c r="F28" s="700">
        <f>+'B.1 F '!F27</f>
        <v>628286275.63234186</v>
      </c>
      <c r="G28" s="298"/>
      <c r="H28" s="298"/>
      <c r="I28" s="298"/>
      <c r="J28" s="800">
        <f>+'B.1 F '!F27</f>
        <v>628286275.63234186</v>
      </c>
      <c r="K28" s="103"/>
      <c r="L28" s="409"/>
      <c r="M28" s="103"/>
      <c r="N28" s="103"/>
      <c r="O28" s="103"/>
      <c r="P28" s="103"/>
      <c r="Q28" s="103"/>
      <c r="R28" s="408"/>
      <c r="S28" s="411"/>
      <c r="T28" s="408"/>
      <c r="U28" s="397"/>
      <c r="V28" s="397"/>
      <c r="W28" s="397"/>
      <c r="X28" s="397"/>
    </row>
    <row r="29" spans="1:24"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397"/>
      <c r="S29" s="397"/>
      <c r="T29" s="409"/>
      <c r="U29" s="397"/>
      <c r="V29" s="397"/>
      <c r="W29" s="397"/>
      <c r="X29" s="397"/>
    </row>
    <row r="30" spans="1:24">
      <c r="A30" s="104">
        <v>12</v>
      </c>
      <c r="C30" s="98" t="s">
        <v>709</v>
      </c>
      <c r="D30" s="372">
        <f>(D26/D28)</f>
        <v>4.6583259862950775E-2</v>
      </c>
      <c r="F30" s="372">
        <f>(F26/F28)</f>
        <v>4.1847265496838218E-2</v>
      </c>
      <c r="H30" s="125"/>
      <c r="J30" s="372">
        <f>(J26/J28)</f>
        <v>8.2999998848510934E-2</v>
      </c>
      <c r="K30" s="103"/>
      <c r="L30" s="103"/>
      <c r="M30" s="103"/>
      <c r="R30" s="401"/>
      <c r="S30" s="397"/>
      <c r="T30" s="401"/>
      <c r="U30" s="397"/>
      <c r="V30" s="401"/>
      <c r="W30" s="401"/>
      <c r="X30" s="401"/>
    </row>
    <row r="31" spans="1:24">
      <c r="F31" s="103"/>
      <c r="H31" s="125"/>
      <c r="J31" s="103"/>
      <c r="K31" s="103"/>
      <c r="L31" s="103"/>
      <c r="M31" s="103"/>
      <c r="R31" s="397"/>
      <c r="S31" s="397"/>
      <c r="T31" s="397"/>
      <c r="U31" s="397"/>
      <c r="V31" s="397"/>
      <c r="W31" s="397"/>
      <c r="X31" s="397"/>
    </row>
    <row r="32" spans="1:24">
      <c r="F32" s="103"/>
      <c r="H32" s="103"/>
      <c r="J32" s="103"/>
      <c r="K32" s="103"/>
      <c r="L32" s="103"/>
      <c r="M32" s="103"/>
      <c r="R32" s="397"/>
      <c r="S32" s="397"/>
      <c r="T32" s="397"/>
      <c r="U32" s="397"/>
      <c r="V32" s="397"/>
      <c r="W32" s="397"/>
      <c r="X32" s="397"/>
    </row>
    <row r="33" spans="3:24">
      <c r="C33" s="366"/>
      <c r="D33" s="367"/>
      <c r="E33" s="367"/>
      <c r="F33" s="367"/>
      <c r="G33" s="367"/>
      <c r="H33" s="367"/>
      <c r="I33" s="367"/>
      <c r="J33" s="367"/>
      <c r="K33" s="103"/>
      <c r="L33" s="103"/>
      <c r="M33" s="103"/>
      <c r="R33" s="397"/>
      <c r="S33" s="397"/>
      <c r="T33" s="397"/>
      <c r="U33" s="397"/>
      <c r="V33" s="397"/>
      <c r="W33" s="397"/>
      <c r="X33" s="397"/>
    </row>
    <row r="34" spans="3:24">
      <c r="F34" s="103"/>
      <c r="K34" s="103"/>
      <c r="L34" s="103"/>
      <c r="M34" s="103"/>
    </row>
    <row r="35" spans="3:24">
      <c r="F35" s="103"/>
      <c r="K35" s="103"/>
      <c r="L35" s="103"/>
      <c r="M35" s="103"/>
    </row>
  </sheetData>
  <mergeCells count="4">
    <mergeCell ref="A1:J1"/>
    <mergeCell ref="A2:J2"/>
    <mergeCell ref="A3:J3"/>
    <mergeCell ref="A4:J4"/>
  </mergeCells>
  <phoneticPr fontId="20" type="noConversion"/>
  <printOptions horizontalCentered="1"/>
  <pageMargins left="0.75" right="0.69" top="0.8" bottom="0.5" header="0.5" footer="0.5"/>
  <pageSetup orientation="landscape" verticalDpi="300" r:id="rId1"/>
  <headerFooter alignWithMargins="0">
    <oddFooter>&amp;RSchedule &amp;A
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W95"/>
  <sheetViews>
    <sheetView view="pageBreakPreview" zoomScale="80" zoomScaleNormal="100" zoomScaleSheetLayoutView="80" workbookViewId="0">
      <selection activeCell="D26" sqref="D26"/>
    </sheetView>
  </sheetViews>
  <sheetFormatPr defaultColWidth="7.109375" defaultRowHeight="15"/>
  <cols>
    <col min="1" max="1" width="3.5546875" style="30" customWidth="1"/>
    <col min="2" max="2" width="2.21875" style="30" customWidth="1"/>
    <col min="3" max="3" width="27.5546875" style="30" customWidth="1"/>
    <col min="4" max="4" width="13.109375" style="30" bestFit="1" customWidth="1"/>
    <col min="5" max="5" width="1.33203125" style="30" customWidth="1"/>
    <col min="6" max="6" width="12.6640625" style="30" customWidth="1"/>
    <col min="7" max="7" width="6.21875" style="30" bestFit="1" customWidth="1"/>
    <col min="8" max="8" width="7.33203125" style="30" customWidth="1"/>
    <col min="9" max="9" width="6" style="30" customWidth="1"/>
    <col min="10" max="10" width="1.44140625" style="30" customWidth="1"/>
    <col min="11" max="11" width="12.88671875" style="30" customWidth="1"/>
    <col min="12" max="12" width="1.44140625" style="30" customWidth="1"/>
    <col min="13" max="13" width="11.5546875" style="30" customWidth="1"/>
    <col min="14" max="14" width="23.77734375" style="30" bestFit="1" customWidth="1"/>
    <col min="15" max="15" width="13.44140625" style="30" customWidth="1"/>
    <col min="16" max="16" width="11.77734375" style="30" bestFit="1" customWidth="1"/>
    <col min="17" max="17" width="2.109375" style="30" customWidth="1"/>
    <col min="18" max="18" width="8.5546875" style="30" customWidth="1"/>
    <col min="19" max="21" width="7.109375" style="30"/>
    <col min="22" max="22" width="8" style="30" bestFit="1" customWidth="1"/>
    <col min="23" max="23" width="9.21875" style="30" customWidth="1"/>
    <col min="24" max="16384" width="7.109375" style="30"/>
  </cols>
  <sheetData>
    <row r="1" spans="1:20" s="1" customFormat="1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</row>
    <row r="2" spans="1:20" s="1" customFormat="1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</row>
    <row r="3" spans="1:20" s="1" customFormat="1">
      <c r="A3" s="1072" t="s">
        <v>378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</row>
    <row r="4" spans="1:20" s="1" customFormat="1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</row>
    <row r="5" spans="1:20" s="1" customFormat="1">
      <c r="A5" s="1057" t="str">
        <f>'Table of Contents'!A4:C4</f>
        <v>Forecasted Test Period:  Twelve Months Ended March 31, 2026</v>
      </c>
      <c r="B5" s="1057"/>
      <c r="C5" s="1057"/>
      <c r="D5" s="1057"/>
      <c r="E5" s="1057"/>
      <c r="F5" s="1057"/>
      <c r="G5" s="1057"/>
      <c r="H5" s="1057"/>
      <c r="I5" s="1057"/>
      <c r="J5" s="1057"/>
      <c r="K5" s="1057"/>
      <c r="L5" s="1057"/>
      <c r="M5" s="1057"/>
      <c r="N5" s="1057"/>
      <c r="O5" s="1057"/>
    </row>
    <row r="6" spans="1:20" s="1" customFormat="1">
      <c r="C6" s="137"/>
    </row>
    <row r="7" spans="1:20" s="1" customFormat="1">
      <c r="A7" s="699" t="str">
        <f>C.1!A7</f>
        <v>Data:__X____Base Period___X___Forecasted Period</v>
      </c>
      <c r="K7" s="138"/>
      <c r="O7" s="84" t="s">
        <v>1341</v>
      </c>
    </row>
    <row r="8" spans="1:20" s="1" customFormat="1">
      <c r="A8" s="699" t="str">
        <f>C.1!A8</f>
        <v>Type of Filing:___X____Original________Updated ________Revised</v>
      </c>
      <c r="K8" s="138"/>
      <c r="O8" s="283" t="s">
        <v>257</v>
      </c>
    </row>
    <row r="9" spans="1:20" s="1" customFormat="1">
      <c r="A9" s="717" t="str">
        <f>C.1!A9</f>
        <v>Workpaper Reference No(s).____________________</v>
      </c>
      <c r="B9" s="6"/>
      <c r="C9" s="6"/>
      <c r="D9" s="6"/>
      <c r="E9" s="6"/>
      <c r="F9" s="6"/>
      <c r="G9" s="6"/>
      <c r="H9" s="6"/>
      <c r="I9" s="6"/>
      <c r="J9" s="6"/>
      <c r="K9" s="139"/>
      <c r="L9" s="6"/>
      <c r="M9" s="28"/>
      <c r="N9" s="28"/>
      <c r="O9" s="801" t="str">
        <f>C.1!J9</f>
        <v>Witness: Waller, Wiebe, Troup</v>
      </c>
    </row>
    <row r="10" spans="1:20">
      <c r="A10" s="1"/>
      <c r="B10" s="1"/>
      <c r="C10" s="1"/>
      <c r="D10" s="2" t="s">
        <v>1086</v>
      </c>
      <c r="E10" s="1"/>
      <c r="F10" s="1"/>
      <c r="G10" s="140"/>
      <c r="H10" s="50" t="s">
        <v>1280</v>
      </c>
      <c r="K10" s="104" t="s">
        <v>41</v>
      </c>
      <c r="O10" s="50" t="s">
        <v>123</v>
      </c>
    </row>
    <row r="11" spans="1:20">
      <c r="A11" s="114" t="s">
        <v>88</v>
      </c>
      <c r="C11" s="104" t="s">
        <v>1089</v>
      </c>
      <c r="D11" s="114" t="s">
        <v>711</v>
      </c>
      <c r="F11" s="50" t="s">
        <v>428</v>
      </c>
      <c r="G11" s="50" t="s">
        <v>426</v>
      </c>
      <c r="H11" s="104" t="s">
        <v>1281</v>
      </c>
      <c r="I11" s="50" t="s">
        <v>426</v>
      </c>
      <c r="K11" s="114" t="s">
        <v>711</v>
      </c>
      <c r="M11" s="50" t="s">
        <v>122</v>
      </c>
      <c r="N11" s="50" t="s">
        <v>426</v>
      </c>
      <c r="O11" s="50" t="s">
        <v>124</v>
      </c>
    </row>
    <row r="12" spans="1:20">
      <c r="A12" s="141" t="s">
        <v>94</v>
      </c>
      <c r="B12" s="106"/>
      <c r="C12" s="141" t="s">
        <v>1088</v>
      </c>
      <c r="D12" s="126" t="s">
        <v>1087</v>
      </c>
      <c r="E12" s="106"/>
      <c r="F12" s="126" t="s">
        <v>951</v>
      </c>
      <c r="G12" s="142" t="s">
        <v>427</v>
      </c>
      <c r="H12" s="126" t="s">
        <v>1282</v>
      </c>
      <c r="I12" s="142" t="s">
        <v>427</v>
      </c>
      <c r="J12" s="106"/>
      <c r="K12" s="126" t="s">
        <v>1087</v>
      </c>
      <c r="L12" s="106"/>
      <c r="M12" s="57" t="s">
        <v>951</v>
      </c>
      <c r="N12" s="142" t="s">
        <v>427</v>
      </c>
      <c r="O12" s="121" t="s">
        <v>952</v>
      </c>
    </row>
    <row r="13" spans="1:20">
      <c r="C13" s="15"/>
      <c r="D13" s="104"/>
      <c r="F13" s="104"/>
      <c r="H13" s="104"/>
      <c r="K13" s="104"/>
      <c r="M13" s="417"/>
      <c r="O13" s="104"/>
    </row>
    <row r="14" spans="1:20">
      <c r="A14" s="143">
        <v>1</v>
      </c>
      <c r="C14" s="98" t="s">
        <v>710</v>
      </c>
      <c r="D14" s="606">
        <f>+'C.2.1 B'!D33</f>
        <v>154805382.38077351</v>
      </c>
      <c r="F14" s="691">
        <f>+K14-D14</f>
        <v>33016630.838237584</v>
      </c>
      <c r="G14" s="114" t="s">
        <v>1026</v>
      </c>
      <c r="H14" s="103"/>
      <c r="K14" s="606">
        <f>'C.2.1 F'!D28</f>
        <v>187822013.2190111</v>
      </c>
      <c r="L14" s="120"/>
      <c r="M14" s="606"/>
      <c r="N14" s="114"/>
      <c r="O14" s="691">
        <f>+K14+M14</f>
        <v>187822013.2190111</v>
      </c>
      <c r="P14" s="120"/>
    </row>
    <row r="15" spans="1:20">
      <c r="A15" s="127">
        <v>2</v>
      </c>
      <c r="C15" s="140"/>
      <c r="D15" s="120"/>
      <c r="F15" s="120"/>
      <c r="G15" s="120"/>
      <c r="H15" s="120"/>
      <c r="K15" s="120"/>
      <c r="L15" s="120"/>
      <c r="N15" s="120"/>
      <c r="P15" s="120"/>
      <c r="T15" s="650"/>
    </row>
    <row r="16" spans="1:20">
      <c r="A16" s="143">
        <v>3</v>
      </c>
      <c r="C16" s="98" t="s">
        <v>954</v>
      </c>
      <c r="P16" s="120"/>
      <c r="Q16" s="125"/>
      <c r="S16" s="125"/>
      <c r="T16" s="120"/>
    </row>
    <row r="17" spans="1:23">
      <c r="A17" s="127">
        <v>4</v>
      </c>
      <c r="C17" s="136" t="s">
        <v>23</v>
      </c>
      <c r="D17" s="802">
        <f>+'C.2.1 B'!D105</f>
        <v>52986727.226981685</v>
      </c>
      <c r="F17" s="794">
        <f t="shared" ref="F17:F28" si="0">+K17-D17-H17</f>
        <v>34654170.844917715</v>
      </c>
      <c r="G17" s="114" t="s">
        <v>1026</v>
      </c>
      <c r="H17" s="103"/>
      <c r="K17" s="802">
        <f>'C.2.1 F'!D100</f>
        <v>87640898.071899399</v>
      </c>
      <c r="L17" s="120"/>
      <c r="M17" s="176">
        <v>0</v>
      </c>
      <c r="N17" s="120"/>
      <c r="O17" s="794">
        <f t="shared" ref="O17:O22" si="1">+K17+M17</f>
        <v>87640898.071899399</v>
      </c>
      <c r="P17" s="120"/>
      <c r="Q17" s="125"/>
      <c r="S17" s="125"/>
      <c r="T17" s="120"/>
    </row>
    <row r="18" spans="1:23">
      <c r="A18" s="143">
        <v>5</v>
      </c>
      <c r="C18" s="136" t="s">
        <v>608</v>
      </c>
      <c r="D18" s="803">
        <f>+'C.2.1 B'!D39+'C.2.1 B'!D43</f>
        <v>0</v>
      </c>
      <c r="F18" s="794">
        <f t="shared" si="0"/>
        <v>0</v>
      </c>
      <c r="G18" s="114" t="s">
        <v>1026</v>
      </c>
      <c r="H18" s="103"/>
      <c r="K18" s="802">
        <f>'C.2.1 F'!D34+'C.2.1 F'!D38</f>
        <v>0</v>
      </c>
      <c r="L18" s="103"/>
      <c r="M18" s="176">
        <v>0</v>
      </c>
      <c r="N18" s="103"/>
      <c r="O18" s="794">
        <f>+K18+M18</f>
        <v>0</v>
      </c>
      <c r="P18" s="120"/>
    </row>
    <row r="19" spans="1:23">
      <c r="A19" s="127">
        <v>6</v>
      </c>
      <c r="C19" s="136" t="s">
        <v>609</v>
      </c>
      <c r="D19" s="803">
        <f>+'C.2.1 B'!D55+'C.2.1 B'!D65</f>
        <v>438181.73554917524</v>
      </c>
      <c r="F19" s="794">
        <f t="shared" si="0"/>
        <v>48156.597989128437</v>
      </c>
      <c r="G19" s="114" t="s">
        <v>1026</v>
      </c>
      <c r="H19" s="103"/>
      <c r="K19" s="802">
        <f>'C.2.1 F'!D50+'C.2.1 F'!D60</f>
        <v>486338.33353830368</v>
      </c>
      <c r="L19" s="103"/>
      <c r="M19" s="176">
        <v>0</v>
      </c>
      <c r="N19" s="103"/>
      <c r="O19" s="794">
        <f>+K19+M19</f>
        <v>486338.33353830368</v>
      </c>
      <c r="P19" s="120"/>
    </row>
    <row r="20" spans="1:23">
      <c r="A20" s="143">
        <v>7</v>
      </c>
      <c r="C20" s="136" t="s">
        <v>624</v>
      </c>
      <c r="D20" s="803">
        <f>+'C.2.1 B'!D75+'C.2.1 B'!D83</f>
        <v>163543.80539623208</v>
      </c>
      <c r="F20" s="794">
        <f t="shared" si="0"/>
        <v>17294.628841657337</v>
      </c>
      <c r="G20" s="114" t="s">
        <v>1026</v>
      </c>
      <c r="H20" s="103"/>
      <c r="K20" s="802">
        <f>'C.2.1 F'!D70+'C.2.1 F'!D78</f>
        <v>180838.43423788942</v>
      </c>
      <c r="L20" s="103"/>
      <c r="M20" s="176">
        <v>0</v>
      </c>
      <c r="N20" s="103"/>
      <c r="O20" s="794">
        <f>+K20+M20</f>
        <v>180838.43423788942</v>
      </c>
      <c r="P20" s="120"/>
      <c r="R20" s="329"/>
      <c r="S20" s="329"/>
      <c r="T20" s="329"/>
      <c r="U20" s="329"/>
      <c r="V20" s="329"/>
      <c r="W20" s="329"/>
    </row>
    <row r="21" spans="1:23">
      <c r="A21" s="127">
        <v>8</v>
      </c>
      <c r="C21" s="144" t="s">
        <v>645</v>
      </c>
      <c r="D21" s="803">
        <f>+'C.2.1 B'!D120+'C.2.1 B'!D133</f>
        <v>11872518.713488022</v>
      </c>
      <c r="F21" s="794">
        <f t="shared" si="0"/>
        <v>-126287.48273345456</v>
      </c>
      <c r="G21" s="114" t="s">
        <v>1026</v>
      </c>
      <c r="H21" s="103"/>
      <c r="I21" s="50" t="s">
        <v>746</v>
      </c>
      <c r="K21" s="804">
        <f>'C.2.1 F'!D115+'C.2.1 F'!D128</f>
        <v>11746231.230754567</v>
      </c>
      <c r="L21" s="103"/>
      <c r="M21" s="700">
        <v>0</v>
      </c>
      <c r="N21" s="104"/>
      <c r="O21" s="794">
        <f t="shared" si="1"/>
        <v>11746231.230754567</v>
      </c>
      <c r="P21" s="120"/>
      <c r="R21" s="329"/>
      <c r="S21" s="329"/>
      <c r="T21" s="329"/>
      <c r="U21" s="329"/>
      <c r="V21" s="329"/>
      <c r="W21" s="329"/>
    </row>
    <row r="22" spans="1:23">
      <c r="A22" s="143">
        <v>9</v>
      </c>
      <c r="C22" s="144" t="s">
        <v>68</v>
      </c>
      <c r="D22" s="803">
        <f>+'C.2.1 B'!D140</f>
        <v>3596930.8615887128</v>
      </c>
      <c r="F22" s="794">
        <f t="shared" si="0"/>
        <v>-1062307.2481336538</v>
      </c>
      <c r="G22" s="114" t="s">
        <v>1026</v>
      </c>
      <c r="H22" s="103"/>
      <c r="I22" s="50" t="s">
        <v>746</v>
      </c>
      <c r="K22" s="802">
        <f>'C.2.1 F'!D135</f>
        <v>2534623.613455059</v>
      </c>
      <c r="L22" s="103"/>
      <c r="M22" s="176">
        <v>0</v>
      </c>
      <c r="N22" s="103"/>
      <c r="O22" s="794">
        <f t="shared" si="1"/>
        <v>2534623.613455059</v>
      </c>
      <c r="P22" s="120"/>
      <c r="R22" s="329"/>
      <c r="S22" s="329"/>
      <c r="T22" s="370"/>
      <c r="U22" s="329"/>
      <c r="V22" s="329"/>
      <c r="W22" s="329"/>
    </row>
    <row r="23" spans="1:23">
      <c r="A23" s="127">
        <v>10</v>
      </c>
      <c r="C23" s="136" t="s">
        <v>69</v>
      </c>
      <c r="D23" s="802">
        <f>+'C.2.1 B'!D147</f>
        <v>198663.24391409353</v>
      </c>
      <c r="F23" s="794">
        <f t="shared" si="0"/>
        <v>15797.575774101919</v>
      </c>
      <c r="G23" s="114" t="s">
        <v>1026</v>
      </c>
      <c r="H23" s="103"/>
      <c r="I23" s="50" t="s">
        <v>746</v>
      </c>
      <c r="K23" s="802">
        <f>'C.2.1 F'!D142</f>
        <v>214460.81968819545</v>
      </c>
      <c r="L23" s="120"/>
      <c r="M23" s="176">
        <v>0</v>
      </c>
      <c r="N23" s="104"/>
      <c r="O23" s="794">
        <f>+K23+M23</f>
        <v>214460.81968819545</v>
      </c>
      <c r="P23" s="120"/>
      <c r="R23" s="329"/>
      <c r="S23" s="329"/>
      <c r="T23" s="371"/>
      <c r="U23" s="329"/>
      <c r="V23" s="329"/>
      <c r="W23" s="329"/>
    </row>
    <row r="24" spans="1:23">
      <c r="A24" s="143">
        <v>11</v>
      </c>
      <c r="C24" s="144" t="s">
        <v>468</v>
      </c>
      <c r="D24" s="802">
        <f>+'C.2.1 B'!D154</f>
        <v>304171.67164787912</v>
      </c>
      <c r="F24" s="794">
        <f t="shared" si="0"/>
        <v>-31722.55581537442</v>
      </c>
      <c r="G24" s="114" t="s">
        <v>1026</v>
      </c>
      <c r="H24" s="103"/>
      <c r="I24" s="50" t="s">
        <v>746</v>
      </c>
      <c r="K24" s="802">
        <f>'C.2.1 F'!D149</f>
        <v>272449.1158325047</v>
      </c>
      <c r="L24" s="120"/>
      <c r="M24" s="700">
        <f>-F.4!K29</f>
        <v>-187839.11485526405</v>
      </c>
      <c r="N24" s="104" t="s">
        <v>526</v>
      </c>
      <c r="O24" s="794">
        <f>+K24+M24</f>
        <v>84610.000977240648</v>
      </c>
      <c r="P24" s="120"/>
      <c r="R24" s="329"/>
      <c r="S24" s="329"/>
      <c r="T24" s="371"/>
      <c r="U24" s="329"/>
      <c r="V24" s="329"/>
      <c r="W24" s="329"/>
    </row>
    <row r="25" spans="1:23">
      <c r="A25" s="127">
        <v>12</v>
      </c>
      <c r="C25" s="144" t="s">
        <v>469</v>
      </c>
      <c r="D25" s="802">
        <f>+'C.2.1 B'!D168+'C.2.1 B'!D172</f>
        <v>16962916.74846578</v>
      </c>
      <c r="F25" s="794">
        <f t="shared" si="0"/>
        <v>1976599.9638865441</v>
      </c>
      <c r="G25" s="114" t="s">
        <v>1026</v>
      </c>
      <c r="H25" s="103"/>
      <c r="I25" s="50" t="s">
        <v>746</v>
      </c>
      <c r="K25" s="802">
        <f>'C.2.1 F'!D163+'C.2.1 F'!D167</f>
        <v>18939516.712352324</v>
      </c>
      <c r="L25" s="120"/>
      <c r="M25" s="700">
        <f>F.6!E31-F.8!I24-F.10!F37-F.11!F19+F.1!H113-F.9!F19</f>
        <v>-1393191.1695781229</v>
      </c>
      <c r="N25" s="104" t="s">
        <v>1569</v>
      </c>
      <c r="O25" s="794">
        <f>+K25+M25</f>
        <v>17546325.5427742</v>
      </c>
      <c r="P25" s="679"/>
      <c r="Q25" s="125"/>
      <c r="R25" s="329"/>
      <c r="S25" s="329"/>
      <c r="T25" s="371"/>
      <c r="U25" s="329"/>
      <c r="V25" s="329"/>
      <c r="W25" s="329"/>
    </row>
    <row r="26" spans="1:23">
      <c r="A26" s="143">
        <v>13</v>
      </c>
      <c r="C26" s="144" t="s">
        <v>86</v>
      </c>
      <c r="D26" s="802">
        <f>+'C.2.1 B'!D176</f>
        <v>19915761.448384304</v>
      </c>
      <c r="F26" s="794">
        <f t="shared" si="0"/>
        <v>2112613.4469721727</v>
      </c>
      <c r="G26" s="114" t="s">
        <v>1026</v>
      </c>
      <c r="H26" s="103"/>
      <c r="K26" s="802">
        <f>'C.2.1 F'!D171</f>
        <v>22028374.895356476</v>
      </c>
      <c r="L26" s="120"/>
      <c r="M26" s="794">
        <f>O26-K26</f>
        <v>0</v>
      </c>
      <c r="N26" s="120"/>
      <c r="O26" s="802">
        <f>'C.2.1 F'!D171</f>
        <v>22028374.895356476</v>
      </c>
      <c r="P26" s="120"/>
      <c r="Q26" s="125"/>
      <c r="R26" s="329"/>
      <c r="S26" s="372"/>
      <c r="T26" s="371"/>
      <c r="U26" s="329"/>
      <c r="V26" s="329"/>
      <c r="W26" s="329"/>
    </row>
    <row r="27" spans="1:23">
      <c r="A27" s="127">
        <v>14</v>
      </c>
      <c r="C27" s="144" t="s">
        <v>565</v>
      </c>
      <c r="D27" s="802">
        <f>+'C.2.1 B'!D178</f>
        <v>12842194.805499708</v>
      </c>
      <c r="F27" s="795">
        <f t="shared" si="0"/>
        <v>961347.76760993712</v>
      </c>
      <c r="G27" s="114" t="s">
        <v>1026</v>
      </c>
      <c r="H27" s="103"/>
      <c r="K27" s="802">
        <f>'C.2.1 F'!D172</f>
        <v>13803542.573109645</v>
      </c>
      <c r="L27" s="103"/>
      <c r="M27" s="700">
        <f>-F.10!F39</f>
        <v>-72318.891240859972</v>
      </c>
      <c r="N27" s="104" t="s">
        <v>1294</v>
      </c>
      <c r="O27" s="795">
        <f>+K27+M27</f>
        <v>13731223.681868786</v>
      </c>
      <c r="P27" s="120"/>
      <c r="Q27" s="125"/>
      <c r="S27" s="125"/>
      <c r="T27" s="103"/>
    </row>
    <row r="28" spans="1:23">
      <c r="A28" s="143">
        <v>15</v>
      </c>
      <c r="C28" s="144" t="s">
        <v>540</v>
      </c>
      <c r="D28" s="802">
        <f>+'C.2.1 B'!D179</f>
        <v>6401312.0020306474</v>
      </c>
      <c r="F28" s="795">
        <f t="shared" si="0"/>
        <v>-1065285.9919759538</v>
      </c>
      <c r="H28" s="103"/>
      <c r="K28" s="802">
        <f>'C.2.1 F'!D173</f>
        <v>5336026.0100546936</v>
      </c>
      <c r="L28" s="120"/>
      <c r="M28" s="805">
        <f>+O28-K28</f>
        <v>0</v>
      </c>
      <c r="N28" s="114"/>
      <c r="O28" s="802">
        <f>+E!G23</f>
        <v>5336026.0100546945</v>
      </c>
      <c r="P28" s="120"/>
      <c r="Q28" s="125"/>
      <c r="S28" s="125"/>
      <c r="T28" s="120"/>
    </row>
    <row r="29" spans="1:23">
      <c r="A29" s="127">
        <v>16</v>
      </c>
      <c r="C29" s="113"/>
      <c r="D29" s="107"/>
      <c r="F29" s="146"/>
      <c r="H29" s="147"/>
      <c r="K29" s="107"/>
      <c r="L29" s="103"/>
      <c r="M29" s="105"/>
      <c r="N29" s="103"/>
      <c r="O29" s="105"/>
      <c r="P29" s="120"/>
    </row>
    <row r="30" spans="1:23">
      <c r="A30" s="143">
        <v>17</v>
      </c>
      <c r="C30" s="120"/>
      <c r="D30" s="103"/>
      <c r="F30" s="103"/>
      <c r="H30" s="103"/>
      <c r="K30" s="103"/>
      <c r="L30" s="103"/>
      <c r="N30" s="103"/>
      <c r="P30" s="120"/>
      <c r="T30" s="145"/>
    </row>
    <row r="31" spans="1:23">
      <c r="A31" s="127">
        <v>18</v>
      </c>
      <c r="C31" s="98" t="s">
        <v>1079</v>
      </c>
      <c r="D31" s="745">
        <f>SUM(D17:D29)</f>
        <v>125682922.26294622</v>
      </c>
      <c r="F31" s="745">
        <f>SUM(F17:F29)</f>
        <v>37500377.547332831</v>
      </c>
      <c r="H31" s="745">
        <f>SUM(H21:H29)</f>
        <v>0</v>
      </c>
      <c r="K31" s="745">
        <f>SUM(K17:K29)</f>
        <v>163183299.8102791</v>
      </c>
      <c r="L31" s="103"/>
      <c r="M31" s="745">
        <f>SUM(M17:M29)</f>
        <v>-1653349.1756742469</v>
      </c>
      <c r="N31" s="103"/>
      <c r="O31" s="745">
        <f>SUM(O17:O29)</f>
        <v>161529950.63460484</v>
      </c>
      <c r="P31" s="120"/>
    </row>
    <row r="32" spans="1:23">
      <c r="A32" s="143">
        <v>19</v>
      </c>
      <c r="D32" s="120"/>
      <c r="F32" s="120"/>
      <c r="H32" s="120"/>
      <c r="K32" s="120"/>
      <c r="L32" s="120"/>
      <c r="M32" s="120"/>
      <c r="N32" s="120"/>
      <c r="O32" s="120"/>
      <c r="P32" s="120"/>
    </row>
    <row r="33" spans="1:21" ht="15.75" thickBot="1">
      <c r="A33" s="127">
        <v>20</v>
      </c>
      <c r="C33" s="98" t="s">
        <v>1149</v>
      </c>
      <c r="D33" s="798">
        <f>D14-D31</f>
        <v>29122460.117827296</v>
      </c>
      <c r="F33" s="798">
        <f>F14-F31</f>
        <v>-4483746.7090952471</v>
      </c>
      <c r="H33" s="798">
        <f>H14-H31</f>
        <v>0</v>
      </c>
      <c r="K33" s="798">
        <f>K14-K31</f>
        <v>24638713.408731997</v>
      </c>
      <c r="L33" s="103"/>
      <c r="M33" s="798">
        <f>M14-M31</f>
        <v>1653349.1756742469</v>
      </c>
      <c r="N33" s="103"/>
      <c r="O33" s="798">
        <f>O14-O31</f>
        <v>26292062.584406257</v>
      </c>
      <c r="P33" s="120"/>
      <c r="Q33" s="125"/>
      <c r="S33" s="125"/>
      <c r="T33" s="103"/>
      <c r="U33" s="103"/>
    </row>
    <row r="34" spans="1:21" ht="15.75" thickTop="1">
      <c r="A34" s="127"/>
      <c r="D34" s="103"/>
      <c r="F34" s="103"/>
      <c r="G34" s="103"/>
      <c r="H34" s="103"/>
      <c r="K34" s="104"/>
      <c r="L34" s="103"/>
      <c r="M34" s="104"/>
      <c r="N34" s="103"/>
      <c r="O34" s="103"/>
      <c r="P34" s="103"/>
      <c r="Q34" s="125"/>
      <c r="S34" s="125"/>
      <c r="T34" s="103"/>
      <c r="U34" s="103"/>
    </row>
    <row r="35" spans="1:21">
      <c r="A35" s="143"/>
      <c r="D35" s="148"/>
      <c r="F35" s="103"/>
      <c r="G35" s="103"/>
      <c r="H35" s="103"/>
      <c r="K35" s="148"/>
      <c r="L35" s="103"/>
      <c r="M35" s="125"/>
      <c r="N35" s="103"/>
      <c r="O35" s="148"/>
      <c r="P35" s="103"/>
    </row>
    <row r="36" spans="1:21">
      <c r="A36" s="143"/>
      <c r="C36" s="418"/>
      <c r="D36" s="364"/>
      <c r="E36" s="363"/>
      <c r="F36" s="364"/>
      <c r="G36" s="364"/>
      <c r="H36" s="364"/>
      <c r="I36" s="363"/>
      <c r="J36" s="363"/>
      <c r="K36" s="364"/>
      <c r="L36" s="103"/>
      <c r="M36" s="176"/>
      <c r="N36" s="103"/>
      <c r="O36" s="148"/>
      <c r="P36" s="103"/>
    </row>
    <row r="37" spans="1:21">
      <c r="A37" s="143"/>
      <c r="C37" s="363"/>
      <c r="D37" s="419"/>
      <c r="E37" s="363"/>
      <c r="F37" s="364"/>
      <c r="G37" s="364"/>
      <c r="H37" s="364"/>
      <c r="I37" s="363"/>
      <c r="J37" s="363"/>
      <c r="K37" s="419"/>
      <c r="L37" s="103"/>
      <c r="M37" s="125"/>
      <c r="N37" s="103"/>
      <c r="O37" s="148"/>
      <c r="P37" s="103"/>
    </row>
    <row r="38" spans="1:21" s="150" customFormat="1">
      <c r="A38" s="127"/>
      <c r="B38" s="149"/>
      <c r="C38" s="418"/>
      <c r="D38" s="364"/>
      <c r="E38" s="363"/>
      <c r="F38" s="364"/>
      <c r="G38" s="364"/>
      <c r="H38" s="364"/>
      <c r="I38" s="363"/>
      <c r="J38" s="363"/>
      <c r="K38" s="364"/>
      <c r="L38" s="151"/>
      <c r="N38" s="151"/>
      <c r="P38" s="151"/>
    </row>
    <row r="39" spans="1:21" s="150" customFormat="1">
      <c r="A39" s="152"/>
      <c r="B39" s="153"/>
      <c r="C39" s="418"/>
      <c r="D39" s="364"/>
      <c r="E39" s="363"/>
      <c r="F39" s="364"/>
      <c r="G39" s="364"/>
      <c r="H39" s="364"/>
      <c r="I39" s="363"/>
      <c r="J39" s="363"/>
      <c r="K39" s="364"/>
      <c r="L39" s="151"/>
      <c r="M39" s="154"/>
      <c r="N39" s="151"/>
      <c r="O39" s="154"/>
      <c r="P39" s="151"/>
      <c r="T39" s="155"/>
    </row>
    <row r="40" spans="1:21" s="150" customFormat="1">
      <c r="D40" s="151"/>
      <c r="F40" s="151"/>
      <c r="G40" s="151"/>
      <c r="K40" s="151"/>
      <c r="L40" s="151"/>
      <c r="M40" s="364"/>
      <c r="N40" s="363"/>
    </row>
    <row r="41" spans="1:21">
      <c r="A41" s="150"/>
      <c r="B41" s="150"/>
      <c r="C41" s="150"/>
      <c r="D41" s="103"/>
      <c r="F41" s="103"/>
      <c r="G41" s="103"/>
      <c r="H41" s="125"/>
      <c r="K41" s="103"/>
      <c r="L41" s="103"/>
      <c r="M41" s="364"/>
      <c r="N41" s="364"/>
      <c r="O41" s="125"/>
      <c r="P41" s="103"/>
    </row>
    <row r="42" spans="1:21">
      <c r="A42" s="120"/>
      <c r="D42" s="103"/>
      <c r="F42" s="103"/>
      <c r="G42" s="103"/>
      <c r="K42" s="103"/>
      <c r="L42" s="103"/>
      <c r="M42" s="364"/>
      <c r="N42" s="364"/>
      <c r="P42" s="103"/>
      <c r="Q42" s="125"/>
      <c r="S42" s="125"/>
      <c r="T42" s="103"/>
      <c r="U42" s="103"/>
    </row>
    <row r="43" spans="1:21">
      <c r="A43" s="120"/>
      <c r="D43" s="103"/>
      <c r="F43" s="103"/>
      <c r="G43" s="103"/>
      <c r="H43" s="125"/>
      <c r="K43" s="103"/>
      <c r="L43" s="103"/>
      <c r="N43" s="364"/>
      <c r="O43" s="125"/>
      <c r="P43" s="103"/>
      <c r="Q43" s="125"/>
      <c r="S43" s="125"/>
      <c r="T43" s="103"/>
      <c r="U43" s="103"/>
    </row>
    <row r="44" spans="1:21">
      <c r="A44" s="120"/>
      <c r="C44" s="120"/>
      <c r="D44" s="103"/>
      <c r="F44" s="103"/>
      <c r="G44" s="103"/>
      <c r="M44" s="364"/>
      <c r="N44" s="363"/>
    </row>
    <row r="45" spans="1:21">
      <c r="A45" s="120"/>
      <c r="C45" s="120"/>
      <c r="D45" s="103"/>
      <c r="F45" s="103"/>
      <c r="G45" s="103"/>
    </row>
    <row r="46" spans="1:21">
      <c r="D46" s="103"/>
      <c r="F46" s="103"/>
      <c r="G46" s="103"/>
      <c r="K46" s="145"/>
      <c r="L46" s="145"/>
      <c r="N46" s="145"/>
      <c r="P46" s="145"/>
      <c r="T46" s="145"/>
    </row>
    <row r="47" spans="1:21">
      <c r="A47" s="120"/>
      <c r="D47" s="103"/>
      <c r="F47" s="103"/>
      <c r="G47" s="103"/>
    </row>
    <row r="48" spans="1:21">
      <c r="C48" s="140"/>
      <c r="E48" s="103"/>
      <c r="G48" s="103"/>
    </row>
    <row r="49" spans="1:23">
      <c r="A49" s="120"/>
      <c r="C49" s="120"/>
      <c r="E49" s="103"/>
      <c r="F49" s="125"/>
      <c r="G49" s="103"/>
      <c r="H49" s="125"/>
      <c r="K49" s="125"/>
      <c r="L49" s="120"/>
      <c r="M49" s="125"/>
      <c r="N49" s="120"/>
      <c r="O49" s="125"/>
      <c r="P49" s="120"/>
      <c r="Q49" s="125"/>
      <c r="S49" s="125"/>
      <c r="T49" s="103"/>
      <c r="V49" s="120"/>
    </row>
    <row r="50" spans="1:23">
      <c r="C50" s="120"/>
      <c r="D50" s="125"/>
      <c r="E50" s="103"/>
      <c r="F50" s="125"/>
      <c r="G50" s="103"/>
      <c r="H50" s="125"/>
      <c r="K50" s="125"/>
      <c r="L50" s="120"/>
      <c r="M50" s="125"/>
      <c r="N50" s="120"/>
      <c r="O50" s="125"/>
      <c r="P50" s="120"/>
      <c r="Q50" s="125"/>
      <c r="S50" s="125"/>
      <c r="T50" s="103"/>
    </row>
    <row r="51" spans="1:23">
      <c r="D51" s="125"/>
      <c r="V51" s="120"/>
    </row>
    <row r="52" spans="1:23">
      <c r="V52" s="120"/>
      <c r="W52" s="103"/>
    </row>
    <row r="53" spans="1:23">
      <c r="V53" s="120"/>
      <c r="W53" s="103"/>
    </row>
    <row r="56" spans="1:23">
      <c r="V56" s="145"/>
    </row>
    <row r="58" spans="1:23">
      <c r="S58" s="103"/>
      <c r="T58" s="103"/>
    </row>
    <row r="59" spans="1:23">
      <c r="E59" s="120"/>
      <c r="R59" s="120"/>
      <c r="S59" s="103"/>
      <c r="T59" s="103"/>
    </row>
    <row r="62" spans="1:23">
      <c r="R62" s="145"/>
    </row>
    <row r="63" spans="1:23">
      <c r="R63" s="120"/>
    </row>
    <row r="64" spans="1:23">
      <c r="R64" s="120"/>
    </row>
    <row r="65" spans="1:18">
      <c r="R65" s="120"/>
    </row>
    <row r="67" spans="1:18">
      <c r="A67" s="120"/>
    </row>
    <row r="68" spans="1:18">
      <c r="A68" s="120"/>
      <c r="C68" s="120"/>
      <c r="G68" s="145"/>
      <c r="I68" s="145"/>
      <c r="J68" s="145"/>
      <c r="L68" s="145"/>
      <c r="N68" s="145"/>
      <c r="P68" s="145"/>
      <c r="R68" s="145"/>
    </row>
    <row r="69" spans="1:18">
      <c r="G69" s="120"/>
      <c r="R69" s="120"/>
    </row>
    <row r="70" spans="1:18">
      <c r="A70" s="120"/>
    </row>
    <row r="71" spans="1:18">
      <c r="A71" s="120"/>
    </row>
    <row r="72" spans="1:18">
      <c r="A72" s="120"/>
    </row>
    <row r="73" spans="1:18">
      <c r="A73" s="120"/>
    </row>
    <row r="75" spans="1:18">
      <c r="A75" s="120"/>
    </row>
    <row r="76" spans="1:18">
      <c r="A76" s="120"/>
    </row>
    <row r="79" spans="1:18">
      <c r="A79" s="120"/>
    </row>
    <row r="80" spans="1:18">
      <c r="C80" s="120"/>
    </row>
    <row r="86" spans="7:18">
      <c r="G86" s="120"/>
      <c r="I86" s="120"/>
      <c r="J86" s="120"/>
      <c r="L86" s="120"/>
      <c r="N86" s="120"/>
      <c r="P86" s="120"/>
      <c r="R86" s="120"/>
    </row>
    <row r="87" spans="7:18">
      <c r="G87" s="120"/>
      <c r="I87" s="120"/>
      <c r="J87" s="120"/>
      <c r="L87" s="120"/>
      <c r="N87" s="120"/>
      <c r="P87" s="120"/>
      <c r="R87" s="120"/>
    </row>
    <row r="88" spans="7:18">
      <c r="G88" s="120"/>
      <c r="I88" s="120"/>
      <c r="J88" s="120"/>
      <c r="L88" s="120"/>
      <c r="N88" s="120"/>
      <c r="P88" s="120"/>
      <c r="R88" s="120"/>
    </row>
    <row r="89" spans="7:18">
      <c r="G89" s="120"/>
      <c r="I89" s="120"/>
      <c r="J89" s="120"/>
      <c r="L89" s="120"/>
      <c r="N89" s="120"/>
      <c r="P89" s="120"/>
      <c r="R89" s="120"/>
    </row>
    <row r="90" spans="7:18">
      <c r="G90" s="120"/>
      <c r="I90" s="120"/>
      <c r="J90" s="120"/>
      <c r="L90" s="120"/>
      <c r="N90" s="120"/>
      <c r="P90" s="120"/>
      <c r="R90" s="120"/>
    </row>
    <row r="91" spans="7:18">
      <c r="G91" s="120"/>
      <c r="I91" s="120"/>
      <c r="J91" s="120"/>
      <c r="L91" s="120"/>
      <c r="N91" s="120"/>
      <c r="P91" s="120"/>
      <c r="R91" s="120"/>
    </row>
    <row r="92" spans="7:18">
      <c r="G92" s="120"/>
      <c r="I92" s="120"/>
      <c r="J92" s="120"/>
      <c r="L92" s="120"/>
      <c r="N92" s="120"/>
      <c r="P92" s="120"/>
      <c r="R92" s="120"/>
    </row>
    <row r="93" spans="7:18">
      <c r="G93" s="120"/>
      <c r="I93" s="120"/>
      <c r="J93" s="120"/>
      <c r="L93" s="120"/>
      <c r="N93" s="120"/>
      <c r="P93" s="120"/>
      <c r="R93" s="120"/>
    </row>
    <row r="94" spans="7:18">
      <c r="G94" s="120"/>
      <c r="I94" s="120"/>
      <c r="J94" s="120"/>
      <c r="L94" s="120"/>
      <c r="N94" s="120"/>
      <c r="P94" s="120"/>
      <c r="R94" s="120"/>
    </row>
    <row r="95" spans="7:18">
      <c r="G95" s="120"/>
      <c r="I95" s="120"/>
      <c r="J95" s="120"/>
      <c r="L95" s="120"/>
      <c r="N95" s="120"/>
      <c r="P95" s="120"/>
      <c r="R95" s="120"/>
    </row>
  </sheetData>
  <mergeCells count="5">
    <mergeCell ref="A5:O5"/>
    <mergeCell ref="A1:O1"/>
    <mergeCell ref="A2:O2"/>
    <mergeCell ref="A3:O3"/>
    <mergeCell ref="A4:O4"/>
  </mergeCells>
  <phoneticPr fontId="20" type="noConversion"/>
  <printOptions horizontalCentered="1"/>
  <pageMargins left="0.38" right="0.5" top="0.75" bottom="0.5" header="0.5" footer="0.5"/>
  <pageSetup scale="74" orientation="landscape" verticalDpi="300" r:id="rId1"/>
  <headerFooter alignWithMargins="0">
    <oddFooter>&amp;RSchedule &amp;A
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2D050"/>
  </sheetPr>
  <dimension ref="A1:H192"/>
  <sheetViews>
    <sheetView view="pageBreakPreview" topLeftCell="A151" zoomScale="80" zoomScaleNormal="100" zoomScaleSheetLayoutView="80" workbookViewId="0">
      <selection activeCell="D176" sqref="D176"/>
    </sheetView>
  </sheetViews>
  <sheetFormatPr defaultColWidth="8.44140625" defaultRowHeight="15.75" customHeight="1"/>
  <cols>
    <col min="1" max="1" width="4.77734375" style="45" customWidth="1"/>
    <col min="2" max="2" width="11.88671875" style="45" customWidth="1"/>
    <col min="3" max="3" width="49.109375" style="45" customWidth="1"/>
    <col min="4" max="4" width="15.5546875" style="45" customWidth="1"/>
    <col min="5" max="5" width="7.21875" style="45" customWidth="1"/>
    <col min="6" max="6" width="11.44140625" style="45" bestFit="1" customWidth="1"/>
    <col min="7" max="7" width="10" style="45" bestFit="1" customWidth="1"/>
    <col min="8" max="8" width="10.21875" style="45" customWidth="1"/>
    <col min="9" max="16384" width="8.44140625" style="45"/>
  </cols>
  <sheetData>
    <row r="1" spans="1:7" ht="15.75" customHeight="1">
      <c r="A1" s="1084" t="str">
        <f>'Table of Contents'!A1:C1</f>
        <v>Atmos Energy Corporation, Kentucky/Mid-States Division</v>
      </c>
      <c r="B1" s="1084"/>
      <c r="C1" s="1084"/>
      <c r="D1" s="1084"/>
    </row>
    <row r="2" spans="1:7" ht="15.75" customHeight="1">
      <c r="A2" s="1084" t="str">
        <f>'Table of Contents'!A2:C2</f>
        <v xml:space="preserve">Kentucky Jurisdiction Case No. 2024-00276 </v>
      </c>
      <c r="B2" s="1084"/>
      <c r="C2" s="1084"/>
      <c r="D2" s="1084"/>
    </row>
    <row r="3" spans="1:7" ht="15.75" customHeight="1">
      <c r="A3" s="1085" t="s">
        <v>1096</v>
      </c>
      <c r="B3" s="1085"/>
      <c r="C3" s="1085"/>
      <c r="D3" s="1085"/>
    </row>
    <row r="4" spans="1:7" ht="15.75" customHeight="1">
      <c r="A4" s="1084" t="str">
        <f>'Table of Contents'!A3:C3</f>
        <v>Base Period: Twelve Months Ended December 31, 2024</v>
      </c>
      <c r="B4" s="1084"/>
      <c r="C4" s="1084"/>
      <c r="D4" s="1084"/>
    </row>
    <row r="5" spans="1:7" ht="15.75" customHeight="1">
      <c r="A5" s="47"/>
      <c r="B5" s="47"/>
      <c r="C5" s="109"/>
      <c r="D5" s="109"/>
    </row>
    <row r="6" spans="1:7" ht="15.75" customHeight="1">
      <c r="A6" s="48" t="s">
        <v>52</v>
      </c>
      <c r="D6" s="286" t="s">
        <v>1342</v>
      </c>
    </row>
    <row r="7" spans="1:7" ht="15.75" customHeight="1">
      <c r="A7" s="4" t="s">
        <v>588</v>
      </c>
      <c r="D7" s="287" t="s">
        <v>685</v>
      </c>
    </row>
    <row r="8" spans="1:7" ht="15.75" customHeight="1">
      <c r="A8" s="129" t="s">
        <v>356</v>
      </c>
      <c r="B8" s="130"/>
      <c r="C8" s="130"/>
      <c r="D8" s="806" t="str">
        <f>C.1!J9</f>
        <v>Witness: Waller, Wiebe, Troup</v>
      </c>
    </row>
    <row r="9" spans="1:7" ht="15.75" customHeight="1">
      <c r="D9" s="156"/>
    </row>
    <row r="10" spans="1:7" ht="15.75" customHeight="1">
      <c r="A10" s="157" t="s">
        <v>88</v>
      </c>
      <c r="B10" s="156" t="s">
        <v>329</v>
      </c>
      <c r="C10" s="157" t="s">
        <v>329</v>
      </c>
      <c r="D10" s="156" t="s">
        <v>950</v>
      </c>
    </row>
    <row r="11" spans="1:7" ht="15.75" customHeight="1">
      <c r="A11" s="158" t="s">
        <v>94</v>
      </c>
      <c r="B11" s="159" t="s">
        <v>1233</v>
      </c>
      <c r="C11" s="158" t="s">
        <v>209</v>
      </c>
      <c r="D11" s="159" t="s">
        <v>305</v>
      </c>
    </row>
    <row r="12" spans="1:7" ht="15.75" customHeight="1">
      <c r="D12" s="156" t="s">
        <v>1053</v>
      </c>
    </row>
    <row r="13" spans="1:7" ht="15.75" customHeight="1">
      <c r="A13" s="156">
        <v>1</v>
      </c>
      <c r="B13" s="83"/>
      <c r="C13" s="160" t="s">
        <v>63</v>
      </c>
    </row>
    <row r="14" spans="1:7" ht="15.75" customHeight="1">
      <c r="A14" s="807">
        <f>A13+1</f>
        <v>2</v>
      </c>
      <c r="B14" s="83"/>
      <c r="C14" s="160" t="s">
        <v>130</v>
      </c>
    </row>
    <row r="15" spans="1:7" ht="15.75" customHeight="1">
      <c r="A15" s="807">
        <f t="shared" ref="A15:A85" si="0">A14+1</f>
        <v>3</v>
      </c>
      <c r="B15" s="299">
        <v>4800</v>
      </c>
      <c r="C15" s="161" t="s">
        <v>125</v>
      </c>
      <c r="D15" s="730">
        <f>-'C.2.2 B 09'!P17</f>
        <v>87647010.4563988</v>
      </c>
      <c r="F15" s="236"/>
      <c r="G15" s="236"/>
    </row>
    <row r="16" spans="1:7" ht="15.75" customHeight="1">
      <c r="A16" s="807">
        <f t="shared" si="0"/>
        <v>4</v>
      </c>
      <c r="B16" s="299">
        <v>4805</v>
      </c>
      <c r="C16" s="161" t="s">
        <v>1238</v>
      </c>
      <c r="D16" s="733">
        <f>-'C.2.2 B 09'!P18</f>
        <v>-4396720.34</v>
      </c>
      <c r="F16" s="236"/>
      <c r="G16" s="236"/>
    </row>
    <row r="17" spans="1:8" ht="15.75" customHeight="1">
      <c r="A17" s="807">
        <f t="shared" si="0"/>
        <v>5</v>
      </c>
      <c r="B17" s="299">
        <v>4811</v>
      </c>
      <c r="C17" s="161" t="s">
        <v>126</v>
      </c>
      <c r="D17" s="733">
        <f>-'C.2.2 B 09'!P19</f>
        <v>41998643.1162287</v>
      </c>
      <c r="F17" s="236"/>
      <c r="G17" s="236"/>
    </row>
    <row r="18" spans="1:8" ht="15.75" customHeight="1">
      <c r="A18" s="807">
        <f t="shared" si="0"/>
        <v>6</v>
      </c>
      <c r="B18" s="299">
        <v>4812</v>
      </c>
      <c r="C18" s="161" t="s">
        <v>127</v>
      </c>
      <c r="D18" s="733">
        <f>-'C.2.2 B 09'!P20</f>
        <v>4073458.9587275949</v>
      </c>
      <c r="F18" s="236"/>
      <c r="G18" s="236"/>
    </row>
    <row r="19" spans="1:8" ht="15.75" customHeight="1">
      <c r="A19" s="807">
        <f t="shared" si="0"/>
        <v>7</v>
      </c>
      <c r="B19" s="299">
        <v>4815</v>
      </c>
      <c r="C19" s="161" t="s">
        <v>1239</v>
      </c>
      <c r="D19" s="733">
        <f>-'C.2.2 B 09'!P21</f>
        <v>-1896159.99</v>
      </c>
      <c r="F19" s="236"/>
      <c r="G19" s="236"/>
    </row>
    <row r="20" spans="1:8" ht="15.75" customHeight="1">
      <c r="A20" s="807">
        <f t="shared" si="0"/>
        <v>8</v>
      </c>
      <c r="B20" s="299">
        <v>4816</v>
      </c>
      <c r="C20" s="161" t="s">
        <v>1275</v>
      </c>
      <c r="D20" s="733">
        <f>-'C.2.2 B 09'!P22</f>
        <v>-34310.17</v>
      </c>
      <c r="F20" s="236"/>
      <c r="G20" s="236"/>
    </row>
    <row r="21" spans="1:8" ht="15.75" customHeight="1">
      <c r="A21" s="807">
        <f t="shared" si="0"/>
        <v>9</v>
      </c>
      <c r="B21" s="299">
        <v>4820</v>
      </c>
      <c r="C21" s="161" t="s">
        <v>748</v>
      </c>
      <c r="D21" s="733">
        <f>-'C.2.2 B 09'!P23</f>
        <v>5745917.5156199615</v>
      </c>
      <c r="F21" s="236"/>
      <c r="G21" s="236"/>
    </row>
    <row r="22" spans="1:8" ht="15.75" customHeight="1">
      <c r="A22" s="807">
        <f t="shared" si="0"/>
        <v>10</v>
      </c>
      <c r="B22" s="299">
        <v>4825</v>
      </c>
      <c r="C22" s="161" t="s">
        <v>1240</v>
      </c>
      <c r="D22" s="737">
        <f>-'C.2.2 B 09'!P24</f>
        <v>-337566.93</v>
      </c>
      <c r="F22" s="236"/>
      <c r="G22" s="236"/>
    </row>
    <row r="23" spans="1:8" ht="15.75" customHeight="1">
      <c r="A23" s="807">
        <f t="shared" si="0"/>
        <v>11</v>
      </c>
      <c r="B23" s="156"/>
      <c r="C23" s="157" t="s">
        <v>1113</v>
      </c>
      <c r="D23" s="739">
        <f>SUM(D15:D22)</f>
        <v>132800272.61697505</v>
      </c>
    </row>
    <row r="24" spans="1:8" ht="15.75" customHeight="1">
      <c r="A24" s="807">
        <f t="shared" si="0"/>
        <v>12</v>
      </c>
      <c r="B24" s="156"/>
    </row>
    <row r="25" spans="1:8" ht="15.75" customHeight="1">
      <c r="A25" s="807">
        <f t="shared" si="0"/>
        <v>13</v>
      </c>
      <c r="B25" s="300"/>
      <c r="C25" s="160" t="s">
        <v>62</v>
      </c>
      <c r="D25" s="262"/>
    </row>
    <row r="26" spans="1:8" ht="15.75" customHeight="1">
      <c r="A26" s="807">
        <f t="shared" si="0"/>
        <v>14</v>
      </c>
      <c r="B26" s="299">
        <v>4870</v>
      </c>
      <c r="C26" s="161" t="s">
        <v>977</v>
      </c>
      <c r="D26" s="730">
        <f>-'C.2.2 B 09'!P25</f>
        <v>197310.00629602867</v>
      </c>
    </row>
    <row r="27" spans="1:8" ht="15.75" customHeight="1">
      <c r="A27" s="807">
        <f t="shared" si="0"/>
        <v>15</v>
      </c>
      <c r="B27" s="299">
        <v>4880</v>
      </c>
      <c r="C27" s="161" t="s">
        <v>978</v>
      </c>
      <c r="D27" s="733">
        <f>-'C.2.2 B 09'!P26</f>
        <v>58913</v>
      </c>
    </row>
    <row r="28" spans="1:8" ht="15.75" customHeight="1">
      <c r="A28" s="807">
        <f t="shared" si="0"/>
        <v>16</v>
      </c>
      <c r="B28" s="299">
        <v>4893</v>
      </c>
      <c r="C28" s="161" t="s">
        <v>61</v>
      </c>
      <c r="D28" s="733">
        <f>-'C.2.2 B 09'!P27</f>
        <v>21748886.757502422</v>
      </c>
      <c r="F28" s="332"/>
    </row>
    <row r="29" spans="1:8" ht="15.75" customHeight="1">
      <c r="A29" s="807">
        <f t="shared" si="0"/>
        <v>17</v>
      </c>
      <c r="B29" s="299">
        <v>4950</v>
      </c>
      <c r="C29" s="161" t="s">
        <v>635</v>
      </c>
      <c r="D29" s="733">
        <f>-'C.2.2 B 09'!P28</f>
        <v>0</v>
      </c>
      <c r="H29" s="332"/>
    </row>
    <row r="30" spans="1:8" ht="15.75" customHeight="1">
      <c r="A30" s="156"/>
      <c r="B30" s="299">
        <v>4960</v>
      </c>
      <c r="C30" s="161" t="s">
        <v>1491</v>
      </c>
      <c r="D30" s="733">
        <f>-'C.2.2 B 09'!P29</f>
        <v>0</v>
      </c>
      <c r="H30" s="332"/>
    </row>
    <row r="31" spans="1:8" ht="15.75" customHeight="1">
      <c r="A31" s="807">
        <f>A29+1</f>
        <v>18</v>
      </c>
      <c r="B31" s="300"/>
      <c r="C31" s="157" t="s">
        <v>1114</v>
      </c>
      <c r="D31" s="808">
        <f>SUM(D26:D30)</f>
        <v>22005109.763798449</v>
      </c>
    </row>
    <row r="32" spans="1:8" ht="15.75" customHeight="1">
      <c r="A32" s="807">
        <f t="shared" si="0"/>
        <v>19</v>
      </c>
      <c r="B32" s="300"/>
      <c r="D32" s="262"/>
      <c r="F32" s="332"/>
    </row>
    <row r="33" spans="1:8" ht="15.75" customHeight="1">
      <c r="A33" s="807">
        <f t="shared" si="0"/>
        <v>20</v>
      </c>
      <c r="B33" s="156"/>
      <c r="C33" s="157" t="s">
        <v>64</v>
      </c>
      <c r="D33" s="739">
        <f>D23+D31</f>
        <v>154805382.38077351</v>
      </c>
      <c r="E33" s="162"/>
      <c r="H33" s="332"/>
    </row>
    <row r="34" spans="1:8" ht="15.75" customHeight="1">
      <c r="A34" s="807">
        <f t="shared" si="0"/>
        <v>21</v>
      </c>
      <c r="B34" s="300"/>
      <c r="D34" s="262"/>
    </row>
    <row r="35" spans="1:8" ht="15.75" customHeight="1">
      <c r="A35" s="807">
        <f t="shared" si="0"/>
        <v>22</v>
      </c>
      <c r="B35" s="300"/>
      <c r="C35" s="160" t="s">
        <v>293</v>
      </c>
      <c r="D35" s="262"/>
    </row>
    <row r="36" spans="1:8" ht="15.75" customHeight="1">
      <c r="A36" s="807">
        <f t="shared" si="0"/>
        <v>23</v>
      </c>
      <c r="B36" s="300"/>
      <c r="C36" s="163" t="s">
        <v>634</v>
      </c>
      <c r="D36" s="230"/>
    </row>
    <row r="37" spans="1:8" ht="15.75" customHeight="1">
      <c r="A37" s="807">
        <f t="shared" si="0"/>
        <v>24</v>
      </c>
      <c r="B37" s="301">
        <v>7560</v>
      </c>
      <c r="C37" s="161" t="s">
        <v>317</v>
      </c>
      <c r="D37" s="809">
        <f>'C.2.2 B 09'!P30</f>
        <v>0</v>
      </c>
    </row>
    <row r="38" spans="1:8" ht="15.75" customHeight="1">
      <c r="A38" s="807">
        <f t="shared" si="0"/>
        <v>25</v>
      </c>
      <c r="B38" s="301">
        <v>7590</v>
      </c>
      <c r="C38" s="161" t="s">
        <v>1274</v>
      </c>
      <c r="D38" s="737">
        <f>'C.2.2 B 09'!P31</f>
        <v>0</v>
      </c>
    </row>
    <row r="39" spans="1:8" ht="15.75" customHeight="1">
      <c r="A39" s="807">
        <f t="shared" si="0"/>
        <v>26</v>
      </c>
      <c r="B39" s="300"/>
      <c r="C39" s="164" t="s">
        <v>414</v>
      </c>
      <c r="D39" s="739">
        <f>SUM(D37:D38)</f>
        <v>0</v>
      </c>
    </row>
    <row r="40" spans="1:8" ht="15.75" customHeight="1">
      <c r="A40" s="807">
        <f t="shared" si="0"/>
        <v>27</v>
      </c>
      <c r="B40" s="300"/>
      <c r="C40" s="164"/>
      <c r="D40" s="198"/>
    </row>
    <row r="41" spans="1:8" ht="15.75" customHeight="1">
      <c r="A41" s="807">
        <f t="shared" si="0"/>
        <v>28</v>
      </c>
      <c r="B41" s="300"/>
      <c r="C41" s="163" t="s">
        <v>1097</v>
      </c>
      <c r="D41" s="204"/>
    </row>
    <row r="42" spans="1:8" ht="15.75" customHeight="1">
      <c r="A42" s="807">
        <f t="shared" si="0"/>
        <v>29</v>
      </c>
      <c r="B42" s="301">
        <v>7610</v>
      </c>
      <c r="C42" s="161" t="s">
        <v>1098</v>
      </c>
      <c r="D42" s="284">
        <v>0</v>
      </c>
    </row>
    <row r="43" spans="1:8" ht="15.75" customHeight="1">
      <c r="A43" s="807">
        <f t="shared" si="0"/>
        <v>30</v>
      </c>
      <c r="B43" s="300"/>
      <c r="C43" s="48"/>
      <c r="D43" s="739">
        <f>SUM(D42)</f>
        <v>0</v>
      </c>
    </row>
    <row r="44" spans="1:8" ht="15.75" customHeight="1">
      <c r="A44" s="807">
        <f t="shared" si="0"/>
        <v>31</v>
      </c>
      <c r="B44" s="300"/>
      <c r="C44" s="163" t="s">
        <v>989</v>
      </c>
      <c r="D44" s="230"/>
    </row>
    <row r="45" spans="1:8" ht="15.75" customHeight="1">
      <c r="A45" s="807">
        <f t="shared" si="0"/>
        <v>32</v>
      </c>
      <c r="B45" s="301">
        <v>8140</v>
      </c>
      <c r="C45" s="161" t="s">
        <v>644</v>
      </c>
      <c r="D45" s="810">
        <f>'C.2.2 B 09'!P47</f>
        <v>0</v>
      </c>
    </row>
    <row r="46" spans="1:8" ht="15.75" customHeight="1">
      <c r="A46" s="807">
        <f t="shared" si="0"/>
        <v>33</v>
      </c>
      <c r="B46" s="301">
        <v>8150</v>
      </c>
      <c r="C46" s="161" t="s">
        <v>285</v>
      </c>
      <c r="D46" s="263">
        <v>0</v>
      </c>
    </row>
    <row r="47" spans="1:8" ht="15.75" customHeight="1">
      <c r="A47" s="807">
        <f t="shared" si="0"/>
        <v>34</v>
      </c>
      <c r="B47" s="301">
        <v>8160</v>
      </c>
      <c r="C47" s="161" t="s">
        <v>481</v>
      </c>
      <c r="D47" s="809">
        <f>'C.2.2 B 09'!P48</f>
        <v>33549.474566406876</v>
      </c>
    </row>
    <row r="48" spans="1:8" ht="15.75" customHeight="1">
      <c r="A48" s="807">
        <f t="shared" si="0"/>
        <v>35</v>
      </c>
      <c r="B48" s="301">
        <v>8170</v>
      </c>
      <c r="C48" s="161" t="s">
        <v>482</v>
      </c>
      <c r="D48" s="809">
        <f>'C.2.2 B 09'!P49</f>
        <v>21362.49709374841</v>
      </c>
    </row>
    <row r="49" spans="1:4" ht="15.75" customHeight="1">
      <c r="A49" s="807">
        <f t="shared" si="0"/>
        <v>36</v>
      </c>
      <c r="B49" s="301">
        <v>8180</v>
      </c>
      <c r="C49" s="161" t="s">
        <v>138</v>
      </c>
      <c r="D49" s="809">
        <f>'C.2.2 B 09'!P50</f>
        <v>39826.50315490854</v>
      </c>
    </row>
    <row r="50" spans="1:4" ht="15.75" customHeight="1">
      <c r="A50" s="807">
        <f t="shared" si="0"/>
        <v>37</v>
      </c>
      <c r="B50" s="302">
        <v>8190</v>
      </c>
      <c r="C50" s="165" t="s">
        <v>139</v>
      </c>
      <c r="D50" s="809">
        <f>'C.2.2 B 09'!P51</f>
        <v>0</v>
      </c>
    </row>
    <row r="51" spans="1:4" ht="15.75" customHeight="1">
      <c r="A51" s="807">
        <f t="shared" si="0"/>
        <v>38</v>
      </c>
      <c r="B51" s="302">
        <v>8200</v>
      </c>
      <c r="C51" s="165" t="s">
        <v>453</v>
      </c>
      <c r="D51" s="809">
        <f>'C.2.2 B 09'!P52</f>
        <v>8836.0304460746102</v>
      </c>
    </row>
    <row r="52" spans="1:4" ht="15.75" customHeight="1">
      <c r="A52" s="807">
        <f t="shared" si="0"/>
        <v>39</v>
      </c>
      <c r="B52" s="302">
        <v>8210</v>
      </c>
      <c r="C52" s="165" t="s">
        <v>454</v>
      </c>
      <c r="D52" s="809">
        <f>'C.2.2 B 09'!P53</f>
        <v>76520.962523018723</v>
      </c>
    </row>
    <row r="53" spans="1:4" ht="15.75" customHeight="1">
      <c r="A53" s="807">
        <f t="shared" si="0"/>
        <v>40</v>
      </c>
      <c r="B53" s="302">
        <v>8240</v>
      </c>
      <c r="C53" s="165" t="s">
        <v>557</v>
      </c>
      <c r="D53" s="809">
        <f>'C.2.2 B 09'!P54</f>
        <v>0</v>
      </c>
    </row>
    <row r="54" spans="1:4" ht="15.75" customHeight="1">
      <c r="A54" s="807">
        <f t="shared" si="0"/>
        <v>41</v>
      </c>
      <c r="B54" s="302">
        <v>8250</v>
      </c>
      <c r="C54" s="165" t="s">
        <v>610</v>
      </c>
      <c r="D54" s="737">
        <f>'C.2.2 B 09'!P55</f>
        <v>10110.669291810842</v>
      </c>
    </row>
    <row r="55" spans="1:4" ht="15.75" customHeight="1">
      <c r="A55" s="807">
        <f t="shared" si="0"/>
        <v>42</v>
      </c>
      <c r="B55" s="300"/>
      <c r="C55" s="164" t="s">
        <v>990</v>
      </c>
      <c r="D55" s="739">
        <f>SUM(D45:D54)</f>
        <v>190206.13707596797</v>
      </c>
    </row>
    <row r="56" spans="1:4" ht="15.75" customHeight="1">
      <c r="A56" s="807">
        <f t="shared" si="0"/>
        <v>43</v>
      </c>
      <c r="B56" s="300"/>
      <c r="C56" s="48"/>
      <c r="D56" s="204"/>
    </row>
    <row r="57" spans="1:4" ht="15.75" customHeight="1">
      <c r="A57" s="807">
        <f t="shared" si="0"/>
        <v>44</v>
      </c>
      <c r="B57" s="300"/>
      <c r="C57" s="163" t="s">
        <v>976</v>
      </c>
      <c r="D57" s="204"/>
    </row>
    <row r="58" spans="1:4" ht="15.75" customHeight="1">
      <c r="A58" s="807">
        <f t="shared" si="0"/>
        <v>45</v>
      </c>
      <c r="B58" s="302">
        <v>8310</v>
      </c>
      <c r="C58" s="165" t="s">
        <v>611</v>
      </c>
      <c r="D58" s="810">
        <f>'C.2.2 B 09'!P56</f>
        <v>0</v>
      </c>
    </row>
    <row r="59" spans="1:4" ht="15.75" customHeight="1">
      <c r="A59" s="807">
        <f t="shared" si="0"/>
        <v>46</v>
      </c>
      <c r="B59" s="302">
        <v>8320</v>
      </c>
      <c r="C59" s="165" t="s">
        <v>612</v>
      </c>
      <c r="D59" s="263">
        <v>0</v>
      </c>
    </row>
    <row r="60" spans="1:4" ht="15.75" customHeight="1">
      <c r="A60" s="807">
        <f t="shared" si="0"/>
        <v>47</v>
      </c>
      <c r="B60" s="302">
        <v>8340</v>
      </c>
      <c r="C60" s="165" t="s">
        <v>613</v>
      </c>
      <c r="D60" s="809">
        <f>'C.2.2 B 09'!P57</f>
        <v>41017.471971377607</v>
      </c>
    </row>
    <row r="61" spans="1:4" ht="15.75" customHeight="1">
      <c r="A61" s="807">
        <f t="shared" si="0"/>
        <v>48</v>
      </c>
      <c r="B61" s="302">
        <v>8350</v>
      </c>
      <c r="C61" s="165" t="s">
        <v>614</v>
      </c>
      <c r="D61" s="809">
        <f>'C.2.2 B 09'!P58</f>
        <v>0</v>
      </c>
    </row>
    <row r="62" spans="1:4" ht="15.75" customHeight="1">
      <c r="A62" s="807">
        <f t="shared" si="0"/>
        <v>49</v>
      </c>
      <c r="B62" s="302">
        <v>8360</v>
      </c>
      <c r="C62" s="165" t="s">
        <v>1001</v>
      </c>
      <c r="D62" s="809">
        <f>'C.2.2 B 09'!P59</f>
        <v>0</v>
      </c>
    </row>
    <row r="63" spans="1:4" ht="15.75" customHeight="1">
      <c r="A63" s="807">
        <f t="shared" si="0"/>
        <v>50</v>
      </c>
      <c r="B63" s="302">
        <v>8370</v>
      </c>
      <c r="C63" s="165" t="s">
        <v>1268</v>
      </c>
      <c r="D63" s="809">
        <f>'C.2.2 B 09'!P60</f>
        <v>0</v>
      </c>
    </row>
    <row r="64" spans="1:4" ht="15.75" customHeight="1">
      <c r="A64" s="807">
        <f t="shared" si="0"/>
        <v>51</v>
      </c>
      <c r="B64" s="303" t="s">
        <v>286</v>
      </c>
      <c r="C64" s="165" t="s">
        <v>425</v>
      </c>
      <c r="D64" s="809">
        <f>'C.2.2 B 09'!P61</f>
        <v>206958.12650182965</v>
      </c>
    </row>
    <row r="65" spans="1:7" ht="15.75" customHeight="1">
      <c r="A65" s="807">
        <f t="shared" si="0"/>
        <v>52</v>
      </c>
      <c r="B65" s="300"/>
      <c r="C65" s="164" t="s">
        <v>991</v>
      </c>
      <c r="D65" s="808">
        <f>SUM(D58:D64)</f>
        <v>247975.59847320727</v>
      </c>
    </row>
    <row r="66" spans="1:7" ht="15.75" customHeight="1">
      <c r="A66" s="807">
        <f t="shared" si="0"/>
        <v>53</v>
      </c>
      <c r="B66" s="300"/>
      <c r="C66" s="48"/>
      <c r="D66" s="204"/>
    </row>
    <row r="67" spans="1:7" ht="15.75" customHeight="1">
      <c r="A67" s="807">
        <f t="shared" si="0"/>
        <v>54</v>
      </c>
      <c r="B67" s="300"/>
      <c r="C67" s="163" t="s">
        <v>992</v>
      </c>
      <c r="D67" s="204"/>
    </row>
    <row r="68" spans="1:7" ht="15.75" customHeight="1">
      <c r="A68" s="807">
        <f t="shared" si="0"/>
        <v>55</v>
      </c>
      <c r="B68" s="302">
        <v>8500</v>
      </c>
      <c r="C68" s="165" t="s">
        <v>644</v>
      </c>
      <c r="D68" s="810">
        <f>'C.2.2 B 09'!P62</f>
        <v>0</v>
      </c>
    </row>
    <row r="69" spans="1:7" ht="15.75" customHeight="1">
      <c r="A69" s="807">
        <f t="shared" si="0"/>
        <v>56</v>
      </c>
      <c r="B69" s="302">
        <v>8520</v>
      </c>
      <c r="C69" s="165" t="s">
        <v>1269</v>
      </c>
      <c r="D69" s="809">
        <f>'C.2.2 B 09'!P63</f>
        <v>0</v>
      </c>
      <c r="G69" s="430"/>
    </row>
    <row r="70" spans="1:7" ht="15.75" customHeight="1">
      <c r="A70" s="807">
        <f t="shared" si="0"/>
        <v>57</v>
      </c>
      <c r="B70" s="302">
        <v>8550</v>
      </c>
      <c r="C70" s="165" t="s">
        <v>1315</v>
      </c>
      <c r="D70" s="809">
        <f>'C.2.2 B 09'!P64</f>
        <v>471.06802709329565</v>
      </c>
      <c r="G70" s="430"/>
    </row>
    <row r="71" spans="1:7" ht="15.75" customHeight="1">
      <c r="A71" s="807">
        <f t="shared" si="0"/>
        <v>58</v>
      </c>
      <c r="B71" s="302">
        <v>8560</v>
      </c>
      <c r="C71" s="165" t="s">
        <v>615</v>
      </c>
      <c r="D71" s="809">
        <f>'C.2.2 B 09'!P65</f>
        <v>131469.5837375955</v>
      </c>
    </row>
    <row r="72" spans="1:7" ht="15.75" customHeight="1">
      <c r="A72" s="807">
        <f t="shared" si="0"/>
        <v>59</v>
      </c>
      <c r="B72" s="302">
        <v>8570</v>
      </c>
      <c r="C72" s="165" t="s">
        <v>616</v>
      </c>
      <c r="D72" s="809">
        <f>'C.2.2 B 09'!P66</f>
        <v>11353.078366342539</v>
      </c>
    </row>
    <row r="73" spans="1:7" ht="15.75" customHeight="1">
      <c r="A73" s="807">
        <f t="shared" si="0"/>
        <v>60</v>
      </c>
      <c r="B73" s="302">
        <v>8590</v>
      </c>
      <c r="C73" s="165" t="s">
        <v>619</v>
      </c>
      <c r="D73" s="263">
        <v>0</v>
      </c>
    </row>
    <row r="74" spans="1:7" ht="15.75" customHeight="1">
      <c r="A74" s="807">
        <f t="shared" si="0"/>
        <v>61</v>
      </c>
      <c r="B74" s="302">
        <v>8600</v>
      </c>
      <c r="C74" s="165" t="s">
        <v>740</v>
      </c>
      <c r="D74" s="205">
        <v>0</v>
      </c>
    </row>
    <row r="75" spans="1:7" ht="15.75" customHeight="1">
      <c r="A75" s="807">
        <f t="shared" si="0"/>
        <v>62</v>
      </c>
      <c r="B75" s="300"/>
      <c r="C75" s="164" t="s">
        <v>968</v>
      </c>
      <c r="D75" s="739">
        <f>SUM(D68:D74)</f>
        <v>143293.73013103136</v>
      </c>
    </row>
    <row r="76" spans="1:7" ht="15.75" customHeight="1">
      <c r="A76" s="807">
        <f t="shared" si="0"/>
        <v>63</v>
      </c>
      <c r="B76" s="300"/>
      <c r="C76" s="48"/>
      <c r="D76" s="204"/>
    </row>
    <row r="77" spans="1:7" ht="15.75" customHeight="1">
      <c r="A77" s="807">
        <f t="shared" si="0"/>
        <v>64</v>
      </c>
      <c r="B77" s="300"/>
      <c r="C77" s="163" t="s">
        <v>969</v>
      </c>
      <c r="D77" s="204"/>
    </row>
    <row r="78" spans="1:7" ht="15.75" customHeight="1">
      <c r="A78" s="807">
        <f t="shared" si="0"/>
        <v>65</v>
      </c>
      <c r="B78" s="302">
        <v>8620</v>
      </c>
      <c r="C78" s="165" t="s">
        <v>933</v>
      </c>
      <c r="D78" s="285">
        <v>0</v>
      </c>
    </row>
    <row r="79" spans="1:7" ht="15.75" customHeight="1">
      <c r="A79" s="807">
        <f t="shared" si="0"/>
        <v>66</v>
      </c>
      <c r="B79" s="302">
        <v>8630</v>
      </c>
      <c r="C79" s="165" t="s">
        <v>480</v>
      </c>
      <c r="D79" s="809">
        <f>'C.2.2 B 09'!P67</f>
        <v>20250.075265200732</v>
      </c>
    </row>
    <row r="80" spans="1:7" ht="15.75" customHeight="1">
      <c r="A80" s="807">
        <f t="shared" si="0"/>
        <v>67</v>
      </c>
      <c r="B80" s="302">
        <v>8640</v>
      </c>
      <c r="C80" s="165" t="s">
        <v>564</v>
      </c>
      <c r="D80" s="809">
        <f>'C.2.2 B 09'!P68</f>
        <v>0</v>
      </c>
    </row>
    <row r="81" spans="1:5" ht="15.75" customHeight="1">
      <c r="A81" s="807">
        <f t="shared" si="0"/>
        <v>68</v>
      </c>
      <c r="B81" s="302">
        <v>8650</v>
      </c>
      <c r="C81" s="165" t="s">
        <v>617</v>
      </c>
      <c r="D81" s="809">
        <f>'C.2.2 B 09'!P69</f>
        <v>0</v>
      </c>
    </row>
    <row r="82" spans="1:5" ht="15.75" customHeight="1">
      <c r="A82" s="807">
        <f t="shared" si="0"/>
        <v>69</v>
      </c>
      <c r="B82" s="302">
        <v>8670</v>
      </c>
      <c r="C82" s="165" t="s">
        <v>618</v>
      </c>
      <c r="D82" s="205">
        <v>0</v>
      </c>
    </row>
    <row r="83" spans="1:5" ht="15.75" customHeight="1">
      <c r="A83" s="807">
        <f t="shared" si="0"/>
        <v>70</v>
      </c>
      <c r="B83" s="300"/>
      <c r="C83" s="164" t="s">
        <v>970</v>
      </c>
      <c r="D83" s="739">
        <f>SUM(D78:D82)</f>
        <v>20250.075265200732</v>
      </c>
    </row>
    <row r="84" spans="1:5" ht="15.75" customHeight="1">
      <c r="A84" s="807">
        <f t="shared" si="0"/>
        <v>71</v>
      </c>
      <c r="B84" s="300"/>
      <c r="C84" s="48"/>
      <c r="D84" s="204"/>
    </row>
    <row r="85" spans="1:5" ht="15.75" customHeight="1">
      <c r="A85" s="807">
        <f t="shared" si="0"/>
        <v>72</v>
      </c>
      <c r="B85" s="300"/>
      <c r="C85" s="163" t="s">
        <v>318</v>
      </c>
      <c r="D85" s="262"/>
    </row>
    <row r="86" spans="1:5" ht="15.75" customHeight="1">
      <c r="A86" s="807">
        <f t="shared" ref="A86:A149" si="1">A85+1</f>
        <v>73</v>
      </c>
      <c r="B86" s="299">
        <v>8001</v>
      </c>
      <c r="C86" s="161" t="s">
        <v>836</v>
      </c>
      <c r="D86" s="810">
        <f>'C.2.2 B 09'!P32</f>
        <v>0</v>
      </c>
      <c r="E86" s="178"/>
    </row>
    <row r="87" spans="1:5" ht="15.75" customHeight="1">
      <c r="A87" s="807">
        <f t="shared" si="1"/>
        <v>74</v>
      </c>
      <c r="B87" s="299">
        <v>8010</v>
      </c>
      <c r="C87" t="s">
        <v>1169</v>
      </c>
      <c r="D87" s="809">
        <f>'C.2.2 B 09'!P33</f>
        <v>78633.147871665016</v>
      </c>
      <c r="E87" s="178"/>
    </row>
    <row r="88" spans="1:5" ht="15.75" customHeight="1">
      <c r="A88" s="807">
        <f t="shared" si="1"/>
        <v>75</v>
      </c>
      <c r="B88" s="299">
        <v>8040</v>
      </c>
      <c r="C88" s="157" t="s">
        <v>294</v>
      </c>
      <c r="D88" s="809">
        <f>'C.2.2 B 09'!P34</f>
        <v>32087760.242114902</v>
      </c>
      <c r="E88" s="178"/>
    </row>
    <row r="89" spans="1:5" ht="15.75" customHeight="1">
      <c r="A89" s="807">
        <f t="shared" si="1"/>
        <v>76</v>
      </c>
      <c r="B89" s="299">
        <v>8045</v>
      </c>
      <c r="C89" s="157" t="s">
        <v>1095</v>
      </c>
      <c r="D89" s="263">
        <v>0</v>
      </c>
      <c r="E89" s="178"/>
    </row>
    <row r="90" spans="1:5" ht="15.75" customHeight="1">
      <c r="A90" s="807">
        <f t="shared" si="1"/>
        <v>77</v>
      </c>
      <c r="B90" s="299">
        <v>8050</v>
      </c>
      <c r="C90" s="161" t="s">
        <v>875</v>
      </c>
      <c r="D90" s="809">
        <f>'C.2.2 B 09'!P35</f>
        <v>-18609.964245879011</v>
      </c>
      <c r="E90" s="178"/>
    </row>
    <row r="91" spans="1:5" ht="15.75" customHeight="1">
      <c r="A91" s="807">
        <f t="shared" si="1"/>
        <v>78</v>
      </c>
      <c r="B91" s="299">
        <v>8051</v>
      </c>
      <c r="C91" s="157" t="s">
        <v>780</v>
      </c>
      <c r="D91" s="809">
        <f>'C.2.2 B 09'!P36</f>
        <v>30681357.622449085</v>
      </c>
      <c r="E91" s="178"/>
    </row>
    <row r="92" spans="1:5" ht="15.75" customHeight="1">
      <c r="A92" s="807">
        <f t="shared" si="1"/>
        <v>79</v>
      </c>
      <c r="B92" s="299">
        <v>8052</v>
      </c>
      <c r="C92" s="157" t="s">
        <v>400</v>
      </c>
      <c r="D92" s="809">
        <f>'C.2.2 B 09'!P37</f>
        <v>17566888.719616137</v>
      </c>
      <c r="E92" s="178"/>
    </row>
    <row r="93" spans="1:5" ht="15.75" customHeight="1">
      <c r="A93" s="807">
        <f t="shared" si="1"/>
        <v>80</v>
      </c>
      <c r="B93" s="299">
        <v>8053</v>
      </c>
      <c r="C93" s="157" t="s">
        <v>804</v>
      </c>
      <c r="D93" s="809">
        <f>'C.2.2 B 09'!P38</f>
        <v>2750613.0606452972</v>
      </c>
      <c r="E93" s="178"/>
    </row>
    <row r="94" spans="1:5" ht="15.75" customHeight="1">
      <c r="A94" s="807">
        <f t="shared" si="1"/>
        <v>81</v>
      </c>
      <c r="B94" s="299">
        <v>8054</v>
      </c>
      <c r="C94" s="157" t="s">
        <v>805</v>
      </c>
      <c r="D94" s="809">
        <f>'C.2.2 B 09'!P39</f>
        <v>2873224.1677383347</v>
      </c>
      <c r="E94" s="178"/>
    </row>
    <row r="95" spans="1:5" ht="15.75" customHeight="1">
      <c r="A95" s="807">
        <f t="shared" si="1"/>
        <v>82</v>
      </c>
      <c r="B95" s="299">
        <v>8057</v>
      </c>
      <c r="C95" s="157" t="s">
        <v>272</v>
      </c>
      <c r="D95" s="263">
        <v>0</v>
      </c>
      <c r="E95" s="178"/>
    </row>
    <row r="96" spans="1:5" ht="15.75" customHeight="1">
      <c r="A96" s="807">
        <f t="shared" si="1"/>
        <v>83</v>
      </c>
      <c r="B96" s="299">
        <v>8058</v>
      </c>
      <c r="C96" s="157" t="s">
        <v>273</v>
      </c>
      <c r="D96" s="809">
        <f>'C.2.2 B 09'!P40</f>
        <v>-882038.44174539368</v>
      </c>
      <c r="E96" s="178"/>
    </row>
    <row r="97" spans="1:6" ht="15.75" customHeight="1">
      <c r="A97" s="807">
        <f t="shared" si="1"/>
        <v>84</v>
      </c>
      <c r="B97" s="299">
        <v>8059</v>
      </c>
      <c r="C97" s="157" t="s">
        <v>274</v>
      </c>
      <c r="D97" s="809">
        <f>'C.2.2 B 09'!P41</f>
        <v>-60206553.559992135</v>
      </c>
      <c r="E97" s="178"/>
    </row>
    <row r="98" spans="1:6" ht="15.75" customHeight="1">
      <c r="A98" s="807">
        <f t="shared" si="1"/>
        <v>85</v>
      </c>
      <c r="B98" s="299">
        <v>8060</v>
      </c>
      <c r="C98" s="157" t="s">
        <v>971</v>
      </c>
      <c r="D98" s="809">
        <f>'C.2.2 B 09'!P42</f>
        <v>-1879958.1750652608</v>
      </c>
      <c r="E98" s="178"/>
    </row>
    <row r="99" spans="1:6" ht="15.75" customHeight="1">
      <c r="A99" s="807">
        <f t="shared" si="1"/>
        <v>86</v>
      </c>
      <c r="B99" s="299">
        <v>8081</v>
      </c>
      <c r="C99" s="157" t="s">
        <v>275</v>
      </c>
      <c r="D99" s="809">
        <f>'C.2.2 B 09'!P43</f>
        <v>15361965.699634133</v>
      </c>
      <c r="E99" s="178"/>
    </row>
    <row r="100" spans="1:6" ht="15.75" customHeight="1">
      <c r="A100" s="807">
        <f t="shared" si="1"/>
        <v>87</v>
      </c>
      <c r="B100" s="299">
        <v>8082</v>
      </c>
      <c r="C100" s="157" t="s">
        <v>65</v>
      </c>
      <c r="D100" s="809">
        <f>'C.2.2 B 09'!P44</f>
        <v>-9917319.6572858151</v>
      </c>
      <c r="E100" s="178"/>
    </row>
    <row r="101" spans="1:6" ht="15.75" customHeight="1">
      <c r="A101" s="807">
        <f t="shared" si="1"/>
        <v>88</v>
      </c>
      <c r="B101" s="299">
        <v>8110</v>
      </c>
      <c r="C101" s="157" t="s">
        <v>1170</v>
      </c>
      <c r="D101" s="263">
        <v>0</v>
      </c>
      <c r="E101" s="178"/>
    </row>
    <row r="102" spans="1:6" ht="15.75" customHeight="1">
      <c r="A102" s="807">
        <f t="shared" si="1"/>
        <v>89</v>
      </c>
      <c r="B102" s="299">
        <v>8120</v>
      </c>
      <c r="C102" s="157" t="s">
        <v>987</v>
      </c>
      <c r="D102" s="809">
        <f>'C.2.2 B 09'!P45</f>
        <v>-3317.9017217770629</v>
      </c>
      <c r="E102" s="178"/>
    </row>
    <row r="103" spans="1:6" ht="15.75" customHeight="1">
      <c r="A103" s="807">
        <f t="shared" si="1"/>
        <v>90</v>
      </c>
      <c r="B103" s="299">
        <v>8130</v>
      </c>
      <c r="C103" s="157" t="s">
        <v>987</v>
      </c>
      <c r="D103" s="263">
        <v>0</v>
      </c>
      <c r="E103" s="178"/>
    </row>
    <row r="104" spans="1:6" ht="15.75" customHeight="1">
      <c r="A104" s="807">
        <f t="shared" si="1"/>
        <v>91</v>
      </c>
      <c r="B104" s="299">
        <v>8580</v>
      </c>
      <c r="C104" s="157" t="s">
        <v>1168</v>
      </c>
      <c r="D104" s="737">
        <f>'C.2.2 B 09'!P46</f>
        <v>24494082.266968403</v>
      </c>
      <c r="E104" s="178"/>
      <c r="F104" s="329"/>
    </row>
    <row r="105" spans="1:6" ht="15.75" customHeight="1">
      <c r="A105" s="807">
        <f t="shared" si="1"/>
        <v>92</v>
      </c>
      <c r="B105" s="300"/>
      <c r="C105" s="163" t="s">
        <v>988</v>
      </c>
      <c r="D105" s="739">
        <f>SUM(D86:D104)</f>
        <v>52986727.226981685</v>
      </c>
      <c r="F105" s="46"/>
    </row>
    <row r="106" spans="1:6" ht="15.75" customHeight="1">
      <c r="A106" s="807">
        <f t="shared" si="1"/>
        <v>93</v>
      </c>
      <c r="B106" s="300"/>
      <c r="D106" s="230"/>
    </row>
    <row r="107" spans="1:6" ht="15.75" customHeight="1">
      <c r="A107" s="807">
        <f t="shared" si="1"/>
        <v>94</v>
      </c>
      <c r="B107" s="300"/>
      <c r="C107" s="163" t="s">
        <v>1011</v>
      </c>
      <c r="D107" s="230"/>
    </row>
    <row r="108" spans="1:6" ht="15.75" customHeight="1">
      <c r="A108" s="807">
        <f t="shared" si="1"/>
        <v>95</v>
      </c>
      <c r="B108" s="299">
        <v>8700</v>
      </c>
      <c r="C108" s="161" t="s">
        <v>620</v>
      </c>
      <c r="D108" s="810">
        <f>'C.2.2 B 09'!P70</f>
        <v>2267606.0370536172</v>
      </c>
    </row>
    <row r="109" spans="1:6" ht="15.75" customHeight="1">
      <c r="A109" s="807">
        <f t="shared" si="1"/>
        <v>96</v>
      </c>
      <c r="B109" s="299">
        <v>8710</v>
      </c>
      <c r="C109" s="161" t="s">
        <v>621</v>
      </c>
      <c r="D109" s="809">
        <f>'C.2.2 B 09'!P71</f>
        <v>-40.017865916545027</v>
      </c>
    </row>
    <row r="110" spans="1:6" ht="15.75" customHeight="1">
      <c r="A110" s="807">
        <f t="shared" si="1"/>
        <v>97</v>
      </c>
      <c r="B110" s="299">
        <v>8711</v>
      </c>
      <c r="C110" s="157" t="s">
        <v>335</v>
      </c>
      <c r="D110" s="809">
        <f>'C.2.2 B 09'!P72</f>
        <v>137138.35666538301</v>
      </c>
    </row>
    <row r="111" spans="1:6" ht="15.75" customHeight="1">
      <c r="A111" s="807">
        <f t="shared" si="1"/>
        <v>98</v>
      </c>
      <c r="B111" s="299">
        <v>8720</v>
      </c>
      <c r="C111" s="161" t="s">
        <v>925</v>
      </c>
      <c r="D111" s="809">
        <f>'C.2.2 B 09'!P73</f>
        <v>0</v>
      </c>
    </row>
    <row r="112" spans="1:6" ht="15.75" customHeight="1">
      <c r="A112" s="807">
        <f t="shared" si="1"/>
        <v>99</v>
      </c>
      <c r="B112" s="299">
        <v>8740</v>
      </c>
      <c r="C112" s="161" t="s">
        <v>926</v>
      </c>
      <c r="D112" s="809">
        <f>'C.2.2 B 09'!P74</f>
        <v>6959626.696582621</v>
      </c>
    </row>
    <row r="113" spans="1:4" ht="15.75" customHeight="1">
      <c r="A113" s="807">
        <f t="shared" si="1"/>
        <v>100</v>
      </c>
      <c r="B113" s="299">
        <v>8750</v>
      </c>
      <c r="C113" s="161" t="s">
        <v>930</v>
      </c>
      <c r="D113" s="809">
        <f>'C.2.2 B 09'!P75</f>
        <v>1231731.0873517669</v>
      </c>
    </row>
    <row r="114" spans="1:4" ht="15.75" customHeight="1">
      <c r="A114" s="807">
        <f t="shared" si="1"/>
        <v>101</v>
      </c>
      <c r="B114" s="299">
        <v>8760</v>
      </c>
      <c r="C114" s="161" t="s">
        <v>931</v>
      </c>
      <c r="D114" s="809">
        <f>'C.2.2 B 09'!P76</f>
        <v>540.07041731509321</v>
      </c>
    </row>
    <row r="115" spans="1:4" ht="15.75" customHeight="1">
      <c r="A115" s="807">
        <f t="shared" si="1"/>
        <v>102</v>
      </c>
      <c r="B115" s="299">
        <v>8770</v>
      </c>
      <c r="C115" s="161" t="s">
        <v>932</v>
      </c>
      <c r="D115" s="809">
        <f>'C.2.2 B 09'!P77</f>
        <v>5297.9441351836495</v>
      </c>
    </row>
    <row r="116" spans="1:4" ht="15.75" customHeight="1">
      <c r="A116" s="807">
        <f t="shared" si="1"/>
        <v>103</v>
      </c>
      <c r="B116" s="299">
        <v>8780</v>
      </c>
      <c r="C116" s="161" t="s">
        <v>927</v>
      </c>
      <c r="D116" s="809">
        <f>'C.2.2 B 09'!P78</f>
        <v>833460.57177074486</v>
      </c>
    </row>
    <row r="117" spans="1:4" ht="15.75" customHeight="1">
      <c r="A117" s="807">
        <f t="shared" si="1"/>
        <v>104</v>
      </c>
      <c r="B117" s="299">
        <v>8790</v>
      </c>
      <c r="C117" s="161" t="s">
        <v>928</v>
      </c>
      <c r="D117" s="809">
        <f>'C.2.2 B 09'!P79</f>
        <v>265.76742389392768</v>
      </c>
    </row>
    <row r="118" spans="1:4" ht="15.75" customHeight="1">
      <c r="A118" s="807">
        <f t="shared" si="1"/>
        <v>105</v>
      </c>
      <c r="B118" s="299">
        <v>8800</v>
      </c>
      <c r="C118" s="161" t="s">
        <v>929</v>
      </c>
      <c r="D118" s="809">
        <f>'C.2.2 B 09'!P80</f>
        <v>3157.0878232647892</v>
      </c>
    </row>
    <row r="119" spans="1:4" ht="15.75" customHeight="1">
      <c r="A119" s="807">
        <f t="shared" si="1"/>
        <v>106</v>
      </c>
      <c r="B119" s="299">
        <v>8810</v>
      </c>
      <c r="C119" s="161" t="s">
        <v>740</v>
      </c>
      <c r="D119" s="737">
        <f>'C.2.2 B 09'!P81</f>
        <v>99414.162673842657</v>
      </c>
    </row>
    <row r="120" spans="1:4" ht="15.75" customHeight="1">
      <c r="A120" s="807">
        <f t="shared" si="1"/>
        <v>107</v>
      </c>
      <c r="B120" s="300"/>
      <c r="C120" s="164" t="s">
        <v>632</v>
      </c>
      <c r="D120" s="739">
        <f>SUM(D108:D119)</f>
        <v>11538197.764031716</v>
      </c>
    </row>
    <row r="121" spans="1:4" ht="15.75" customHeight="1">
      <c r="A121" s="807">
        <f t="shared" si="1"/>
        <v>108</v>
      </c>
      <c r="B121" s="300"/>
      <c r="C121" s="48"/>
      <c r="D121" s="204"/>
    </row>
    <row r="122" spans="1:4" ht="15.75" customHeight="1">
      <c r="A122" s="807">
        <f t="shared" si="1"/>
        <v>109</v>
      </c>
      <c r="B122" s="156"/>
      <c r="C122" s="163" t="s">
        <v>633</v>
      </c>
      <c r="D122" s="262"/>
    </row>
    <row r="123" spans="1:4" ht="15.75" customHeight="1">
      <c r="A123" s="807">
        <f t="shared" si="1"/>
        <v>110</v>
      </c>
      <c r="B123" s="299">
        <v>8850</v>
      </c>
      <c r="C123" s="161" t="s">
        <v>620</v>
      </c>
      <c r="D123" s="810">
        <f>'C.2.2 B 09'!P82</f>
        <v>0</v>
      </c>
    </row>
    <row r="124" spans="1:4" ht="15.75" customHeight="1">
      <c r="A124" s="807">
        <f t="shared" si="1"/>
        <v>111</v>
      </c>
      <c r="B124" s="299">
        <v>8860</v>
      </c>
      <c r="C124" s="161" t="s">
        <v>933</v>
      </c>
      <c r="D124" s="809">
        <f>'C.2.2 B 09'!P83</f>
        <v>0</v>
      </c>
    </row>
    <row r="125" spans="1:4" ht="15.75" customHeight="1">
      <c r="A125" s="807">
        <f t="shared" si="1"/>
        <v>112</v>
      </c>
      <c r="B125" s="299">
        <v>8870</v>
      </c>
      <c r="C125" s="161" t="s">
        <v>480</v>
      </c>
      <c r="D125" s="809">
        <f>'C.2.2 B 09'!P84</f>
        <v>145969.86264548459</v>
      </c>
    </row>
    <row r="126" spans="1:4" ht="15.75" customHeight="1">
      <c r="A126" s="807">
        <f t="shared" si="1"/>
        <v>113</v>
      </c>
      <c r="B126" s="299">
        <v>8890</v>
      </c>
      <c r="C126" s="161" t="s">
        <v>930</v>
      </c>
      <c r="D126" s="809">
        <f>'C.2.2 B 09'!P85</f>
        <v>188075.1258516442</v>
      </c>
    </row>
    <row r="127" spans="1:4" ht="15.75" customHeight="1">
      <c r="A127" s="807">
        <f t="shared" si="1"/>
        <v>114</v>
      </c>
      <c r="B127" s="299">
        <v>8900</v>
      </c>
      <c r="C127" s="161" t="s">
        <v>931</v>
      </c>
      <c r="D127" s="809">
        <f>'C.2.2 B 09'!P86</f>
        <v>0</v>
      </c>
    </row>
    <row r="128" spans="1:4" ht="15.75" customHeight="1">
      <c r="A128" s="807">
        <f t="shared" si="1"/>
        <v>115</v>
      </c>
      <c r="B128" s="299">
        <v>8910</v>
      </c>
      <c r="C128" s="161" t="s">
        <v>932</v>
      </c>
      <c r="D128" s="809">
        <f>'C.2.2 B 09'!P87</f>
        <v>118.90807403812885</v>
      </c>
    </row>
    <row r="129" spans="1:5" ht="15.75" customHeight="1">
      <c r="A129" s="807">
        <f t="shared" si="1"/>
        <v>116</v>
      </c>
      <c r="B129" s="299">
        <v>8920</v>
      </c>
      <c r="C129" s="161" t="s">
        <v>1013</v>
      </c>
      <c r="D129" s="809">
        <f>'C.2.2 B 09'!P88</f>
        <v>157.05288513905532</v>
      </c>
    </row>
    <row r="130" spans="1:5" ht="15.75" customHeight="1">
      <c r="A130" s="807">
        <f t="shared" si="1"/>
        <v>117</v>
      </c>
      <c r="B130" s="299">
        <v>8930</v>
      </c>
      <c r="C130" s="161" t="s">
        <v>934</v>
      </c>
      <c r="D130" s="809">
        <f>'C.2.2 B 09'!P89</f>
        <v>0</v>
      </c>
    </row>
    <row r="131" spans="1:5" ht="15.75" customHeight="1">
      <c r="A131" s="807">
        <f t="shared" si="1"/>
        <v>118</v>
      </c>
      <c r="B131" s="299">
        <v>8940</v>
      </c>
      <c r="C131" s="161" t="s">
        <v>618</v>
      </c>
      <c r="D131" s="809">
        <f>'C.2.2 B 09'!P90</f>
        <v>0</v>
      </c>
    </row>
    <row r="132" spans="1:5" ht="15.75" customHeight="1">
      <c r="A132" s="807">
        <f t="shared" si="1"/>
        <v>119</v>
      </c>
      <c r="B132" s="299">
        <v>8950</v>
      </c>
      <c r="C132" s="161" t="s">
        <v>284</v>
      </c>
      <c r="D132" s="205">
        <v>0</v>
      </c>
    </row>
    <row r="133" spans="1:5" ht="15.75" customHeight="1">
      <c r="A133" s="807">
        <f t="shared" si="1"/>
        <v>120</v>
      </c>
      <c r="B133" s="300"/>
      <c r="C133" s="164" t="s">
        <v>401</v>
      </c>
      <c r="D133" s="739">
        <f>SUM(D123:D132)</f>
        <v>334320.949456306</v>
      </c>
    </row>
    <row r="134" spans="1:5" ht="15.75" customHeight="1">
      <c r="A134" s="807">
        <f t="shared" si="1"/>
        <v>121</v>
      </c>
      <c r="B134" s="300"/>
      <c r="C134" s="164"/>
      <c r="D134" s="204"/>
    </row>
    <row r="135" spans="1:5" ht="15.75" customHeight="1">
      <c r="A135" s="807">
        <f t="shared" si="1"/>
        <v>122</v>
      </c>
      <c r="B135" s="156"/>
      <c r="C135" s="163" t="s">
        <v>402</v>
      </c>
      <c r="D135" s="262"/>
    </row>
    <row r="136" spans="1:5" ht="15.75" customHeight="1">
      <c r="A136" s="807">
        <f t="shared" si="1"/>
        <v>123</v>
      </c>
      <c r="B136" s="299">
        <v>9010</v>
      </c>
      <c r="C136" s="161" t="s">
        <v>456</v>
      </c>
      <c r="D136" s="810">
        <f>'C.2.2 B 09'!P91</f>
        <v>0</v>
      </c>
    </row>
    <row r="137" spans="1:5" ht="15.75" customHeight="1">
      <c r="A137" s="807">
        <f t="shared" si="1"/>
        <v>124</v>
      </c>
      <c r="B137" s="299">
        <v>9020</v>
      </c>
      <c r="C137" s="161" t="s">
        <v>639</v>
      </c>
      <c r="D137" s="809">
        <f>'C.2.2 B 09'!P92</f>
        <v>691927.99959628459</v>
      </c>
    </row>
    <row r="138" spans="1:5" ht="15.75" customHeight="1">
      <c r="A138" s="807">
        <f t="shared" si="1"/>
        <v>125</v>
      </c>
      <c r="B138" s="299">
        <v>9030</v>
      </c>
      <c r="C138" s="161" t="s">
        <v>935</v>
      </c>
      <c r="D138" s="809">
        <f>'C.2.2 B 09'!P93</f>
        <v>1301394.8289674281</v>
      </c>
    </row>
    <row r="139" spans="1:5" ht="15.75" customHeight="1">
      <c r="A139" s="807">
        <f t="shared" si="1"/>
        <v>126</v>
      </c>
      <c r="B139" s="299">
        <v>9040</v>
      </c>
      <c r="C139" s="161" t="s">
        <v>640</v>
      </c>
      <c r="D139" s="737">
        <f>'C.2.2 B 09'!P94</f>
        <v>1603608.033025</v>
      </c>
      <c r="E139" s="322"/>
    </row>
    <row r="140" spans="1:5" ht="15.75" customHeight="1">
      <c r="A140" s="807">
        <f t="shared" si="1"/>
        <v>127</v>
      </c>
      <c r="B140" s="156"/>
      <c r="C140" s="164" t="s">
        <v>516</v>
      </c>
      <c r="D140" s="739">
        <f>SUM(D136:D139)</f>
        <v>3596930.8615887128</v>
      </c>
    </row>
    <row r="141" spans="1:5" ht="15.75" customHeight="1">
      <c r="A141" s="807">
        <f t="shared" si="1"/>
        <v>128</v>
      </c>
      <c r="B141" s="300"/>
      <c r="C141" s="164"/>
      <c r="D141" s="204"/>
    </row>
    <row r="142" spans="1:5" ht="15.75" customHeight="1">
      <c r="A142" s="807">
        <f t="shared" si="1"/>
        <v>129</v>
      </c>
      <c r="B142" s="300"/>
      <c r="C142" s="163" t="s">
        <v>517</v>
      </c>
      <c r="D142" s="230"/>
    </row>
    <row r="143" spans="1:5" ht="15.75" customHeight="1">
      <c r="A143" s="807">
        <f t="shared" si="1"/>
        <v>130</v>
      </c>
      <c r="B143" s="299">
        <v>9070</v>
      </c>
      <c r="C143" s="161" t="s">
        <v>456</v>
      </c>
      <c r="D143" s="285">
        <v>0</v>
      </c>
    </row>
    <row r="144" spans="1:5" ht="15.75" customHeight="1">
      <c r="A144" s="807">
        <f t="shared" si="1"/>
        <v>131</v>
      </c>
      <c r="B144" s="299">
        <v>9080</v>
      </c>
      <c r="C144" s="161" t="s">
        <v>638</v>
      </c>
      <c r="D144" s="263">
        <v>0</v>
      </c>
    </row>
    <row r="145" spans="1:4" ht="15.75" customHeight="1">
      <c r="A145" s="807">
        <f t="shared" si="1"/>
        <v>132</v>
      </c>
      <c r="B145" s="299">
        <v>9090</v>
      </c>
      <c r="C145" s="161" t="s">
        <v>637</v>
      </c>
      <c r="D145" s="809">
        <f>'C.2.2 B 09'!P95</f>
        <v>198663.24391409353</v>
      </c>
    </row>
    <row r="146" spans="1:4" ht="15.75" customHeight="1">
      <c r="A146" s="807">
        <f t="shared" si="1"/>
        <v>133</v>
      </c>
      <c r="B146" s="299">
        <v>9100</v>
      </c>
      <c r="C146" s="161" t="s">
        <v>430</v>
      </c>
      <c r="D146" s="737">
        <f>'C.2.2 B 09'!P96</f>
        <v>0</v>
      </c>
    </row>
    <row r="147" spans="1:4" ht="15.75" customHeight="1">
      <c r="A147" s="807">
        <f t="shared" si="1"/>
        <v>134</v>
      </c>
      <c r="B147" s="156"/>
      <c r="C147" s="164" t="s">
        <v>824</v>
      </c>
      <c r="D147" s="739">
        <f>SUM(D143:D146)</f>
        <v>198663.24391409353</v>
      </c>
    </row>
    <row r="148" spans="1:4" ht="15.75" customHeight="1">
      <c r="A148" s="807">
        <f t="shared" si="1"/>
        <v>135</v>
      </c>
      <c r="B148" s="156"/>
      <c r="C148" s="83"/>
      <c r="D148" s="262"/>
    </row>
    <row r="149" spans="1:4" ht="15.75" customHeight="1">
      <c r="A149" s="807">
        <f t="shared" si="1"/>
        <v>136</v>
      </c>
      <c r="B149" s="156"/>
      <c r="C149" s="163" t="s">
        <v>468</v>
      </c>
      <c r="D149" s="262"/>
    </row>
    <row r="150" spans="1:4" ht="15.75" customHeight="1">
      <c r="A150" s="807">
        <f t="shared" ref="A150:A183" si="2">A149+1</f>
        <v>137</v>
      </c>
      <c r="B150" s="299">
        <v>9110</v>
      </c>
      <c r="C150" s="161" t="s">
        <v>456</v>
      </c>
      <c r="D150" s="810">
        <f>'C.2.2 B 09'!P97</f>
        <v>143620.08528522789</v>
      </c>
    </row>
    <row r="151" spans="1:4" ht="15.75" customHeight="1">
      <c r="A151" s="807">
        <f t="shared" si="2"/>
        <v>138</v>
      </c>
      <c r="B151" s="299">
        <v>9120</v>
      </c>
      <c r="C151" s="161" t="s">
        <v>741</v>
      </c>
      <c r="D151" s="809">
        <f>'C.2.2 B 09'!P98</f>
        <v>88415.442438524173</v>
      </c>
    </row>
    <row r="152" spans="1:4" ht="15.75" customHeight="1">
      <c r="A152" s="807">
        <f t="shared" si="2"/>
        <v>139</v>
      </c>
      <c r="B152" s="299">
        <v>9130</v>
      </c>
      <c r="C152" s="161" t="s">
        <v>821</v>
      </c>
      <c r="D152" s="809">
        <f>'C.2.2 B 09'!P99</f>
        <v>69534.95513628998</v>
      </c>
    </row>
    <row r="153" spans="1:4" ht="15.75" customHeight="1">
      <c r="A153" s="807">
        <f t="shared" si="2"/>
        <v>140</v>
      </c>
      <c r="B153" s="299">
        <v>9160</v>
      </c>
      <c r="C153" s="161" t="s">
        <v>806</v>
      </c>
      <c r="D153" s="809">
        <f>'C.2.2 B 09'!P100</f>
        <v>2601.188787837048</v>
      </c>
    </row>
    <row r="154" spans="1:4" ht="15.75" customHeight="1">
      <c r="A154" s="807">
        <f t="shared" si="2"/>
        <v>141</v>
      </c>
      <c r="B154" s="156"/>
      <c r="C154" s="164" t="s">
        <v>1073</v>
      </c>
      <c r="D154" s="739">
        <f>SUM(D150:D153)</f>
        <v>304171.67164787912</v>
      </c>
    </row>
    <row r="155" spans="1:4" ht="15.75" customHeight="1">
      <c r="A155" s="807">
        <f t="shared" si="2"/>
        <v>142</v>
      </c>
      <c r="B155" s="300"/>
      <c r="D155" s="262"/>
    </row>
    <row r="156" spans="1:4" ht="15.75" customHeight="1">
      <c r="A156" s="807">
        <f t="shared" si="2"/>
        <v>143</v>
      </c>
      <c r="B156" s="156"/>
      <c r="C156" s="163" t="s">
        <v>1074</v>
      </c>
      <c r="D156" s="262"/>
    </row>
    <row r="157" spans="1:4" ht="15.75" customHeight="1">
      <c r="A157" s="807">
        <f t="shared" si="2"/>
        <v>144</v>
      </c>
      <c r="B157" s="299">
        <v>9200</v>
      </c>
      <c r="C157" s="161" t="s">
        <v>732</v>
      </c>
      <c r="D157" s="810">
        <f>'C.2.2 B 09'!P101</f>
        <v>0</v>
      </c>
    </row>
    <row r="158" spans="1:4" ht="15.75" customHeight="1">
      <c r="A158" s="807">
        <f t="shared" si="2"/>
        <v>145</v>
      </c>
      <c r="B158" s="299">
        <v>9210</v>
      </c>
      <c r="C158" s="161" t="s">
        <v>733</v>
      </c>
      <c r="D158" s="809">
        <f>'C.2.2 B 09'!P102</f>
        <v>49458.461520724071</v>
      </c>
    </row>
    <row r="159" spans="1:4" ht="15.75" customHeight="1">
      <c r="A159" s="807">
        <f t="shared" si="2"/>
        <v>146</v>
      </c>
      <c r="B159" s="299">
        <v>9220</v>
      </c>
      <c r="C159" s="161" t="s">
        <v>734</v>
      </c>
      <c r="D159" s="809">
        <f>'C.2.2 B 09'!P103</f>
        <v>15853827.764478171</v>
      </c>
    </row>
    <row r="160" spans="1:4" ht="15.75" customHeight="1">
      <c r="A160" s="807">
        <f t="shared" si="2"/>
        <v>147</v>
      </c>
      <c r="B160" s="299">
        <v>9230</v>
      </c>
      <c r="C160" s="161" t="s">
        <v>735</v>
      </c>
      <c r="D160" s="809">
        <f>'C.2.2 B 09'!P104</f>
        <v>96909.051195151013</v>
      </c>
    </row>
    <row r="161" spans="1:7" ht="15.75" customHeight="1">
      <c r="A161" s="807">
        <f t="shared" si="2"/>
        <v>148</v>
      </c>
      <c r="B161" s="299">
        <v>9240</v>
      </c>
      <c r="C161" s="161" t="s">
        <v>300</v>
      </c>
      <c r="D161" s="809">
        <f>'C.2.2 B 09'!P105</f>
        <v>5555.3937063118419</v>
      </c>
    </row>
    <row r="162" spans="1:7" ht="15.75" customHeight="1">
      <c r="A162" s="807">
        <f t="shared" si="2"/>
        <v>149</v>
      </c>
      <c r="B162" s="299">
        <v>9250</v>
      </c>
      <c r="C162" s="161" t="s">
        <v>736</v>
      </c>
      <c r="D162" s="809">
        <f>'C.2.2 B 09'!P106</f>
        <v>58037.119126408179</v>
      </c>
    </row>
    <row r="163" spans="1:7" ht="15.75" customHeight="1">
      <c r="A163" s="807">
        <f t="shared" si="2"/>
        <v>150</v>
      </c>
      <c r="B163" s="299">
        <v>9260</v>
      </c>
      <c r="C163" s="161" t="s">
        <v>738</v>
      </c>
      <c r="D163" s="809">
        <f>'C.2.2 B 09'!P107</f>
        <v>767058.87110375497</v>
      </c>
    </row>
    <row r="164" spans="1:7" ht="15.75" customHeight="1">
      <c r="A164" s="807">
        <f t="shared" si="2"/>
        <v>151</v>
      </c>
      <c r="B164" s="299">
        <v>9270</v>
      </c>
      <c r="C164" s="161" t="s">
        <v>301</v>
      </c>
      <c r="D164" s="809">
        <f>'C.2.2 B 09'!P108</f>
        <v>474.3635801120983</v>
      </c>
    </row>
    <row r="165" spans="1:7" ht="15.75" customHeight="1">
      <c r="A165" s="807">
        <f t="shared" si="2"/>
        <v>152</v>
      </c>
      <c r="B165" s="299">
        <v>9280</v>
      </c>
      <c r="C165" s="161" t="s">
        <v>739</v>
      </c>
      <c r="D165" s="809">
        <f>'C.2.2 B 09'!P109</f>
        <v>106317.29050083317</v>
      </c>
    </row>
    <row r="166" spans="1:7" ht="15.75" customHeight="1">
      <c r="A166" s="807">
        <f t="shared" si="2"/>
        <v>153</v>
      </c>
      <c r="B166" s="304">
        <v>930.2</v>
      </c>
      <c r="C166" s="161" t="s">
        <v>302</v>
      </c>
      <c r="D166" s="809">
        <f>'C.2.2 B 09'!P110</f>
        <v>25278.433254311007</v>
      </c>
    </row>
    <row r="167" spans="1:7" ht="15.75" customHeight="1">
      <c r="A167" s="807">
        <f t="shared" si="2"/>
        <v>154</v>
      </c>
      <c r="B167" s="299">
        <v>9310</v>
      </c>
      <c r="C167" s="161" t="s">
        <v>178</v>
      </c>
      <c r="D167" s="811">
        <f>'C.2.2 B 09'!P111</f>
        <v>0</v>
      </c>
    </row>
    <row r="168" spans="1:7" ht="15.75" customHeight="1">
      <c r="A168" s="807">
        <f t="shared" si="2"/>
        <v>155</v>
      </c>
      <c r="B168" s="156"/>
      <c r="C168" s="164" t="s">
        <v>731</v>
      </c>
      <c r="D168" s="739">
        <f>SUM(D157:D167)</f>
        <v>16962916.74846578</v>
      </c>
    </row>
    <row r="169" spans="1:7" ht="15.75" customHeight="1">
      <c r="A169" s="807">
        <f t="shared" si="2"/>
        <v>156</v>
      </c>
      <c r="B169" s="156"/>
      <c r="C169" s="83"/>
      <c r="D169" s="262"/>
    </row>
    <row r="170" spans="1:7" ht="15.75" customHeight="1">
      <c r="A170" s="807">
        <f t="shared" si="2"/>
        <v>157</v>
      </c>
      <c r="B170" s="156"/>
      <c r="C170" s="163" t="s">
        <v>742</v>
      </c>
      <c r="D170" s="262"/>
    </row>
    <row r="171" spans="1:7" ht="15.75" customHeight="1">
      <c r="A171" s="807">
        <f t="shared" si="2"/>
        <v>158</v>
      </c>
      <c r="B171" s="299">
        <v>9320</v>
      </c>
      <c r="C171" s="161" t="s">
        <v>827</v>
      </c>
      <c r="D171" s="811">
        <f>'C.2.2 B 09'!P112</f>
        <v>0</v>
      </c>
    </row>
    <row r="172" spans="1:7" ht="15.75" customHeight="1">
      <c r="A172" s="807">
        <f t="shared" si="2"/>
        <v>159</v>
      </c>
      <c r="B172" s="156"/>
      <c r="C172" s="164" t="s">
        <v>704</v>
      </c>
      <c r="D172" s="812">
        <f>SUM(D171:D171)</f>
        <v>0</v>
      </c>
    </row>
    <row r="173" spans="1:7" ht="15.75" customHeight="1">
      <c r="A173" s="807">
        <f t="shared" si="2"/>
        <v>160</v>
      </c>
      <c r="B173" s="300"/>
      <c r="D173" s="230"/>
    </row>
    <row r="174" spans="1:7" ht="15.75" customHeight="1">
      <c r="A174" s="807">
        <f t="shared" si="2"/>
        <v>161</v>
      </c>
      <c r="B174" s="156"/>
      <c r="C174" s="160" t="s">
        <v>320</v>
      </c>
      <c r="D174" s="813">
        <f>+D39+D43+D55+D65+D75+D83+D105+D120+D133+D140+D147+D154+D168+D172</f>
        <v>86523654.007031575</v>
      </c>
      <c r="F174" s="814"/>
      <c r="G174" s="332"/>
    </row>
    <row r="175" spans="1:7" ht="15.75" customHeight="1">
      <c r="A175" s="807">
        <f t="shared" si="2"/>
        <v>162</v>
      </c>
      <c r="B175" s="300"/>
      <c r="D175" s="230"/>
    </row>
    <row r="176" spans="1:7" ht="15.75" customHeight="1">
      <c r="A176" s="807">
        <f t="shared" si="2"/>
        <v>163</v>
      </c>
      <c r="B176" s="156">
        <v>403</v>
      </c>
      <c r="C176" s="157" t="s">
        <v>1504</v>
      </c>
      <c r="D176" s="815">
        <f>SUM('C.2.2 B 09'!P14)</f>
        <v>19915761.448384304</v>
      </c>
    </row>
    <row r="177" spans="1:7" ht="15.75" customHeight="1">
      <c r="A177" s="807">
        <f t="shared" si="2"/>
        <v>164</v>
      </c>
      <c r="B177" s="156">
        <v>406</v>
      </c>
      <c r="C177" s="157" t="s">
        <v>1503</v>
      </c>
      <c r="D177" s="815">
        <f>'C.2.2 B 09'!P15</f>
        <v>49304.75999999998</v>
      </c>
    </row>
    <row r="178" spans="1:7" ht="15.75" customHeight="1">
      <c r="A178" s="807">
        <f t="shared" si="2"/>
        <v>165</v>
      </c>
      <c r="B178" s="299">
        <v>4081</v>
      </c>
      <c r="C178" s="157" t="s">
        <v>643</v>
      </c>
      <c r="D178" s="809">
        <f>'C.2.2 B 09'!P16</f>
        <v>12842194.805499708</v>
      </c>
    </row>
    <row r="179" spans="1:7" ht="15.75" customHeight="1">
      <c r="A179" s="807">
        <f t="shared" si="2"/>
        <v>166</v>
      </c>
      <c r="B179" s="299" t="s">
        <v>705</v>
      </c>
      <c r="C179" s="157" t="s">
        <v>641</v>
      </c>
      <c r="D179" s="737">
        <f>+E!E23</f>
        <v>6401312.0020306474</v>
      </c>
      <c r="F179" s="332"/>
      <c r="G179" s="332"/>
    </row>
    <row r="180" spans="1:7" ht="15.75" customHeight="1">
      <c r="A180" s="807">
        <f t="shared" si="2"/>
        <v>167</v>
      </c>
      <c r="B180" s="300"/>
      <c r="D180" s="230"/>
    </row>
    <row r="181" spans="1:7" ht="15.75" customHeight="1">
      <c r="A181" s="807">
        <f t="shared" si="2"/>
        <v>168</v>
      </c>
      <c r="B181" s="83"/>
      <c r="C181" s="157" t="s">
        <v>324</v>
      </c>
      <c r="D181" s="816">
        <f>+D174+SUM(D176:D179)</f>
        <v>125732227.02294624</v>
      </c>
    </row>
    <row r="182" spans="1:7" ht="15.75" customHeight="1">
      <c r="A182" s="807">
        <f t="shared" si="2"/>
        <v>169</v>
      </c>
      <c r="D182" s="230"/>
    </row>
    <row r="183" spans="1:7" ht="15.75" customHeight="1" thickBot="1">
      <c r="A183" s="807">
        <f t="shared" si="2"/>
        <v>170</v>
      </c>
      <c r="B183" s="83"/>
      <c r="C183" s="157" t="s">
        <v>325</v>
      </c>
      <c r="D183" s="817">
        <f>D33-D181</f>
        <v>29073155.357827276</v>
      </c>
    </row>
    <row r="184" spans="1:7" ht="15.75" customHeight="1" thickTop="1">
      <c r="B184" s="46"/>
    </row>
    <row r="185" spans="1:7" ht="15.75" customHeight="1">
      <c r="A185" s="83"/>
      <c r="B185" s="46"/>
    </row>
    <row r="186" spans="1:7" ht="15.75" customHeight="1">
      <c r="B186" s="46"/>
    </row>
    <row r="187" spans="1:7" ht="15.75" customHeight="1">
      <c r="B187" s="46"/>
    </row>
    <row r="188" spans="1:7" ht="15.75" customHeight="1">
      <c r="B188" s="46"/>
    </row>
    <row r="189" spans="1:7" ht="15.75" customHeight="1">
      <c r="B189" s="46"/>
    </row>
    <row r="190" spans="1:7" ht="15.75" customHeight="1">
      <c r="B190" s="46"/>
    </row>
    <row r="191" spans="1:7" ht="15.75" customHeight="1">
      <c r="B191" s="46"/>
    </row>
    <row r="192" spans="1:7" ht="15.75" customHeight="1">
      <c r="B192" s="46"/>
    </row>
  </sheetData>
  <mergeCells count="4">
    <mergeCell ref="A1:D1"/>
    <mergeCell ref="A2:D2"/>
    <mergeCell ref="A3:D3"/>
    <mergeCell ref="A4:D4"/>
  </mergeCells>
  <phoneticPr fontId="20" type="noConversion"/>
  <printOptions horizontalCentered="1"/>
  <pageMargins left="0.84" right="0.67" top="0.62" bottom="1.04" header="0.5" footer="0.5"/>
  <pageSetup scale="81" fitToHeight="15" orientation="portrait" verticalDpi="300" r:id="rId1"/>
  <headerFooter alignWithMargins="0">
    <oddFooter>&amp;RSchedule &amp;A
Page &amp;P of &amp;N</oddFooter>
  </headerFooter>
  <rowBreaks count="4" manualBreakCount="4">
    <brk id="42" max="3" man="1"/>
    <brk id="83" max="3" man="1"/>
    <brk id="120" max="3" man="1"/>
    <brk id="154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>
    <tabColor rgb="FF92D050"/>
  </sheetPr>
  <dimension ref="A1:J183"/>
  <sheetViews>
    <sheetView view="pageBreakPreview" topLeftCell="A148" zoomScale="80" zoomScaleNormal="100" zoomScaleSheetLayoutView="80" workbookViewId="0">
      <selection activeCell="D187" sqref="D187"/>
    </sheetView>
  </sheetViews>
  <sheetFormatPr defaultColWidth="8.44140625" defaultRowHeight="15"/>
  <cols>
    <col min="1" max="1" width="4.77734375" style="30" customWidth="1"/>
    <col min="2" max="2" width="11.88671875" style="30" customWidth="1"/>
    <col min="3" max="3" width="45.77734375" style="30" customWidth="1"/>
    <col min="4" max="4" width="13.109375" style="30" customWidth="1"/>
    <col min="5" max="5" width="3.77734375" style="30" customWidth="1"/>
    <col min="6" max="6" width="14" style="30" customWidth="1"/>
    <col min="7" max="7" width="11.109375" style="30" customWidth="1"/>
    <col min="8" max="8" width="10.88671875" style="30" customWidth="1"/>
    <col min="9" max="16384" width="8.44140625" style="30"/>
  </cols>
  <sheetData>
    <row r="1" spans="1:8" s="1" customFormat="1">
      <c r="A1" s="1082" t="str">
        <f>'Table of Contents'!A1:C1</f>
        <v>Atmos Energy Corporation, Kentucky/Mid-States Division</v>
      </c>
      <c r="B1" s="1082"/>
      <c r="C1" s="1082"/>
      <c r="D1" s="1082"/>
      <c r="E1" s="249"/>
    </row>
    <row r="2" spans="1:8" s="1" customFormat="1">
      <c r="A2" s="1082" t="str">
        <f>'Table of Contents'!A2:C2</f>
        <v xml:space="preserve">Kentucky Jurisdiction Case No. 2024-00276 </v>
      </c>
      <c r="B2" s="1082"/>
      <c r="C2" s="1082"/>
      <c r="D2" s="1082"/>
      <c r="E2" s="249"/>
    </row>
    <row r="3" spans="1:8" s="1" customFormat="1">
      <c r="A3" s="1083" t="s">
        <v>276</v>
      </c>
      <c r="B3" s="1083"/>
      <c r="C3" s="1083"/>
      <c r="D3" s="1083"/>
      <c r="E3" s="249"/>
    </row>
    <row r="4" spans="1:8">
      <c r="A4" s="1082" t="str">
        <f>'Table of Contents'!A4:C4</f>
        <v>Forecasted Test Period:  Twelve Months Ended March 31, 2026</v>
      </c>
      <c r="B4" s="1082"/>
      <c r="C4" s="1082"/>
      <c r="D4" s="1082"/>
      <c r="E4" s="249"/>
    </row>
    <row r="5" spans="1:8">
      <c r="A5" s="102"/>
      <c r="B5" s="102"/>
      <c r="C5" s="25"/>
      <c r="D5" s="25"/>
      <c r="E5" s="25"/>
    </row>
    <row r="6" spans="1:8">
      <c r="A6" s="98" t="s">
        <v>1025</v>
      </c>
      <c r="D6" s="286" t="s">
        <v>1342</v>
      </c>
      <c r="E6" s="286"/>
    </row>
    <row r="7" spans="1:8">
      <c r="A7" s="699" t="str">
        <f>'C.2.1 B'!A7</f>
        <v>Type of Filing:___X____Original________Updated ________Revised</v>
      </c>
      <c r="D7" s="287" t="s">
        <v>684</v>
      </c>
      <c r="E7" s="287"/>
    </row>
    <row r="8" spans="1:8">
      <c r="A8" s="111" t="s">
        <v>356</v>
      </c>
      <c r="B8" s="106"/>
      <c r="C8" s="106"/>
      <c r="D8" s="818" t="str">
        <f>C.1!J9</f>
        <v>Witness: Waller, Wiebe, Troup</v>
      </c>
      <c r="E8" s="291"/>
    </row>
    <row r="9" spans="1:8">
      <c r="D9" s="114"/>
      <c r="E9" s="114"/>
    </row>
    <row r="10" spans="1:8">
      <c r="A10" s="113" t="s">
        <v>88</v>
      </c>
      <c r="B10" s="114" t="s">
        <v>329</v>
      </c>
      <c r="C10" s="113" t="s">
        <v>329</v>
      </c>
      <c r="D10" s="114" t="s">
        <v>950</v>
      </c>
      <c r="E10" s="114"/>
    </row>
    <row r="11" spans="1:8">
      <c r="A11" s="112" t="s">
        <v>94</v>
      </c>
      <c r="B11" s="141" t="s">
        <v>1233</v>
      </c>
      <c r="C11" s="112" t="s">
        <v>209</v>
      </c>
      <c r="D11" s="141" t="s">
        <v>305</v>
      </c>
      <c r="E11" s="114"/>
    </row>
    <row r="12" spans="1:8">
      <c r="D12" s="114" t="s">
        <v>1053</v>
      </c>
      <c r="E12" s="114"/>
    </row>
    <row r="13" spans="1:8">
      <c r="A13" s="114">
        <v>1</v>
      </c>
      <c r="B13" s="120"/>
      <c r="C13" s="31" t="s">
        <v>63</v>
      </c>
    </row>
    <row r="14" spans="1:8">
      <c r="A14" s="819">
        <f>A13+1</f>
        <v>2</v>
      </c>
      <c r="B14" s="114"/>
      <c r="C14" s="31" t="s">
        <v>130</v>
      </c>
      <c r="H14" s="323"/>
    </row>
    <row r="15" spans="1:8">
      <c r="A15" s="819">
        <f t="shared" ref="A15:A81" si="0">A14+1</f>
        <v>3</v>
      </c>
      <c r="B15" s="305">
        <v>4800</v>
      </c>
      <c r="C15" s="166" t="s">
        <v>125</v>
      </c>
      <c r="D15" s="763">
        <f>-'C.2.2-F 09'!P17</f>
        <v>103051755.40043777</v>
      </c>
      <c r="E15" s="288"/>
    </row>
    <row r="16" spans="1:8">
      <c r="A16" s="819">
        <f t="shared" si="0"/>
        <v>4</v>
      </c>
      <c r="B16" s="305">
        <v>4811</v>
      </c>
      <c r="C16" s="166" t="s">
        <v>126</v>
      </c>
      <c r="D16" s="766">
        <f>-'C.2.2-F 09'!P19</f>
        <v>51443822.090331733</v>
      </c>
      <c r="E16" s="211"/>
    </row>
    <row r="17" spans="1:7">
      <c r="A17" s="819">
        <f t="shared" si="0"/>
        <v>5</v>
      </c>
      <c r="B17" s="305">
        <v>4812</v>
      </c>
      <c r="C17" s="166" t="s">
        <v>127</v>
      </c>
      <c r="D17" s="766">
        <f>-'C.2.2-F 09'!P20</f>
        <v>5130632.042026856</v>
      </c>
      <c r="E17" s="211"/>
      <c r="F17" s="329"/>
      <c r="G17" s="329"/>
    </row>
    <row r="18" spans="1:7">
      <c r="A18" s="819">
        <f t="shared" si="0"/>
        <v>6</v>
      </c>
      <c r="B18" s="305">
        <v>4820</v>
      </c>
      <c r="C18" s="166" t="s">
        <v>748</v>
      </c>
      <c r="D18" s="705">
        <f>-'C.2.2-F 09'!P23</f>
        <v>7198509.0309889168</v>
      </c>
      <c r="E18" s="211"/>
      <c r="F18" s="329"/>
      <c r="G18" s="329"/>
    </row>
    <row r="19" spans="1:7">
      <c r="A19" s="819">
        <f t="shared" si="0"/>
        <v>7</v>
      </c>
      <c r="B19" s="114"/>
      <c r="C19" s="113" t="s">
        <v>1113</v>
      </c>
      <c r="D19" s="691">
        <f>SUM(D15:D18)</f>
        <v>166824718.56378525</v>
      </c>
      <c r="E19" s="175"/>
      <c r="F19" s="329"/>
      <c r="G19" s="329"/>
    </row>
    <row r="20" spans="1:7">
      <c r="A20" s="819">
        <f t="shared" si="0"/>
        <v>8</v>
      </c>
      <c r="B20" s="50"/>
      <c r="F20" s="329"/>
      <c r="G20" s="329"/>
    </row>
    <row r="21" spans="1:7">
      <c r="A21" s="819">
        <f t="shared" si="0"/>
        <v>9</v>
      </c>
      <c r="B21" s="50"/>
      <c r="C21" s="31" t="s">
        <v>62</v>
      </c>
      <c r="D21" s="120"/>
      <c r="E21" s="120"/>
      <c r="F21" s="329"/>
      <c r="G21" s="329"/>
    </row>
    <row r="22" spans="1:7">
      <c r="A22" s="819">
        <f t="shared" si="0"/>
        <v>10</v>
      </c>
      <c r="B22" s="305">
        <v>4870</v>
      </c>
      <c r="C22" s="166" t="s">
        <v>977</v>
      </c>
      <c r="D22" s="763">
        <f>-'C.2.2-F 09'!P25</f>
        <v>367461.89996584691</v>
      </c>
      <c r="E22" s="288"/>
      <c r="F22" s="329"/>
      <c r="G22" s="329"/>
    </row>
    <row r="23" spans="1:7">
      <c r="A23" s="819">
        <f t="shared" si="0"/>
        <v>11</v>
      </c>
      <c r="B23" s="305">
        <v>4880</v>
      </c>
      <c r="C23" s="166" t="s">
        <v>978</v>
      </c>
      <c r="D23" s="766">
        <f>-'C.2.2-F 09'!P26</f>
        <v>58912</v>
      </c>
      <c r="E23" s="211"/>
      <c r="F23" s="329"/>
      <c r="G23" s="329"/>
    </row>
    <row r="24" spans="1:7">
      <c r="A24" s="819">
        <f t="shared" si="0"/>
        <v>12</v>
      </c>
      <c r="B24" s="305" t="s">
        <v>1171</v>
      </c>
      <c r="C24" s="166" t="s">
        <v>61</v>
      </c>
      <c r="D24" s="766">
        <f>-'C.2.2-F 09'!P27</f>
        <v>20570920.755260002</v>
      </c>
      <c r="E24" s="211"/>
      <c r="F24" s="329"/>
      <c r="G24" s="329"/>
    </row>
    <row r="25" spans="1:7">
      <c r="A25" s="819">
        <f t="shared" si="0"/>
        <v>13</v>
      </c>
      <c r="B25" s="305">
        <v>4950</v>
      </c>
      <c r="C25" s="166" t="s">
        <v>635</v>
      </c>
      <c r="D25" s="766">
        <f>-'C.2.2-F 09'!P28</f>
        <v>0</v>
      </c>
      <c r="E25" s="211"/>
      <c r="F25" s="329"/>
      <c r="G25" s="329"/>
    </row>
    <row r="26" spans="1:7">
      <c r="A26" s="819">
        <f t="shared" si="0"/>
        <v>14</v>
      </c>
      <c r="B26" s="50"/>
      <c r="C26" s="113" t="s">
        <v>1114</v>
      </c>
      <c r="D26" s="820">
        <f>SUM(D22:D25)</f>
        <v>20997294.655225851</v>
      </c>
      <c r="E26" s="175"/>
      <c r="F26" s="329"/>
      <c r="G26" s="329"/>
    </row>
    <row r="27" spans="1:7">
      <c r="A27" s="819">
        <f t="shared" si="0"/>
        <v>15</v>
      </c>
      <c r="B27" s="50"/>
      <c r="D27" s="120"/>
      <c r="E27" s="120"/>
      <c r="F27" s="329"/>
      <c r="G27" s="329"/>
    </row>
    <row r="28" spans="1:7">
      <c r="A28" s="819">
        <f t="shared" si="0"/>
        <v>16</v>
      </c>
      <c r="B28" s="114"/>
      <c r="C28" s="113" t="s">
        <v>64</v>
      </c>
      <c r="D28" s="697">
        <f>D26+D19</f>
        <v>187822013.2190111</v>
      </c>
      <c r="E28" s="174"/>
      <c r="F28" s="329"/>
      <c r="G28" s="329"/>
    </row>
    <row r="29" spans="1:7">
      <c r="A29" s="819">
        <f t="shared" si="0"/>
        <v>17</v>
      </c>
      <c r="B29" s="50"/>
      <c r="D29" s="120"/>
      <c r="E29" s="120"/>
    </row>
    <row r="30" spans="1:7">
      <c r="A30" s="819">
        <f t="shared" si="0"/>
        <v>18</v>
      </c>
      <c r="B30" s="50"/>
      <c r="C30" s="31" t="s">
        <v>293</v>
      </c>
      <c r="D30" s="120"/>
      <c r="E30" s="120"/>
    </row>
    <row r="31" spans="1:7">
      <c r="A31" s="819">
        <f t="shared" si="0"/>
        <v>19</v>
      </c>
      <c r="B31" s="50"/>
      <c r="C31" s="167" t="s">
        <v>634</v>
      </c>
    </row>
    <row r="32" spans="1:7">
      <c r="A32" s="819">
        <f t="shared" si="0"/>
        <v>20</v>
      </c>
      <c r="B32" s="306">
        <v>7560</v>
      </c>
      <c r="C32" s="166" t="s">
        <v>317</v>
      </c>
      <c r="D32" s="766">
        <f>'C.2.2-F 09'!P30</f>
        <v>0</v>
      </c>
      <c r="E32" s="211"/>
    </row>
    <row r="33" spans="1:10">
      <c r="A33" s="819">
        <f t="shared" si="0"/>
        <v>21</v>
      </c>
      <c r="B33" s="301">
        <v>7590</v>
      </c>
      <c r="C33" s="161" t="s">
        <v>1274</v>
      </c>
      <c r="D33" s="694">
        <f>'C.2.2-F 09'!P31</f>
        <v>0</v>
      </c>
      <c r="E33" s="211"/>
    </row>
    <row r="34" spans="1:10">
      <c r="A34" s="819">
        <f t="shared" si="0"/>
        <v>22</v>
      </c>
      <c r="B34" s="50"/>
      <c r="C34" s="144" t="s">
        <v>414</v>
      </c>
      <c r="D34" s="820">
        <f>SUM(D32:D33)</f>
        <v>0</v>
      </c>
      <c r="E34" s="175"/>
      <c r="F34" s="329"/>
      <c r="G34" s="329"/>
    </row>
    <row r="35" spans="1:10">
      <c r="A35" s="819">
        <f t="shared" si="0"/>
        <v>23</v>
      </c>
      <c r="B35" s="50"/>
      <c r="C35" s="98"/>
      <c r="D35" s="176"/>
      <c r="E35" s="176"/>
    </row>
    <row r="36" spans="1:10">
      <c r="A36" s="819">
        <f t="shared" si="0"/>
        <v>24</v>
      </c>
      <c r="B36" s="50"/>
      <c r="C36" s="167" t="s">
        <v>1097</v>
      </c>
      <c r="D36" s="176"/>
      <c r="E36" s="176"/>
    </row>
    <row r="37" spans="1:10">
      <c r="A37" s="819">
        <f t="shared" si="0"/>
        <v>25</v>
      </c>
      <c r="B37" s="306">
        <v>7610</v>
      </c>
      <c r="C37" s="166" t="s">
        <v>1099</v>
      </c>
      <c r="D37" s="289">
        <v>0</v>
      </c>
      <c r="E37" s="288"/>
    </row>
    <row r="38" spans="1:10">
      <c r="A38" s="819">
        <f t="shared" si="0"/>
        <v>26</v>
      </c>
      <c r="B38" s="50"/>
      <c r="C38" s="98"/>
      <c r="D38" s="691">
        <f>SUM(D37)</f>
        <v>0</v>
      </c>
      <c r="E38" s="175"/>
    </row>
    <row r="39" spans="1:10">
      <c r="A39" s="819">
        <f t="shared" si="0"/>
        <v>27</v>
      </c>
      <c r="B39" s="50"/>
      <c r="C39" s="167" t="s">
        <v>989</v>
      </c>
    </row>
    <row r="40" spans="1:10">
      <c r="A40" s="819">
        <f t="shared" si="0"/>
        <v>28</v>
      </c>
      <c r="B40" s="306">
        <v>8140</v>
      </c>
      <c r="C40" s="166" t="s">
        <v>644</v>
      </c>
      <c r="D40" s="763">
        <f>'C.2.2-F 09'!P47</f>
        <v>0</v>
      </c>
      <c r="E40" s="288"/>
      <c r="J40" s="380"/>
    </row>
    <row r="41" spans="1:10">
      <c r="A41" s="819">
        <f t="shared" si="0"/>
        <v>29</v>
      </c>
      <c r="B41" s="306">
        <v>8150</v>
      </c>
      <c r="C41" s="166" t="s">
        <v>285</v>
      </c>
      <c r="D41" s="211">
        <v>0</v>
      </c>
      <c r="E41" s="103"/>
    </row>
    <row r="42" spans="1:10">
      <c r="A42" s="819">
        <f t="shared" si="0"/>
        <v>30</v>
      </c>
      <c r="B42" s="306">
        <v>8160</v>
      </c>
      <c r="C42" s="166" t="s">
        <v>481</v>
      </c>
      <c r="D42" s="766">
        <f>'C.2.2-F 09'!P48</f>
        <v>35163.556111411126</v>
      </c>
      <c r="E42" s="103"/>
      <c r="J42" s="380"/>
    </row>
    <row r="43" spans="1:10">
      <c r="A43" s="819">
        <f t="shared" si="0"/>
        <v>31</v>
      </c>
      <c r="B43" s="306">
        <v>8170</v>
      </c>
      <c r="C43" s="166" t="s">
        <v>482</v>
      </c>
      <c r="D43" s="766">
        <f>'C.2.2-F 09'!P49</f>
        <v>22781.574479535</v>
      </c>
      <c r="E43" s="103"/>
      <c r="J43" s="380"/>
    </row>
    <row r="44" spans="1:10">
      <c r="A44" s="819">
        <f t="shared" si="0"/>
        <v>32</v>
      </c>
      <c r="B44" s="306">
        <v>8180</v>
      </c>
      <c r="C44" s="166" t="s">
        <v>138</v>
      </c>
      <c r="D44" s="766">
        <f>'C.2.2-F 09'!P50</f>
        <v>44776.428910792289</v>
      </c>
      <c r="E44" s="103"/>
      <c r="J44" s="380"/>
    </row>
    <row r="45" spans="1:10">
      <c r="A45" s="819">
        <f t="shared" si="0"/>
        <v>33</v>
      </c>
      <c r="B45" s="307">
        <v>8190</v>
      </c>
      <c r="C45" s="133" t="s">
        <v>139</v>
      </c>
      <c r="D45" s="766">
        <f>'C.2.2-F 09'!P51</f>
        <v>0</v>
      </c>
      <c r="E45" s="103"/>
      <c r="J45" s="380"/>
    </row>
    <row r="46" spans="1:10">
      <c r="A46" s="819">
        <f t="shared" si="0"/>
        <v>34</v>
      </c>
      <c r="B46" s="307">
        <v>8200</v>
      </c>
      <c r="C46" s="133" t="s">
        <v>453</v>
      </c>
      <c r="D46" s="766">
        <f>'C.2.2-F 09'!P52</f>
        <v>9536.025668122531</v>
      </c>
      <c r="E46" s="103"/>
      <c r="J46" s="380"/>
    </row>
    <row r="47" spans="1:10">
      <c r="A47" s="819">
        <f t="shared" si="0"/>
        <v>35</v>
      </c>
      <c r="B47" s="307">
        <v>8210</v>
      </c>
      <c r="C47" s="133" t="s">
        <v>454</v>
      </c>
      <c r="D47" s="766">
        <f>'C.2.2-F 09'!P53</f>
        <v>83939.945612840456</v>
      </c>
      <c r="E47" s="103"/>
      <c r="J47" s="380"/>
    </row>
    <row r="48" spans="1:10">
      <c r="A48" s="819">
        <f t="shared" si="0"/>
        <v>36</v>
      </c>
      <c r="B48" s="307">
        <v>8240</v>
      </c>
      <c r="C48" s="133" t="s">
        <v>557</v>
      </c>
      <c r="D48" s="766">
        <f>'C.2.2-F 09'!P54</f>
        <v>0</v>
      </c>
      <c r="E48" s="103"/>
      <c r="J48" s="380"/>
    </row>
    <row r="49" spans="1:10">
      <c r="A49" s="819">
        <f t="shared" si="0"/>
        <v>37</v>
      </c>
      <c r="B49" s="307">
        <v>8250</v>
      </c>
      <c r="C49" s="133" t="s">
        <v>610</v>
      </c>
      <c r="D49" s="766">
        <f>'C.2.2-F 09'!P55</f>
        <v>10481.951060833655</v>
      </c>
      <c r="E49" s="103"/>
      <c r="J49" s="380"/>
    </row>
    <row r="50" spans="1:10">
      <c r="A50" s="819">
        <f t="shared" si="0"/>
        <v>38</v>
      </c>
      <c r="B50" s="50"/>
      <c r="C50" s="144" t="s">
        <v>990</v>
      </c>
      <c r="D50" s="820">
        <f>SUM(D40:D49)</f>
        <v>206679.48184353503</v>
      </c>
      <c r="E50" s="175"/>
      <c r="F50" s="329"/>
      <c r="G50" s="329"/>
    </row>
    <row r="51" spans="1:10">
      <c r="A51" s="819">
        <f t="shared" si="0"/>
        <v>39</v>
      </c>
      <c r="B51" s="50"/>
      <c r="C51" s="98"/>
      <c r="D51" s="103"/>
      <c r="E51" s="103"/>
    </row>
    <row r="52" spans="1:10">
      <c r="A52" s="819">
        <f t="shared" si="0"/>
        <v>40</v>
      </c>
      <c r="B52" s="50"/>
      <c r="C52" s="167" t="s">
        <v>976</v>
      </c>
      <c r="D52" s="103"/>
      <c r="E52" s="103"/>
    </row>
    <row r="53" spans="1:10">
      <c r="A53" s="819">
        <f t="shared" si="0"/>
        <v>41</v>
      </c>
      <c r="B53" s="307">
        <v>8310</v>
      </c>
      <c r="C53" s="133" t="s">
        <v>611</v>
      </c>
      <c r="D53" s="763">
        <f>'C.2.2-F 09'!P56</f>
        <v>0</v>
      </c>
      <c r="E53" s="288"/>
      <c r="J53" s="380"/>
    </row>
    <row r="54" spans="1:10">
      <c r="A54" s="819">
        <f t="shared" si="0"/>
        <v>42</v>
      </c>
      <c r="B54" s="307">
        <v>8320</v>
      </c>
      <c r="C54" s="133" t="s">
        <v>612</v>
      </c>
      <c r="D54" s="211">
        <v>0</v>
      </c>
      <c r="E54" s="103"/>
    </row>
    <row r="55" spans="1:10">
      <c r="A55" s="819">
        <f t="shared" si="0"/>
        <v>43</v>
      </c>
      <c r="B55" s="307">
        <v>8340</v>
      </c>
      <c r="C55" s="133" t="s">
        <v>613</v>
      </c>
      <c r="D55" s="766">
        <f>'C.2.2-F 09'!P57</f>
        <v>46416.013989040512</v>
      </c>
      <c r="E55" s="103"/>
      <c r="J55" s="380"/>
    </row>
    <row r="56" spans="1:10">
      <c r="A56" s="819">
        <f t="shared" si="0"/>
        <v>44</v>
      </c>
      <c r="B56" s="307">
        <v>8350</v>
      </c>
      <c r="C56" s="133" t="s">
        <v>614</v>
      </c>
      <c r="D56" s="766">
        <f>'C.2.2-F 09'!P58</f>
        <v>0</v>
      </c>
      <c r="E56" s="103"/>
      <c r="J56" s="380"/>
    </row>
    <row r="57" spans="1:10">
      <c r="A57" s="819">
        <f t="shared" si="0"/>
        <v>45</v>
      </c>
      <c r="B57" s="307">
        <v>8360</v>
      </c>
      <c r="C57" s="133" t="s">
        <v>1001</v>
      </c>
      <c r="D57" s="766">
        <f>'C.2.2-F 09'!P59</f>
        <v>0</v>
      </c>
      <c r="E57" s="103"/>
      <c r="J57" s="380"/>
    </row>
    <row r="58" spans="1:10">
      <c r="A58" s="819">
        <f t="shared" si="0"/>
        <v>46</v>
      </c>
      <c r="B58" s="307">
        <v>8370</v>
      </c>
      <c r="C58" s="133" t="s">
        <v>1268</v>
      </c>
      <c r="D58" s="766">
        <f>'C.2.2-F 09'!P60</f>
        <v>0</v>
      </c>
      <c r="E58" s="103"/>
      <c r="J58" s="380"/>
    </row>
    <row r="59" spans="1:10">
      <c r="A59" s="819">
        <f t="shared" si="0"/>
        <v>47</v>
      </c>
      <c r="B59" s="308" t="s">
        <v>424</v>
      </c>
      <c r="C59" s="133" t="s">
        <v>425</v>
      </c>
      <c r="D59" s="766">
        <f>'C.2.2-F 09'!P61</f>
        <v>233242.8377057281</v>
      </c>
      <c r="E59" s="103"/>
    </row>
    <row r="60" spans="1:10">
      <c r="A60" s="819">
        <f t="shared" si="0"/>
        <v>48</v>
      </c>
      <c r="B60" s="50"/>
      <c r="C60" s="144" t="s">
        <v>991</v>
      </c>
      <c r="D60" s="820">
        <f>SUM(D53:D59)</f>
        <v>279658.85169476864</v>
      </c>
      <c r="E60" s="288"/>
      <c r="F60" s="329"/>
      <c r="G60" s="329"/>
    </row>
    <row r="61" spans="1:10">
      <c r="A61" s="819">
        <f t="shared" si="0"/>
        <v>49</v>
      </c>
      <c r="B61" s="50"/>
      <c r="C61" s="98"/>
      <c r="D61" s="103"/>
      <c r="E61" s="103"/>
    </row>
    <row r="62" spans="1:10">
      <c r="A62" s="819">
        <f t="shared" si="0"/>
        <v>50</v>
      </c>
      <c r="B62" s="50"/>
      <c r="C62" s="167" t="s">
        <v>992</v>
      </c>
      <c r="D62" s="103"/>
      <c r="E62" s="103"/>
    </row>
    <row r="63" spans="1:10">
      <c r="A63" s="819">
        <f t="shared" si="0"/>
        <v>51</v>
      </c>
      <c r="B63" s="307">
        <v>8500</v>
      </c>
      <c r="C63" s="133" t="s">
        <v>644</v>
      </c>
      <c r="D63" s="763">
        <f>'C.2.2-F 09'!P62</f>
        <v>0</v>
      </c>
      <c r="E63" s="288"/>
      <c r="J63" s="380"/>
    </row>
    <row r="64" spans="1:10">
      <c r="A64" s="819">
        <f t="shared" si="0"/>
        <v>52</v>
      </c>
      <c r="B64" s="307">
        <v>8520</v>
      </c>
      <c r="C64" s="165" t="s">
        <v>1269</v>
      </c>
      <c r="D64" s="766">
        <f>'C.2.2-F 09'!P63</f>
        <v>0</v>
      </c>
      <c r="E64" s="288"/>
      <c r="J64" s="380"/>
    </row>
    <row r="65" spans="1:10">
      <c r="A65" s="819">
        <f t="shared" si="0"/>
        <v>53</v>
      </c>
      <c r="B65" s="307">
        <v>8550</v>
      </c>
      <c r="C65" s="165" t="s">
        <v>1316</v>
      </c>
      <c r="D65" s="766">
        <f>'C.2.2-F 09'!P64</f>
        <v>488.36648334593411</v>
      </c>
      <c r="E65" s="288"/>
      <c r="J65" s="380"/>
    </row>
    <row r="66" spans="1:10">
      <c r="A66" s="819">
        <f t="shared" si="0"/>
        <v>54</v>
      </c>
      <c r="B66" s="307">
        <v>8560</v>
      </c>
      <c r="C66" s="133" t="s">
        <v>615</v>
      </c>
      <c r="D66" s="766">
        <f>'C.2.2-F 09'!P65</f>
        <v>145498.73442544707</v>
      </c>
      <c r="E66" s="103"/>
      <c r="J66" s="380"/>
    </row>
    <row r="67" spans="1:10">
      <c r="A67" s="819">
        <f t="shared" si="0"/>
        <v>55</v>
      </c>
      <c r="B67" s="307">
        <v>8570</v>
      </c>
      <c r="C67" s="133" t="s">
        <v>616</v>
      </c>
      <c r="D67" s="766">
        <f>'C.2.2-F 09'!P66</f>
        <v>11936.030858857095</v>
      </c>
      <c r="E67" s="103"/>
      <c r="J67" s="380"/>
    </row>
    <row r="68" spans="1:10">
      <c r="A68" s="819">
        <f t="shared" si="0"/>
        <v>56</v>
      </c>
      <c r="B68" s="307">
        <v>8590</v>
      </c>
      <c r="C68" s="133" t="s">
        <v>619</v>
      </c>
      <c r="D68" s="103">
        <v>0</v>
      </c>
      <c r="E68" s="103"/>
    </row>
    <row r="69" spans="1:10">
      <c r="A69" s="819">
        <f t="shared" si="0"/>
        <v>57</v>
      </c>
      <c r="B69" s="307">
        <v>8600</v>
      </c>
      <c r="C69" s="133" t="s">
        <v>740</v>
      </c>
      <c r="D69" s="105">
        <v>0</v>
      </c>
      <c r="E69" s="103"/>
    </row>
    <row r="70" spans="1:10">
      <c r="A70" s="819">
        <f t="shared" si="0"/>
        <v>58</v>
      </c>
      <c r="B70" s="50"/>
      <c r="C70" s="144" t="s">
        <v>968</v>
      </c>
      <c r="D70" s="691">
        <f>SUM(D63:D69)</f>
        <v>157923.13176765011</v>
      </c>
      <c r="E70" s="175"/>
      <c r="F70" s="329"/>
      <c r="G70" s="329"/>
    </row>
    <row r="71" spans="1:10">
      <c r="A71" s="819">
        <f t="shared" si="0"/>
        <v>59</v>
      </c>
      <c r="B71" s="50"/>
      <c r="C71" s="98"/>
      <c r="D71" s="103"/>
      <c r="E71" s="103"/>
    </row>
    <row r="72" spans="1:10">
      <c r="A72" s="819">
        <f t="shared" si="0"/>
        <v>60</v>
      </c>
      <c r="B72" s="50"/>
      <c r="C72" s="167" t="s">
        <v>969</v>
      </c>
      <c r="D72" s="103"/>
      <c r="E72" s="103"/>
    </row>
    <row r="73" spans="1:10">
      <c r="A73" s="819">
        <f t="shared" si="0"/>
        <v>61</v>
      </c>
      <c r="B73" s="307">
        <v>8620</v>
      </c>
      <c r="C73" s="133" t="s">
        <v>933</v>
      </c>
      <c r="D73" s="288">
        <v>0</v>
      </c>
      <c r="E73" s="288"/>
    </row>
    <row r="74" spans="1:10">
      <c r="A74" s="819">
        <f t="shared" si="0"/>
        <v>62</v>
      </c>
      <c r="B74" s="307">
        <v>8630</v>
      </c>
      <c r="C74" s="133" t="s">
        <v>480</v>
      </c>
      <c r="D74" s="766">
        <f>'C.2.2-F 09'!P67</f>
        <v>22915.302470239301</v>
      </c>
      <c r="E74" s="103"/>
      <c r="J74" s="380"/>
    </row>
    <row r="75" spans="1:10">
      <c r="A75" s="819">
        <f t="shared" si="0"/>
        <v>63</v>
      </c>
      <c r="B75" s="307">
        <v>8640</v>
      </c>
      <c r="C75" s="133" t="s">
        <v>564</v>
      </c>
      <c r="D75" s="766">
        <f>'C.2.2-F 09'!P68</f>
        <v>0</v>
      </c>
      <c r="E75" s="103"/>
    </row>
    <row r="76" spans="1:10">
      <c r="A76" s="819">
        <f t="shared" si="0"/>
        <v>64</v>
      </c>
      <c r="B76" s="307">
        <v>8650</v>
      </c>
      <c r="C76" s="133" t="s">
        <v>617</v>
      </c>
      <c r="D76" s="766">
        <f>'C.2.2-F 09'!P69</f>
        <v>0</v>
      </c>
      <c r="E76" s="103"/>
      <c r="J76" s="380"/>
    </row>
    <row r="77" spans="1:10">
      <c r="A77" s="819">
        <f t="shared" si="0"/>
        <v>65</v>
      </c>
      <c r="B77" s="307">
        <v>8670</v>
      </c>
      <c r="C77" s="133" t="s">
        <v>618</v>
      </c>
      <c r="D77" s="211">
        <v>0</v>
      </c>
      <c r="E77" s="103"/>
      <c r="J77" s="380"/>
    </row>
    <row r="78" spans="1:10">
      <c r="A78" s="819">
        <f t="shared" si="0"/>
        <v>66</v>
      </c>
      <c r="B78" s="50"/>
      <c r="C78" s="144" t="s">
        <v>970</v>
      </c>
      <c r="D78" s="820">
        <f>SUM(D73:D77)</f>
        <v>22915.302470239301</v>
      </c>
      <c r="E78" s="175"/>
      <c r="F78" s="329"/>
      <c r="G78" s="329"/>
    </row>
    <row r="79" spans="1:10">
      <c r="A79" s="819">
        <f t="shared" si="0"/>
        <v>67</v>
      </c>
      <c r="B79" s="50"/>
      <c r="C79" s="98"/>
      <c r="D79" s="103"/>
      <c r="E79" s="103"/>
    </row>
    <row r="80" spans="1:10">
      <c r="A80" s="819">
        <f t="shared" si="0"/>
        <v>68</v>
      </c>
      <c r="B80" s="50"/>
      <c r="C80" s="167" t="s">
        <v>318</v>
      </c>
      <c r="D80" s="120"/>
      <c r="E80" s="120"/>
    </row>
    <row r="81" spans="1:6">
      <c r="A81" s="819">
        <f t="shared" si="0"/>
        <v>69</v>
      </c>
      <c r="B81" s="299">
        <v>8001</v>
      </c>
      <c r="C81" s="161" t="s">
        <v>836</v>
      </c>
      <c r="D81" s="763">
        <f>'C.2.2-F 09'!P32</f>
        <v>0</v>
      </c>
      <c r="E81" s="288"/>
    </row>
    <row r="82" spans="1:6">
      <c r="A82" s="819">
        <f t="shared" ref="A82:A145" si="1">A81+1</f>
        <v>70</v>
      </c>
      <c r="B82" s="299">
        <v>8010</v>
      </c>
      <c r="C82" t="s">
        <v>1169</v>
      </c>
      <c r="D82" s="695">
        <f>'C.2.2-F 09'!P33</f>
        <v>115617.31931189865</v>
      </c>
      <c r="E82" s="288"/>
    </row>
    <row r="83" spans="1:6">
      <c r="A83" s="819">
        <f t="shared" si="1"/>
        <v>71</v>
      </c>
      <c r="B83" s="305">
        <v>8040</v>
      </c>
      <c r="C83" s="113" t="s">
        <v>294</v>
      </c>
      <c r="D83" s="695">
        <f>'C.2.2-F 09'!P34</f>
        <v>50226537.125778787</v>
      </c>
      <c r="E83" s="103"/>
      <c r="F83" s="103"/>
    </row>
    <row r="84" spans="1:6">
      <c r="A84" s="819">
        <f t="shared" si="1"/>
        <v>72</v>
      </c>
      <c r="B84" s="305">
        <v>8045</v>
      </c>
      <c r="C84" s="113" t="s">
        <v>1095</v>
      </c>
      <c r="D84" s="103">
        <v>0</v>
      </c>
      <c r="E84" s="103"/>
      <c r="F84" s="103"/>
    </row>
    <row r="85" spans="1:6">
      <c r="A85" s="819">
        <f t="shared" si="1"/>
        <v>73</v>
      </c>
      <c r="B85" s="299">
        <v>8050</v>
      </c>
      <c r="C85" s="161" t="s">
        <v>875</v>
      </c>
      <c r="D85" s="695">
        <f>'C.2.2-F 09'!P35</f>
        <v>-29530.739553719075</v>
      </c>
      <c r="E85" s="103"/>
      <c r="F85" s="103"/>
    </row>
    <row r="86" spans="1:6">
      <c r="A86" s="819">
        <f t="shared" si="1"/>
        <v>74</v>
      </c>
      <c r="B86" s="305">
        <v>8051</v>
      </c>
      <c r="C86" s="113" t="s">
        <v>780</v>
      </c>
      <c r="D86" s="695">
        <f>'C.2.2-F 09'!P36</f>
        <v>53391019.922585331</v>
      </c>
      <c r="E86" s="103"/>
      <c r="F86" s="103"/>
    </row>
    <row r="87" spans="1:6">
      <c r="A87" s="819">
        <f t="shared" si="1"/>
        <v>75</v>
      </c>
      <c r="B87" s="305">
        <v>8052</v>
      </c>
      <c r="C87" s="113" t="s">
        <v>400</v>
      </c>
      <c r="D87" s="695">
        <f>'C.2.2-F 09'!P37</f>
        <v>30150016.420434579</v>
      </c>
      <c r="E87" s="103"/>
      <c r="F87" s="103"/>
    </row>
    <row r="88" spans="1:6">
      <c r="A88" s="819">
        <f t="shared" si="1"/>
        <v>76</v>
      </c>
      <c r="B88" s="305">
        <v>8053</v>
      </c>
      <c r="C88" s="113" t="s">
        <v>804</v>
      </c>
      <c r="D88" s="695">
        <f>'C.2.2-F 09'!P38</f>
        <v>4872096.1644499665</v>
      </c>
      <c r="E88" s="103"/>
      <c r="F88" s="103"/>
    </row>
    <row r="89" spans="1:6">
      <c r="A89" s="819">
        <f t="shared" si="1"/>
        <v>77</v>
      </c>
      <c r="B89" s="305">
        <v>8054</v>
      </c>
      <c r="C89" s="113" t="s">
        <v>805</v>
      </c>
      <c r="D89" s="695">
        <f>'C.2.2-F 09'!P39</f>
        <v>4999866.0909232832</v>
      </c>
      <c r="E89" s="103"/>
      <c r="F89" s="103"/>
    </row>
    <row r="90" spans="1:6">
      <c r="A90" s="819">
        <f t="shared" si="1"/>
        <v>78</v>
      </c>
      <c r="B90" s="305">
        <v>8057</v>
      </c>
      <c r="C90" s="113" t="s">
        <v>272</v>
      </c>
      <c r="D90" s="103">
        <v>0</v>
      </c>
      <c r="E90" s="103"/>
      <c r="F90" s="103"/>
    </row>
    <row r="91" spans="1:6">
      <c r="A91" s="819">
        <f t="shared" si="1"/>
        <v>79</v>
      </c>
      <c r="B91" s="305">
        <v>8058</v>
      </c>
      <c r="C91" s="113" t="s">
        <v>273</v>
      </c>
      <c r="D91" s="695">
        <f>'C.2.2-F 09'!P40</f>
        <v>-5763928.6617656648</v>
      </c>
      <c r="E91" s="103"/>
      <c r="F91" s="103"/>
    </row>
    <row r="92" spans="1:6">
      <c r="A92" s="819">
        <f t="shared" si="1"/>
        <v>80</v>
      </c>
      <c r="B92" s="305">
        <v>8059</v>
      </c>
      <c r="C92" s="113" t="s">
        <v>274</v>
      </c>
      <c r="D92" s="695">
        <f>'C.2.2-F 09'!P41</f>
        <v>-109657356.96903254</v>
      </c>
      <c r="E92" s="103"/>
      <c r="F92" s="103"/>
    </row>
    <row r="93" spans="1:6">
      <c r="A93" s="819">
        <f t="shared" si="1"/>
        <v>81</v>
      </c>
      <c r="B93" s="305">
        <v>8060</v>
      </c>
      <c r="C93" s="113" t="s">
        <v>971</v>
      </c>
      <c r="D93" s="695">
        <f>'C.2.2-F 09'!P42</f>
        <v>-122034.7071683351</v>
      </c>
      <c r="E93" s="103"/>
      <c r="F93" s="103"/>
    </row>
    <row r="94" spans="1:6">
      <c r="A94" s="819">
        <f t="shared" si="1"/>
        <v>82</v>
      </c>
      <c r="B94" s="305">
        <v>8081</v>
      </c>
      <c r="C94" s="113" t="s">
        <v>275</v>
      </c>
      <c r="D94" s="695">
        <f>'C.2.2-F 09'!P43</f>
        <v>30798939.037260093</v>
      </c>
      <c r="E94" s="103"/>
      <c r="F94" s="103"/>
    </row>
    <row r="95" spans="1:6">
      <c r="A95" s="819">
        <f t="shared" si="1"/>
        <v>83</v>
      </c>
      <c r="B95" s="305">
        <v>8082</v>
      </c>
      <c r="C95" s="113" t="s">
        <v>65</v>
      </c>
      <c r="D95" s="695">
        <f>'C.2.2-F 09'!P44</f>
        <v>-14414625.152342308</v>
      </c>
      <c r="E95" s="103"/>
      <c r="F95" s="103"/>
    </row>
    <row r="96" spans="1:6">
      <c r="A96" s="819">
        <f t="shared" si="1"/>
        <v>84</v>
      </c>
      <c r="B96" s="299">
        <v>8110</v>
      </c>
      <c r="C96" s="157" t="s">
        <v>1170</v>
      </c>
      <c r="D96" s="103">
        <v>0</v>
      </c>
      <c r="E96" s="103"/>
      <c r="F96" s="103"/>
    </row>
    <row r="97" spans="1:10">
      <c r="A97" s="819">
        <f t="shared" si="1"/>
        <v>85</v>
      </c>
      <c r="B97" s="305">
        <v>8120</v>
      </c>
      <c r="C97" s="113" t="s">
        <v>987</v>
      </c>
      <c r="D97" s="695">
        <f>'C.2.2-F 09'!P45</f>
        <v>-8171.864728089522</v>
      </c>
      <c r="E97" s="103"/>
      <c r="F97" s="103"/>
    </row>
    <row r="98" spans="1:10">
      <c r="A98" s="819">
        <f t="shared" si="1"/>
        <v>86</v>
      </c>
      <c r="B98" s="305">
        <v>8130</v>
      </c>
      <c r="C98" s="113" t="s">
        <v>67</v>
      </c>
      <c r="D98" s="103">
        <v>0</v>
      </c>
      <c r="E98" s="103"/>
      <c r="F98" s="103"/>
    </row>
    <row r="99" spans="1:10">
      <c r="A99" s="819">
        <f t="shared" si="1"/>
        <v>87</v>
      </c>
      <c r="B99" s="299">
        <v>8580</v>
      </c>
      <c r="C99" s="157" t="s">
        <v>1168</v>
      </c>
      <c r="D99" s="695">
        <f>'C.2.2-F 09'!P46</f>
        <v>43082454.085746109</v>
      </c>
      <c r="E99" s="103"/>
    </row>
    <row r="100" spans="1:10">
      <c r="A100" s="819">
        <f t="shared" si="1"/>
        <v>88</v>
      </c>
      <c r="B100" s="50"/>
      <c r="C100" s="368" t="s">
        <v>988</v>
      </c>
      <c r="D100" s="820">
        <f>SUM(D81:D99)</f>
        <v>87640898.071899399</v>
      </c>
      <c r="E100" s="175"/>
      <c r="F100" s="329"/>
      <c r="G100" s="329"/>
    </row>
    <row r="101" spans="1:10">
      <c r="A101" s="819">
        <f t="shared" si="1"/>
        <v>89</v>
      </c>
      <c r="B101" s="50"/>
    </row>
    <row r="102" spans="1:10">
      <c r="A102" s="819">
        <f t="shared" si="1"/>
        <v>90</v>
      </c>
      <c r="B102" s="50"/>
      <c r="C102" s="167" t="s">
        <v>1011</v>
      </c>
    </row>
    <row r="103" spans="1:10">
      <c r="A103" s="819">
        <f t="shared" si="1"/>
        <v>91</v>
      </c>
      <c r="B103" s="305">
        <v>8700</v>
      </c>
      <c r="C103" s="166" t="s">
        <v>620</v>
      </c>
      <c r="D103" s="763">
        <f>'C.2.2-F 09'!P70</f>
        <v>2140705.472291261</v>
      </c>
      <c r="E103" s="288"/>
      <c r="J103" s="380"/>
    </row>
    <row r="104" spans="1:10">
      <c r="A104" s="819">
        <f t="shared" si="1"/>
        <v>92</v>
      </c>
      <c r="B104" s="305">
        <v>8710</v>
      </c>
      <c r="C104" s="166" t="s">
        <v>621</v>
      </c>
      <c r="D104" s="695">
        <f>'C.2.2-F 09'!P71</f>
        <v>-41.487393167529959</v>
      </c>
      <c r="E104" s="103"/>
      <c r="J104" s="380"/>
    </row>
    <row r="105" spans="1:10">
      <c r="A105" s="819">
        <f t="shared" si="1"/>
        <v>93</v>
      </c>
      <c r="B105" s="305">
        <v>8711</v>
      </c>
      <c r="C105" s="113" t="s">
        <v>335</v>
      </c>
      <c r="D105" s="695">
        <f>'C.2.2-F 09'!P72</f>
        <v>132819.4731803599</v>
      </c>
      <c r="E105" s="103"/>
      <c r="J105" s="380"/>
    </row>
    <row r="106" spans="1:10">
      <c r="A106" s="819">
        <f t="shared" si="1"/>
        <v>94</v>
      </c>
      <c r="B106" s="305">
        <v>8720</v>
      </c>
      <c r="C106" s="166" t="s">
        <v>925</v>
      </c>
      <c r="D106" s="695">
        <f>'C.2.2-F 09'!P73</f>
        <v>0</v>
      </c>
      <c r="E106" s="103"/>
    </row>
    <row r="107" spans="1:10">
      <c r="A107" s="819">
        <f t="shared" si="1"/>
        <v>95</v>
      </c>
      <c r="B107" s="305">
        <v>8740</v>
      </c>
      <c r="C107" s="166" t="s">
        <v>926</v>
      </c>
      <c r="D107" s="695">
        <f>'C.2.2-F 09'!P74</f>
        <v>6802984.387259407</v>
      </c>
      <c r="E107" s="103"/>
      <c r="J107" s="380"/>
    </row>
    <row r="108" spans="1:10">
      <c r="A108" s="819">
        <f t="shared" si="1"/>
        <v>96</v>
      </c>
      <c r="B108" s="305">
        <v>8750</v>
      </c>
      <c r="C108" s="166" t="s">
        <v>930</v>
      </c>
      <c r="D108" s="695">
        <f>'C.2.2-F 09'!P75</f>
        <v>1361535.0425113144</v>
      </c>
      <c r="E108" s="103"/>
      <c r="J108" s="380"/>
    </row>
    <row r="109" spans="1:10">
      <c r="A109" s="819">
        <f t="shared" si="1"/>
        <v>97</v>
      </c>
      <c r="B109" s="305">
        <v>8760</v>
      </c>
      <c r="C109" s="166" t="s">
        <v>931</v>
      </c>
      <c r="D109" s="695">
        <f>'C.2.2-F 09'!P76</f>
        <v>523.06203787400796</v>
      </c>
      <c r="E109" s="103"/>
      <c r="J109" s="380"/>
    </row>
    <row r="110" spans="1:10">
      <c r="A110" s="819">
        <f t="shared" si="1"/>
        <v>98</v>
      </c>
      <c r="B110" s="305">
        <v>8770</v>
      </c>
      <c r="C110" s="166" t="s">
        <v>932</v>
      </c>
      <c r="D110" s="695">
        <f>'C.2.2-F 09'!P77</f>
        <v>5487.2351419565202</v>
      </c>
      <c r="E110" s="103"/>
      <c r="J110" s="380"/>
    </row>
    <row r="111" spans="1:10">
      <c r="A111" s="819">
        <f t="shared" si="1"/>
        <v>99</v>
      </c>
      <c r="B111" s="305">
        <v>8780</v>
      </c>
      <c r="C111" s="166" t="s">
        <v>927</v>
      </c>
      <c r="D111" s="695">
        <f>'C.2.2-F 09'!P78</f>
        <v>938470.93007415812</v>
      </c>
      <c r="E111" s="103"/>
      <c r="J111" s="380"/>
    </row>
    <row r="112" spans="1:10">
      <c r="A112" s="819">
        <f t="shared" si="1"/>
        <v>100</v>
      </c>
      <c r="B112" s="305">
        <v>8790</v>
      </c>
      <c r="C112" s="166" t="s">
        <v>928</v>
      </c>
      <c r="D112" s="695">
        <f>'C.2.2-F 09'!P79</f>
        <v>257.39763905894324</v>
      </c>
      <c r="E112" s="103"/>
      <c r="J112" s="380"/>
    </row>
    <row r="113" spans="1:10">
      <c r="A113" s="819">
        <f t="shared" si="1"/>
        <v>101</v>
      </c>
      <c r="B113" s="305">
        <v>8800</v>
      </c>
      <c r="C113" s="166" t="s">
        <v>929</v>
      </c>
      <c r="D113" s="695">
        <f>'C.2.2-F 09'!P80</f>
        <v>3085.1917302799775</v>
      </c>
      <c r="E113" s="103"/>
      <c r="J113" s="380"/>
    </row>
    <row r="114" spans="1:10">
      <c r="A114" s="819">
        <f t="shared" si="1"/>
        <v>102</v>
      </c>
      <c r="B114" s="305">
        <v>8810</v>
      </c>
      <c r="C114" s="166" t="s">
        <v>740</v>
      </c>
      <c r="D114" s="695">
        <f>'C.2.2-F 09'!P81</f>
        <v>75022.591371783739</v>
      </c>
      <c r="E114" s="103"/>
      <c r="J114" s="380"/>
    </row>
    <row r="115" spans="1:10">
      <c r="A115" s="819">
        <f t="shared" si="1"/>
        <v>103</v>
      </c>
      <c r="B115" s="50"/>
      <c r="C115" s="144" t="s">
        <v>632</v>
      </c>
      <c r="D115" s="820">
        <f>SUM(D103:D114)</f>
        <v>11460849.295844285</v>
      </c>
      <c r="E115" s="175"/>
      <c r="F115" s="329"/>
      <c r="G115" s="329"/>
    </row>
    <row r="116" spans="1:10">
      <c r="A116" s="819">
        <f t="shared" si="1"/>
        <v>104</v>
      </c>
      <c r="B116" s="50"/>
    </row>
    <row r="117" spans="1:10">
      <c r="A117" s="819">
        <f t="shared" si="1"/>
        <v>105</v>
      </c>
      <c r="B117" s="114"/>
      <c r="C117" s="167" t="s">
        <v>633</v>
      </c>
      <c r="D117" s="120"/>
      <c r="E117" s="120"/>
    </row>
    <row r="118" spans="1:10">
      <c r="A118" s="819">
        <f t="shared" si="1"/>
        <v>106</v>
      </c>
      <c r="B118" s="305">
        <v>8850</v>
      </c>
      <c r="C118" s="166" t="s">
        <v>620</v>
      </c>
      <c r="D118" s="763">
        <f>'C.2.2-F 09'!P82</f>
        <v>0</v>
      </c>
      <c r="E118" s="288"/>
      <c r="H118" s="380"/>
      <c r="J118" s="380"/>
    </row>
    <row r="119" spans="1:10">
      <c r="A119" s="819">
        <f t="shared" si="1"/>
        <v>107</v>
      </c>
      <c r="B119" s="305">
        <v>8860</v>
      </c>
      <c r="C119" s="166" t="s">
        <v>933</v>
      </c>
      <c r="D119" s="695">
        <f>'C.2.2-F 09'!P83</f>
        <v>0</v>
      </c>
      <c r="E119" s="103"/>
      <c r="H119" s="380"/>
      <c r="J119" s="380"/>
    </row>
    <row r="120" spans="1:10">
      <c r="A120" s="819">
        <f t="shared" si="1"/>
        <v>108</v>
      </c>
      <c r="B120" s="305">
        <v>8870</v>
      </c>
      <c r="C120" s="166" t="s">
        <v>480</v>
      </c>
      <c r="D120" s="695">
        <f>'C.2.2-F 09'!P84</f>
        <v>144479.87100810636</v>
      </c>
      <c r="E120" s="103"/>
      <c r="H120" s="380"/>
      <c r="J120" s="380"/>
    </row>
    <row r="121" spans="1:10">
      <c r="A121" s="819">
        <f t="shared" si="1"/>
        <v>109</v>
      </c>
      <c r="B121" s="305">
        <v>8890</v>
      </c>
      <c r="C121" s="166" t="s">
        <v>930</v>
      </c>
      <c r="D121" s="695">
        <f>'C.2.2-F 09'!P85</f>
        <v>140589.78215671532</v>
      </c>
      <c r="E121" s="103"/>
      <c r="H121" s="380"/>
      <c r="J121" s="380"/>
    </row>
    <row r="122" spans="1:10">
      <c r="A122" s="819">
        <f t="shared" si="1"/>
        <v>110</v>
      </c>
      <c r="B122" s="305">
        <v>8900</v>
      </c>
      <c r="C122" s="166" t="s">
        <v>931</v>
      </c>
      <c r="D122" s="695">
        <f>'C.2.2-F 09'!P86</f>
        <v>0</v>
      </c>
      <c r="E122" s="103"/>
      <c r="H122" s="380"/>
      <c r="J122" s="380"/>
    </row>
    <row r="123" spans="1:10">
      <c r="A123" s="819">
        <f t="shared" si="1"/>
        <v>111</v>
      </c>
      <c r="B123" s="305">
        <v>8910</v>
      </c>
      <c r="C123" s="166" t="s">
        <v>932</v>
      </c>
      <c r="D123" s="695">
        <f>'C.2.2-F 09'!P87</f>
        <v>134.5582397621929</v>
      </c>
      <c r="E123" s="103"/>
      <c r="H123" s="380"/>
      <c r="J123" s="380"/>
    </row>
    <row r="124" spans="1:10">
      <c r="A124" s="819">
        <f t="shared" si="1"/>
        <v>112</v>
      </c>
      <c r="B124" s="305">
        <v>8920</v>
      </c>
      <c r="C124" s="166" t="s">
        <v>1013</v>
      </c>
      <c r="D124" s="695">
        <f>'C.2.2-F 09'!P88</f>
        <v>177.72350569826528</v>
      </c>
      <c r="E124" s="103"/>
      <c r="H124" s="380"/>
      <c r="J124" s="380"/>
    </row>
    <row r="125" spans="1:10">
      <c r="A125" s="819">
        <f t="shared" si="1"/>
        <v>113</v>
      </c>
      <c r="B125" s="305">
        <v>8930</v>
      </c>
      <c r="C125" s="166" t="s">
        <v>934</v>
      </c>
      <c r="D125" s="695">
        <f>'C.2.2-F 09'!P89</f>
        <v>0</v>
      </c>
      <c r="E125" s="103"/>
      <c r="H125" s="380"/>
      <c r="J125" s="380"/>
    </row>
    <row r="126" spans="1:10">
      <c r="A126" s="819">
        <f t="shared" si="1"/>
        <v>114</v>
      </c>
      <c r="B126" s="305">
        <v>8940</v>
      </c>
      <c r="C126" s="166" t="s">
        <v>618</v>
      </c>
      <c r="D126" s="695">
        <f>'C.2.2-F 09'!P90</f>
        <v>0</v>
      </c>
      <c r="E126" s="103"/>
      <c r="H126" s="380"/>
      <c r="J126" s="380"/>
    </row>
    <row r="127" spans="1:10">
      <c r="A127" s="819">
        <f t="shared" si="1"/>
        <v>115</v>
      </c>
      <c r="B127" s="309" t="s">
        <v>751</v>
      </c>
      <c r="C127" s="166" t="s">
        <v>284</v>
      </c>
      <c r="D127" s="105">
        <v>0</v>
      </c>
      <c r="E127" s="103"/>
      <c r="H127" s="380"/>
    </row>
    <row r="128" spans="1:10">
      <c r="A128" s="819">
        <f t="shared" si="1"/>
        <v>116</v>
      </c>
      <c r="B128" s="50"/>
      <c r="C128" s="144" t="s">
        <v>401</v>
      </c>
      <c r="D128" s="691">
        <f>SUM(D118:D127)</f>
        <v>285381.93491028214</v>
      </c>
      <c r="E128" s="175"/>
      <c r="F128" s="329"/>
      <c r="G128" s="329"/>
    </row>
    <row r="129" spans="1:10">
      <c r="A129" s="819">
        <f t="shared" si="1"/>
        <v>117</v>
      </c>
      <c r="B129" s="50"/>
      <c r="C129" s="144"/>
      <c r="D129" s="103"/>
      <c r="E129" s="103"/>
    </row>
    <row r="130" spans="1:10">
      <c r="A130" s="819">
        <f t="shared" si="1"/>
        <v>118</v>
      </c>
      <c r="B130" s="114"/>
      <c r="C130" s="167" t="s">
        <v>402</v>
      </c>
      <c r="D130" s="120"/>
      <c r="E130" s="120"/>
    </row>
    <row r="131" spans="1:10">
      <c r="A131" s="819">
        <f t="shared" si="1"/>
        <v>119</v>
      </c>
      <c r="B131" s="305">
        <v>9010</v>
      </c>
      <c r="C131" s="166" t="s">
        <v>456</v>
      </c>
      <c r="D131" s="763">
        <f>'C.2.2-F 09'!P91</f>
        <v>0</v>
      </c>
      <c r="E131" s="288"/>
      <c r="H131" s="380"/>
      <c r="J131" s="380"/>
    </row>
    <row r="132" spans="1:10">
      <c r="A132" s="819">
        <f t="shared" si="1"/>
        <v>120</v>
      </c>
      <c r="B132" s="305">
        <v>9020</v>
      </c>
      <c r="C132" s="166" t="s">
        <v>639</v>
      </c>
      <c r="D132" s="695">
        <f>'C.2.2-F 09'!P92</f>
        <v>735288.33326781169</v>
      </c>
      <c r="E132" s="103"/>
      <c r="H132" s="380"/>
      <c r="J132" s="380"/>
    </row>
    <row r="133" spans="1:10">
      <c r="A133" s="819">
        <f t="shared" si="1"/>
        <v>121</v>
      </c>
      <c r="B133" s="305">
        <v>9030</v>
      </c>
      <c r="C133" s="166" t="s">
        <v>935</v>
      </c>
      <c r="D133" s="695">
        <f>'C.2.2-F 09'!P93</f>
        <v>1067803.4393090948</v>
      </c>
      <c r="E133" s="103"/>
      <c r="H133" s="380"/>
      <c r="J133" s="380"/>
    </row>
    <row r="134" spans="1:10">
      <c r="A134" s="819">
        <f t="shared" si="1"/>
        <v>122</v>
      </c>
      <c r="B134" s="305">
        <v>9040</v>
      </c>
      <c r="C134" s="166" t="s">
        <v>640</v>
      </c>
      <c r="D134" s="695">
        <f>'C.2.2-F 09'!P94</f>
        <v>731531.84087815229</v>
      </c>
      <c r="E134" s="103"/>
      <c r="H134" s="380"/>
      <c r="J134" s="380"/>
    </row>
    <row r="135" spans="1:10">
      <c r="A135" s="819">
        <f t="shared" si="1"/>
        <v>123</v>
      </c>
      <c r="B135" s="114"/>
      <c r="C135" s="144" t="s">
        <v>516</v>
      </c>
      <c r="D135" s="820">
        <f>SUM(D131:D134)</f>
        <v>2534623.613455059</v>
      </c>
      <c r="E135" s="175"/>
      <c r="F135" s="329"/>
      <c r="G135" s="329"/>
      <c r="H135" s="380"/>
    </row>
    <row r="136" spans="1:10">
      <c r="A136" s="819">
        <f t="shared" si="1"/>
        <v>124</v>
      </c>
      <c r="B136" s="50"/>
    </row>
    <row r="137" spans="1:10">
      <c r="A137" s="819">
        <f t="shared" si="1"/>
        <v>125</v>
      </c>
      <c r="B137" s="50"/>
      <c r="C137" s="167" t="s">
        <v>517</v>
      </c>
    </row>
    <row r="138" spans="1:10">
      <c r="A138" s="819">
        <f t="shared" si="1"/>
        <v>126</v>
      </c>
      <c r="B138" s="305">
        <v>9070</v>
      </c>
      <c r="C138" s="166" t="s">
        <v>456</v>
      </c>
      <c r="D138" s="288">
        <v>0</v>
      </c>
      <c r="E138" s="288"/>
      <c r="H138" s="380"/>
      <c r="J138" s="380"/>
    </row>
    <row r="139" spans="1:10">
      <c r="A139" s="819">
        <f t="shared" si="1"/>
        <v>127</v>
      </c>
      <c r="B139" s="305">
        <v>9080</v>
      </c>
      <c r="C139" s="166" t="s">
        <v>638</v>
      </c>
      <c r="D139" s="103">
        <v>0</v>
      </c>
      <c r="E139" s="103"/>
      <c r="H139" s="380"/>
      <c r="J139" s="380"/>
    </row>
    <row r="140" spans="1:10">
      <c r="A140" s="819">
        <f t="shared" si="1"/>
        <v>128</v>
      </c>
      <c r="B140" s="305">
        <v>9090</v>
      </c>
      <c r="C140" s="166" t="s">
        <v>637</v>
      </c>
      <c r="D140" s="695">
        <f>'C.2.2-F 09'!P95</f>
        <v>214460.81968819545</v>
      </c>
      <c r="E140" s="103"/>
      <c r="H140" s="380"/>
      <c r="J140" s="380"/>
    </row>
    <row r="141" spans="1:10">
      <c r="A141" s="819">
        <f t="shared" si="1"/>
        <v>129</v>
      </c>
      <c r="B141" s="305">
        <v>9100</v>
      </c>
      <c r="C141" s="166" t="s">
        <v>430</v>
      </c>
      <c r="D141" s="695">
        <f>'C.2.2-F 09'!P96</f>
        <v>0</v>
      </c>
      <c r="E141" s="103"/>
      <c r="H141" s="380"/>
      <c r="J141" s="380"/>
    </row>
    <row r="142" spans="1:10">
      <c r="A142" s="819">
        <f t="shared" si="1"/>
        <v>130</v>
      </c>
      <c r="B142" s="114"/>
      <c r="C142" s="144" t="s">
        <v>824</v>
      </c>
      <c r="D142" s="820">
        <f>SUM(D138:D141)</f>
        <v>214460.81968819545</v>
      </c>
      <c r="E142" s="175"/>
      <c r="F142" s="329"/>
      <c r="G142" s="329"/>
    </row>
    <row r="143" spans="1:10">
      <c r="A143" s="819">
        <f t="shared" si="1"/>
        <v>131</v>
      </c>
      <c r="B143" s="114"/>
      <c r="C143" s="144"/>
      <c r="D143" s="103"/>
      <c r="E143" s="103"/>
    </row>
    <row r="144" spans="1:10">
      <c r="A144" s="819">
        <f t="shared" si="1"/>
        <v>132</v>
      </c>
      <c r="B144" s="114"/>
      <c r="C144" s="167" t="s">
        <v>468</v>
      </c>
      <c r="D144" s="120"/>
      <c r="E144" s="120"/>
    </row>
    <row r="145" spans="1:10">
      <c r="A145" s="819">
        <f t="shared" si="1"/>
        <v>133</v>
      </c>
      <c r="B145" s="305">
        <v>9110</v>
      </c>
      <c r="C145" s="166" t="s">
        <v>456</v>
      </c>
      <c r="D145" s="763">
        <f>'C.2.2-F 09'!P97</f>
        <v>158548.88574016749</v>
      </c>
      <c r="E145" s="288"/>
      <c r="H145" s="380"/>
      <c r="J145" s="380"/>
    </row>
    <row r="146" spans="1:10">
      <c r="A146" s="819">
        <f t="shared" ref="A146:A177" si="2">A145+1</f>
        <v>134</v>
      </c>
      <c r="B146" s="305">
        <v>9120</v>
      </c>
      <c r="C146" s="166" t="s">
        <v>741</v>
      </c>
      <c r="D146" s="695">
        <f>'C.2.2-F 09'!P98</f>
        <v>77078.365467993717</v>
      </c>
      <c r="E146" s="103"/>
      <c r="H146" s="380"/>
      <c r="J146" s="380"/>
    </row>
    <row r="147" spans="1:10">
      <c r="A147" s="819">
        <f t="shared" si="2"/>
        <v>135</v>
      </c>
      <c r="B147" s="305">
        <v>9130</v>
      </c>
      <c r="C147" s="166" t="s">
        <v>821</v>
      </c>
      <c r="D147" s="695">
        <f>'C.2.2-F 09'!P99</f>
        <v>36821.435045165337</v>
      </c>
      <c r="E147" s="103"/>
      <c r="H147" s="380"/>
      <c r="J147" s="380"/>
    </row>
    <row r="148" spans="1:10">
      <c r="A148" s="819">
        <f t="shared" si="2"/>
        <v>136</v>
      </c>
      <c r="B148" s="305">
        <v>9160</v>
      </c>
      <c r="C148" s="166" t="s">
        <v>806</v>
      </c>
      <c r="D148" s="695">
        <f>'C.2.2-F 09'!P100</f>
        <v>0.42957917819093439</v>
      </c>
      <c r="E148" s="103"/>
      <c r="H148" s="380"/>
      <c r="J148" s="380"/>
    </row>
    <row r="149" spans="1:10">
      <c r="A149" s="819">
        <f t="shared" si="2"/>
        <v>137</v>
      </c>
      <c r="B149" s="114"/>
      <c r="C149" s="144" t="s">
        <v>1073</v>
      </c>
      <c r="D149" s="820">
        <f>SUM(D145:D148)</f>
        <v>272449.1158325047</v>
      </c>
      <c r="E149" s="175"/>
      <c r="F149" s="329"/>
      <c r="G149" s="329"/>
    </row>
    <row r="150" spans="1:10">
      <c r="A150" s="819">
        <f t="shared" si="2"/>
        <v>138</v>
      </c>
      <c r="B150" s="50"/>
      <c r="D150" s="120"/>
      <c r="E150" s="120"/>
    </row>
    <row r="151" spans="1:10">
      <c r="A151" s="819">
        <f t="shared" si="2"/>
        <v>139</v>
      </c>
      <c r="B151" s="114"/>
      <c r="C151" s="167" t="s">
        <v>1074</v>
      </c>
      <c r="D151" s="120"/>
      <c r="E151" s="120"/>
      <c r="H151" s="380"/>
    </row>
    <row r="152" spans="1:10">
      <c r="A152" s="819">
        <f t="shared" si="2"/>
        <v>140</v>
      </c>
      <c r="B152" s="305">
        <v>9200</v>
      </c>
      <c r="C152" s="166" t="s">
        <v>732</v>
      </c>
      <c r="D152" s="688">
        <f>'C.2.2-F 09'!P101</f>
        <v>0</v>
      </c>
      <c r="E152" s="288"/>
      <c r="H152" s="380"/>
      <c r="J152" s="380"/>
    </row>
    <row r="153" spans="1:10">
      <c r="A153" s="819">
        <f t="shared" si="2"/>
        <v>141</v>
      </c>
      <c r="B153" s="305">
        <v>9210</v>
      </c>
      <c r="C153" s="166" t="s">
        <v>733</v>
      </c>
      <c r="D153" s="695">
        <f>'C.2.2-F 09'!P102</f>
        <v>69068.736747201372</v>
      </c>
      <c r="E153" s="103"/>
      <c r="H153" s="380"/>
      <c r="J153" s="380"/>
    </row>
    <row r="154" spans="1:10">
      <c r="A154" s="819">
        <f t="shared" si="2"/>
        <v>142</v>
      </c>
      <c r="B154" s="305">
        <v>9220</v>
      </c>
      <c r="C154" s="166" t="s">
        <v>734</v>
      </c>
      <c r="D154" s="695">
        <f>'C.2.2-F 09'!P103</f>
        <v>17714001.249609325</v>
      </c>
      <c r="E154" s="103"/>
      <c r="H154" s="380"/>
      <c r="J154" s="380"/>
    </row>
    <row r="155" spans="1:10">
      <c r="A155" s="819">
        <f t="shared" si="2"/>
        <v>143</v>
      </c>
      <c r="B155" s="305">
        <v>9230</v>
      </c>
      <c r="C155" s="166" t="s">
        <v>735</v>
      </c>
      <c r="D155" s="695">
        <f>'C.2.2-F 09'!P104</f>
        <v>69992.773357752987</v>
      </c>
      <c r="E155" s="103"/>
      <c r="H155" s="380"/>
      <c r="J155" s="380"/>
    </row>
    <row r="156" spans="1:10">
      <c r="A156" s="819">
        <f t="shared" si="2"/>
        <v>144</v>
      </c>
      <c r="B156" s="305">
        <v>9240</v>
      </c>
      <c r="C156" s="166" t="s">
        <v>300</v>
      </c>
      <c r="D156" s="695">
        <f>'C.2.2-F 09'!P105</f>
        <v>0</v>
      </c>
      <c r="E156" s="103"/>
      <c r="H156" s="380"/>
      <c r="J156" s="380"/>
    </row>
    <row r="157" spans="1:10">
      <c r="A157" s="819">
        <f t="shared" si="2"/>
        <v>145</v>
      </c>
      <c r="B157" s="305">
        <v>9250</v>
      </c>
      <c r="C157" s="166" t="s">
        <v>736</v>
      </c>
      <c r="D157" s="695">
        <f>'C.2.2-F 09'!P106</f>
        <v>23257.272517765381</v>
      </c>
      <c r="E157" s="103"/>
      <c r="H157" s="380"/>
      <c r="J157" s="380"/>
    </row>
    <row r="158" spans="1:10">
      <c r="A158" s="819">
        <f t="shared" si="2"/>
        <v>146</v>
      </c>
      <c r="B158" s="305">
        <v>9260</v>
      </c>
      <c r="C158" s="166" t="s">
        <v>738</v>
      </c>
      <c r="D158" s="695">
        <f>'C.2.2-F 09'!P107</f>
        <v>872758.78491780465</v>
      </c>
      <c r="E158" s="103"/>
      <c r="H158" s="380"/>
      <c r="J158" s="380"/>
    </row>
    <row r="159" spans="1:10">
      <c r="A159" s="819">
        <f t="shared" si="2"/>
        <v>147</v>
      </c>
      <c r="B159" s="305">
        <v>9270</v>
      </c>
      <c r="C159" s="166" t="s">
        <v>301</v>
      </c>
      <c r="D159" s="695">
        <f>'C.2.2-F 09'!P108</f>
        <v>635.46619925041443</v>
      </c>
      <c r="E159" s="103"/>
      <c r="H159" s="380"/>
      <c r="J159" s="380"/>
    </row>
    <row r="160" spans="1:10">
      <c r="A160" s="819">
        <f t="shared" si="2"/>
        <v>148</v>
      </c>
      <c r="B160" s="305">
        <v>9280</v>
      </c>
      <c r="C160" s="166" t="s">
        <v>739</v>
      </c>
      <c r="D160" s="695">
        <f>'C.2.2-F 09'!P109</f>
        <v>165391.61944989153</v>
      </c>
      <c r="E160" s="103"/>
      <c r="H160" s="380"/>
      <c r="J160" s="380"/>
    </row>
    <row r="161" spans="1:10">
      <c r="A161" s="819">
        <f t="shared" si="2"/>
        <v>149</v>
      </c>
      <c r="B161" s="310">
        <v>930.2</v>
      </c>
      <c r="C161" s="166" t="s">
        <v>302</v>
      </c>
      <c r="D161" s="695">
        <f>'C.2.2-F 09'!P110</f>
        <v>24410.809553333078</v>
      </c>
      <c r="E161" s="103"/>
      <c r="H161" s="380"/>
      <c r="J161" s="380"/>
    </row>
    <row r="162" spans="1:10">
      <c r="A162" s="819">
        <f t="shared" si="2"/>
        <v>150</v>
      </c>
      <c r="B162" s="299">
        <v>9310</v>
      </c>
      <c r="C162" s="161" t="s">
        <v>178</v>
      </c>
      <c r="D162" s="695">
        <f>'C.2.2-F 09'!P111</f>
        <v>0</v>
      </c>
      <c r="E162" s="103"/>
      <c r="H162" s="380"/>
      <c r="J162" s="380"/>
    </row>
    <row r="163" spans="1:10">
      <c r="A163" s="819">
        <f t="shared" si="2"/>
        <v>151</v>
      </c>
      <c r="B163" s="114"/>
      <c r="C163" s="144" t="s">
        <v>731</v>
      </c>
      <c r="D163" s="820">
        <f>SUM(D152:D162)</f>
        <v>18939516.712352324</v>
      </c>
      <c r="E163" s="175"/>
      <c r="F163" s="329"/>
      <c r="G163" s="329"/>
    </row>
    <row r="164" spans="1:10">
      <c r="A164" s="819">
        <f t="shared" si="2"/>
        <v>152</v>
      </c>
      <c r="B164" s="114"/>
      <c r="C164" s="120"/>
      <c r="D164" s="120"/>
      <c r="E164" s="120"/>
      <c r="H164" s="380"/>
    </row>
    <row r="165" spans="1:10">
      <c r="A165" s="819">
        <f t="shared" si="2"/>
        <v>153</v>
      </c>
      <c r="B165" s="114"/>
      <c r="C165" s="167" t="s">
        <v>742</v>
      </c>
      <c r="D165" s="120"/>
      <c r="E165" s="120"/>
      <c r="H165" s="380"/>
    </row>
    <row r="166" spans="1:10">
      <c r="A166" s="819">
        <f t="shared" si="2"/>
        <v>154</v>
      </c>
      <c r="B166" s="305">
        <v>9320</v>
      </c>
      <c r="C166" s="166" t="s">
        <v>743</v>
      </c>
      <c r="D166" s="702">
        <f>'C.2.2-F 09'!P112</f>
        <v>0</v>
      </c>
      <c r="E166" s="103"/>
      <c r="H166" s="380"/>
    </row>
    <row r="167" spans="1:10">
      <c r="A167" s="819">
        <f t="shared" si="2"/>
        <v>155</v>
      </c>
      <c r="B167" s="114"/>
      <c r="C167" s="144" t="s">
        <v>704</v>
      </c>
      <c r="D167" s="821">
        <f>SUM(D166:D166)</f>
        <v>0</v>
      </c>
      <c r="E167" s="290"/>
      <c r="H167" s="380"/>
    </row>
    <row r="168" spans="1:10">
      <c r="A168" s="819">
        <f t="shared" si="2"/>
        <v>156</v>
      </c>
      <c r="B168" s="50"/>
      <c r="H168" s="380"/>
    </row>
    <row r="169" spans="1:10">
      <c r="A169" s="819">
        <f t="shared" si="2"/>
        <v>157</v>
      </c>
      <c r="B169" s="114"/>
      <c r="C169" s="31" t="s">
        <v>320</v>
      </c>
      <c r="D169" s="691">
        <f>+D34+D50+D60+D70+D78+D100+D115+D128+D135+D142+D149+D163+D167</f>
        <v>122015356.33175825</v>
      </c>
      <c r="E169" s="175"/>
      <c r="F169" s="694"/>
      <c r="G169" s="329"/>
      <c r="H169" s="380"/>
      <c r="I169" s="45"/>
    </row>
    <row r="170" spans="1:10">
      <c r="A170" s="819">
        <f t="shared" si="2"/>
        <v>158</v>
      </c>
      <c r="B170" s="50"/>
      <c r="H170" s="380"/>
    </row>
    <row r="171" spans="1:10">
      <c r="A171" s="819">
        <f t="shared" si="2"/>
        <v>159</v>
      </c>
      <c r="B171" s="114" t="s">
        <v>303</v>
      </c>
      <c r="C171" s="113" t="s">
        <v>642</v>
      </c>
      <c r="D171" s="763">
        <f>'C.2.2-F 09'!P14+'C.2.2-F 09'!P15</f>
        <v>22028374.895356476</v>
      </c>
      <c r="E171" s="288"/>
      <c r="F171" s="329"/>
      <c r="G171" s="329"/>
      <c r="H171" s="380"/>
    </row>
    <row r="172" spans="1:10">
      <c r="A172" s="819">
        <f t="shared" si="2"/>
        <v>160</v>
      </c>
      <c r="B172" s="305">
        <v>4081</v>
      </c>
      <c r="C172" s="113" t="s">
        <v>643</v>
      </c>
      <c r="D172" s="695">
        <f>'C.2.2-F 09'!P16</f>
        <v>13803542.573109645</v>
      </c>
      <c r="E172" s="103"/>
      <c r="F172" s="329"/>
      <c r="G172" s="329"/>
      <c r="H172" s="380"/>
    </row>
    <row r="173" spans="1:10">
      <c r="A173" s="819">
        <f t="shared" si="2"/>
        <v>161</v>
      </c>
      <c r="B173" s="305">
        <v>4091</v>
      </c>
      <c r="C173" s="113" t="s">
        <v>641</v>
      </c>
      <c r="D173" s="695">
        <f>'C.2.2-F 09'!P12</f>
        <v>5336026.0100546936</v>
      </c>
      <c r="E173" s="103"/>
      <c r="F173" s="329"/>
      <c r="G173" s="329"/>
    </row>
    <row r="174" spans="1:10">
      <c r="A174" s="819">
        <f t="shared" si="2"/>
        <v>162</v>
      </c>
    </row>
    <row r="175" spans="1:10">
      <c r="A175" s="819">
        <f t="shared" si="2"/>
        <v>163</v>
      </c>
      <c r="B175" s="120"/>
      <c r="C175" s="113" t="s">
        <v>319</v>
      </c>
      <c r="D175" s="822">
        <f>+D169+SUM(D171:D173)</f>
        <v>163183299.81027907</v>
      </c>
      <c r="E175" s="288"/>
    </row>
    <row r="176" spans="1:10">
      <c r="A176" s="819">
        <f t="shared" si="2"/>
        <v>164</v>
      </c>
    </row>
    <row r="177" spans="1:5" ht="15.75" thickBot="1">
      <c r="A177" s="819">
        <f t="shared" si="2"/>
        <v>165</v>
      </c>
      <c r="B177" s="120"/>
      <c r="C177" s="113" t="s">
        <v>336</v>
      </c>
      <c r="D177" s="823">
        <f>(D28-D175)</f>
        <v>24638713.408732027</v>
      </c>
      <c r="E177" s="288"/>
    </row>
    <row r="178" spans="1:5" ht="15.75" thickTop="1"/>
    <row r="179" spans="1:5">
      <c r="B179" s="103"/>
    </row>
    <row r="180" spans="1:5">
      <c r="B180" s="103"/>
    </row>
    <row r="181" spans="1:5">
      <c r="B181" s="103"/>
    </row>
    <row r="182" spans="1:5">
      <c r="B182" s="103"/>
    </row>
    <row r="183" spans="1:5">
      <c r="B183" s="103"/>
    </row>
  </sheetData>
  <mergeCells count="4">
    <mergeCell ref="A1:D1"/>
    <mergeCell ref="A2:D2"/>
    <mergeCell ref="A3:D3"/>
    <mergeCell ref="A4:D4"/>
  </mergeCells>
  <phoneticPr fontId="20" type="noConversion"/>
  <printOptions horizontalCentered="1"/>
  <pageMargins left="0.81" right="0.7" top="0.71" bottom="0.94" header="0.5" footer="0.25"/>
  <pageSetup scale="79" fitToHeight="10" orientation="portrait" verticalDpi="300" r:id="rId1"/>
  <headerFooter alignWithMargins="0">
    <oddFooter>&amp;RSchedule &amp;A
Page &amp;P of &amp;N</oddFooter>
  </headerFooter>
  <rowBreaks count="4" manualBreakCount="4">
    <brk id="37" max="3" man="1"/>
    <brk id="70" max="3" man="1"/>
    <brk id="115" max="3" man="1"/>
    <brk id="149" max="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2D050"/>
  </sheetPr>
  <dimension ref="A1:U144"/>
  <sheetViews>
    <sheetView view="pageBreakPreview" topLeftCell="A11" zoomScale="80" zoomScaleNormal="100" zoomScaleSheetLayoutView="80" workbookViewId="0">
      <selection activeCell="J32" sqref="J32"/>
    </sheetView>
  </sheetViews>
  <sheetFormatPr defaultColWidth="7.109375" defaultRowHeight="15"/>
  <cols>
    <col min="1" max="1" width="4.6640625" customWidth="1"/>
    <col min="2" max="2" width="8.6640625" customWidth="1"/>
    <col min="3" max="3" width="47.6640625" customWidth="1"/>
    <col min="4" max="4" width="12.44140625" bestFit="1" customWidth="1"/>
    <col min="5" max="5" width="11.109375" customWidth="1"/>
    <col min="6" max="6" width="12" bestFit="1" customWidth="1"/>
    <col min="7" max="7" width="11.77734375" bestFit="1" customWidth="1"/>
    <col min="8" max="8" width="12" bestFit="1" customWidth="1"/>
    <col min="9" max="9" width="11.109375" customWidth="1"/>
    <col min="10" max="14" width="13.109375" bestFit="1" customWidth="1"/>
    <col min="15" max="15" width="17.109375" bestFit="1" customWidth="1"/>
    <col min="16" max="16" width="19.109375" customWidth="1"/>
    <col min="17" max="17" width="12.44140625" customWidth="1"/>
    <col min="18" max="18" width="12.5546875" customWidth="1"/>
    <col min="19" max="19" width="10.88671875" customWidth="1"/>
  </cols>
  <sheetData>
    <row r="1" spans="1:21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  <c r="R1" s="1"/>
      <c r="S1" s="1"/>
    </row>
    <row r="2" spans="1:21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  <c r="R2" s="1"/>
      <c r="S2" s="1"/>
    </row>
    <row r="3" spans="1:21">
      <c r="A3" s="1072" t="s">
        <v>397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  <c r="R3" s="1"/>
      <c r="S3" s="1"/>
    </row>
    <row r="4" spans="1:21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"/>
      <c r="R4" s="30"/>
      <c r="S4" s="30"/>
    </row>
    <row r="5" spans="1:21" ht="15.75">
      <c r="A5" s="38"/>
      <c r="B5" s="38"/>
      <c r="C5" s="38"/>
      <c r="D5" s="30"/>
      <c r="F5" s="449"/>
      <c r="G5" s="38"/>
      <c r="H5" s="38"/>
      <c r="I5" s="38"/>
      <c r="K5" s="449"/>
      <c r="L5" s="38"/>
      <c r="M5" s="38"/>
      <c r="N5" s="38"/>
      <c r="O5" s="38"/>
      <c r="P5" s="38"/>
      <c r="Q5" s="1"/>
      <c r="R5" s="30"/>
      <c r="S5" s="30"/>
    </row>
    <row r="6" spans="1:21" ht="15.75">
      <c r="A6" s="699" t="str">
        <f>'C.2.1 B'!A6</f>
        <v>Data:___X____Base Period________Forecasted Period</v>
      </c>
      <c r="B6" s="30"/>
      <c r="C6" s="30"/>
      <c r="D6" s="30"/>
      <c r="E6" s="30"/>
      <c r="F6" s="449"/>
      <c r="G6" s="30"/>
      <c r="H6" s="30"/>
      <c r="I6" s="30"/>
      <c r="J6" s="30"/>
      <c r="L6" s="30"/>
      <c r="M6" s="30"/>
      <c r="N6" s="30"/>
      <c r="O6" s="38"/>
      <c r="P6" s="291" t="s">
        <v>1343</v>
      </c>
      <c r="Q6" s="1"/>
      <c r="R6" s="30"/>
      <c r="S6" s="30"/>
    </row>
    <row r="7" spans="1:21">
      <c r="A7" s="699" t="str">
        <f>'C.2.1 B'!A7</f>
        <v>Type of Filing:___X____Original________Updated ________Revised</v>
      </c>
      <c r="B7" s="30"/>
      <c r="C7" s="30"/>
      <c r="D7" s="30"/>
      <c r="E7" s="329"/>
      <c r="F7" s="30"/>
      <c r="G7" s="30"/>
      <c r="H7" s="30"/>
      <c r="I7" s="30"/>
      <c r="P7" s="292" t="s">
        <v>35</v>
      </c>
      <c r="Q7" s="30"/>
      <c r="R7" s="30"/>
      <c r="S7" s="30"/>
    </row>
    <row r="8" spans="1:21">
      <c r="A8" s="717" t="str">
        <f>'C.2.1 B'!A8</f>
        <v>Workpaper Reference No(s).____________________</v>
      </c>
      <c r="B8" s="30"/>
      <c r="C8" s="30"/>
      <c r="D8" s="43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43"/>
      <c r="P8" s="801" t="str">
        <f>C.1!J9</f>
        <v>Witness: Waller, Wiebe, Troup</v>
      </c>
      <c r="Q8" s="30"/>
      <c r="R8" s="30"/>
      <c r="S8" s="30"/>
    </row>
    <row r="9" spans="1:21">
      <c r="A9" s="450" t="s">
        <v>88</v>
      </c>
      <c r="B9" s="451" t="s">
        <v>95</v>
      </c>
      <c r="C9" s="452"/>
      <c r="D9" s="389" t="s">
        <v>102</v>
      </c>
      <c r="E9" s="389" t="s">
        <v>102</v>
      </c>
      <c r="F9" s="389" t="s">
        <v>102</v>
      </c>
      <c r="G9" s="389" t="s">
        <v>102</v>
      </c>
      <c r="H9" s="389" t="s">
        <v>102</v>
      </c>
      <c r="I9" s="389" t="s">
        <v>102</v>
      </c>
      <c r="J9" s="37" t="s">
        <v>431</v>
      </c>
      <c r="K9" s="37" t="s">
        <v>431</v>
      </c>
      <c r="L9" s="37" t="s">
        <v>431</v>
      </c>
      <c r="M9" s="37" t="s">
        <v>431</v>
      </c>
      <c r="N9" s="37" t="s">
        <v>431</v>
      </c>
      <c r="O9" s="37" t="s">
        <v>431</v>
      </c>
      <c r="P9" s="50"/>
      <c r="Q9" s="50"/>
      <c r="R9" s="50"/>
      <c r="S9" s="50"/>
    </row>
    <row r="10" spans="1:21">
      <c r="A10" s="453" t="s">
        <v>94</v>
      </c>
      <c r="B10" s="121" t="s">
        <v>94</v>
      </c>
      <c r="C10" s="454" t="s">
        <v>918</v>
      </c>
      <c r="D10" s="335">
        <v>45292</v>
      </c>
      <c r="E10" s="773">
        <f>EOMONTH(D10,0)+1</f>
        <v>45323</v>
      </c>
      <c r="F10" s="773">
        <f t="shared" ref="F10:O10" si="0">EOMONTH(E10,0)+1</f>
        <v>45352</v>
      </c>
      <c r="G10" s="773">
        <f t="shared" si="0"/>
        <v>45383</v>
      </c>
      <c r="H10" s="773">
        <f t="shared" si="0"/>
        <v>45413</v>
      </c>
      <c r="I10" s="773">
        <f t="shared" si="0"/>
        <v>45444</v>
      </c>
      <c r="J10" s="773">
        <f t="shared" si="0"/>
        <v>45474</v>
      </c>
      <c r="K10" s="773">
        <f t="shared" si="0"/>
        <v>45505</v>
      </c>
      <c r="L10" s="773">
        <f t="shared" si="0"/>
        <v>45536</v>
      </c>
      <c r="M10" s="773">
        <f t="shared" si="0"/>
        <v>45566</v>
      </c>
      <c r="N10" s="773">
        <f t="shared" si="0"/>
        <v>45597</v>
      </c>
      <c r="O10" s="773">
        <f t="shared" si="0"/>
        <v>45627</v>
      </c>
      <c r="P10" s="622" t="s">
        <v>91</v>
      </c>
      <c r="Q10" s="50"/>
      <c r="R10" s="50"/>
      <c r="S10" s="50"/>
    </row>
    <row r="11" spans="1:21">
      <c r="A11" s="30"/>
      <c r="B11" s="30"/>
      <c r="C11" s="30"/>
      <c r="D11" s="104" t="s">
        <v>140</v>
      </c>
      <c r="E11" s="104" t="s">
        <v>140</v>
      </c>
      <c r="F11" s="104" t="s">
        <v>140</v>
      </c>
      <c r="G11" s="104" t="s">
        <v>140</v>
      </c>
      <c r="H11" s="104" t="s">
        <v>140</v>
      </c>
      <c r="I11" s="104" t="s">
        <v>140</v>
      </c>
      <c r="J11" s="104" t="s">
        <v>140</v>
      </c>
      <c r="K11" s="104" t="s">
        <v>140</v>
      </c>
      <c r="L11" s="104" t="s">
        <v>140</v>
      </c>
      <c r="M11" s="104" t="s">
        <v>140</v>
      </c>
      <c r="N11" s="104" t="s">
        <v>140</v>
      </c>
      <c r="O11" s="104" t="s">
        <v>140</v>
      </c>
      <c r="P11" s="104" t="s">
        <v>140</v>
      </c>
      <c r="Q11" s="104"/>
      <c r="R11" s="30"/>
    </row>
    <row r="12" spans="1:21">
      <c r="A12" s="50">
        <v>1</v>
      </c>
      <c r="B12" s="178" t="s">
        <v>705</v>
      </c>
      <c r="C12" t="s">
        <v>697</v>
      </c>
      <c r="D12" s="824">
        <v>-557931.11</v>
      </c>
      <c r="E12" s="824">
        <v>-557931.11</v>
      </c>
      <c r="F12" s="824">
        <v>2337053</v>
      </c>
      <c r="G12" s="824">
        <v>-557931.11</v>
      </c>
      <c r="H12" s="824">
        <v>-557931.11</v>
      </c>
      <c r="I12" s="824">
        <v>888545</v>
      </c>
      <c r="J12" s="607">
        <f>(E!$E$23-SUM($D$12:$I$12))/6</f>
        <v>901239.74033844133</v>
      </c>
      <c r="K12" s="607">
        <f>(E!$E$23-SUM($D$12:$I$12))/6</f>
        <v>901239.74033844133</v>
      </c>
      <c r="L12" s="607">
        <f>(E!$E$23-SUM($D$12:$I$12))/6</f>
        <v>901239.74033844133</v>
      </c>
      <c r="M12" s="607">
        <f>(E!$E$23-SUM($D$12:$I$12))/6</f>
        <v>901239.74033844133</v>
      </c>
      <c r="N12" s="607">
        <f>(E!$E$23-SUM($D$12:$I$12))/6</f>
        <v>901239.74033844133</v>
      </c>
      <c r="O12" s="607">
        <f>(E!$E$23-SUM($D$12:$I$12))/6</f>
        <v>901239.74033844133</v>
      </c>
      <c r="P12" s="329">
        <f>SUM(D12:O12)</f>
        <v>6401312.0020306474</v>
      </c>
      <c r="Q12" s="329"/>
      <c r="R12" s="329"/>
      <c r="S12" s="329"/>
      <c r="U12" s="375"/>
    </row>
    <row r="13" spans="1:21">
      <c r="A13" s="389">
        <f t="shared" ref="A13:A85" si="1">A12+1</f>
        <v>2</v>
      </c>
      <c r="B13" s="178"/>
      <c r="C13" s="30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81"/>
      <c r="R13" s="81"/>
      <c r="S13" s="81"/>
    </row>
    <row r="14" spans="1:21">
      <c r="A14" s="389">
        <f t="shared" si="1"/>
        <v>3</v>
      </c>
      <c r="B14" s="178">
        <v>4030</v>
      </c>
      <c r="C14" s="30" t="s">
        <v>86</v>
      </c>
      <c r="D14" s="824">
        <v>1764130.7</v>
      </c>
      <c r="E14" s="824">
        <v>1540904.8599999999</v>
      </c>
      <c r="F14" s="824">
        <v>1643697.0399999998</v>
      </c>
      <c r="G14" s="824">
        <v>1651106.5399999998</v>
      </c>
      <c r="H14" s="824">
        <v>1659649.3499999999</v>
      </c>
      <c r="I14" s="824">
        <v>1665429.72</v>
      </c>
      <c r="J14" s="824">
        <v>1644143.3081062199</v>
      </c>
      <c r="K14" s="824">
        <v>1649348.4125601586</v>
      </c>
      <c r="L14" s="824">
        <v>1670870.6415558287</v>
      </c>
      <c r="M14" s="824">
        <v>1673151.2125748259</v>
      </c>
      <c r="N14" s="824">
        <v>1675546.5865802516</v>
      </c>
      <c r="O14" s="824">
        <v>1677783.0770070194</v>
      </c>
      <c r="P14" s="329">
        <f t="shared" ref="P14" si="2">SUM(D14:O14)</f>
        <v>19915761.448384304</v>
      </c>
      <c r="Q14" s="375"/>
      <c r="R14" s="81"/>
      <c r="S14" s="81"/>
    </row>
    <row r="15" spans="1:21">
      <c r="A15" s="389">
        <f t="shared" si="1"/>
        <v>4</v>
      </c>
      <c r="B15" s="178">
        <v>4060</v>
      </c>
      <c r="C15" s="81" t="s">
        <v>830</v>
      </c>
      <c r="D15" s="824">
        <v>4108.7299999999996</v>
      </c>
      <c r="E15" s="824">
        <v>4108.7299999999996</v>
      </c>
      <c r="F15" s="824">
        <v>4108.7299999999996</v>
      </c>
      <c r="G15" s="824">
        <v>4108.7299999999996</v>
      </c>
      <c r="H15" s="824">
        <v>4108.7299999999996</v>
      </c>
      <c r="I15" s="824">
        <v>4108.7299999999996</v>
      </c>
      <c r="J15" s="825">
        <f>I15</f>
        <v>4108.7299999999996</v>
      </c>
      <c r="K15" s="825">
        <f t="shared" ref="K15:O15" si="3">J15</f>
        <v>4108.7299999999996</v>
      </c>
      <c r="L15" s="825">
        <f t="shared" si="3"/>
        <v>4108.7299999999996</v>
      </c>
      <c r="M15" s="825">
        <f t="shared" si="3"/>
        <v>4108.7299999999996</v>
      </c>
      <c r="N15" s="825">
        <f t="shared" si="3"/>
        <v>4108.7299999999996</v>
      </c>
      <c r="O15" s="825">
        <f t="shared" si="3"/>
        <v>4108.7299999999996</v>
      </c>
      <c r="P15" s="329">
        <f t="shared" ref="P15:P66" si="4">SUM(D15:O15)</f>
        <v>49304.75999999998</v>
      </c>
      <c r="R15" s="329"/>
      <c r="S15" s="81"/>
    </row>
    <row r="16" spans="1:21">
      <c r="A16" s="389">
        <f t="shared" si="1"/>
        <v>5</v>
      </c>
      <c r="B16" s="178">
        <v>4081</v>
      </c>
      <c r="C16" s="81" t="s">
        <v>831</v>
      </c>
      <c r="D16" s="824">
        <v>1239429.0699999998</v>
      </c>
      <c r="E16" s="824">
        <v>220307.81</v>
      </c>
      <c r="F16" s="824">
        <v>1220104.9899999998</v>
      </c>
      <c r="G16" s="824">
        <v>1279448.0399999998</v>
      </c>
      <c r="H16" s="824">
        <v>1279090.75</v>
      </c>
      <c r="I16" s="824">
        <v>1206164.25</v>
      </c>
      <c r="J16" s="826">
        <f>'C.2.3 B'!I24</f>
        <v>1287683.7899999998</v>
      </c>
      <c r="K16" s="826">
        <f>'C.2.3 B'!J24</f>
        <v>1213711.7799999998</v>
      </c>
      <c r="L16" s="826">
        <f>'C.2.3 B'!K24</f>
        <v>1213595.7899999998</v>
      </c>
      <c r="M16" s="826">
        <f>'C.2.3 B'!L24</f>
        <v>886589.71183323627</v>
      </c>
      <c r="N16" s="826">
        <f>'C.2.3 B'!M24</f>
        <v>909092.1118332363</v>
      </c>
      <c r="O16" s="826">
        <f>'C.2.3 B'!N24</f>
        <v>886976.71183323627</v>
      </c>
      <c r="P16" s="329">
        <f>SUM(D16:O16)</f>
        <v>12842194.805499708</v>
      </c>
      <c r="Q16" s="329"/>
      <c r="R16" s="329"/>
      <c r="S16" s="329"/>
    </row>
    <row r="17" spans="1:19">
      <c r="A17" s="389">
        <f t="shared" si="1"/>
        <v>6</v>
      </c>
      <c r="B17" s="178">
        <v>4800</v>
      </c>
      <c r="C17" s="394" t="s">
        <v>832</v>
      </c>
      <c r="D17" s="824">
        <v>-14522204.02</v>
      </c>
      <c r="E17" s="824">
        <v>-13210656.850000001</v>
      </c>
      <c r="F17" s="824">
        <v>-9497697.0099999998</v>
      </c>
      <c r="G17" s="824">
        <v>-7469104.6600000011</v>
      </c>
      <c r="H17" s="824">
        <v>-4669379.04</v>
      </c>
      <c r="I17" s="824">
        <v>-4016962.26</v>
      </c>
      <c r="J17" s="608">
        <v>-3801156.1528409775</v>
      </c>
      <c r="K17" s="608">
        <v>-3927290.2220665663</v>
      </c>
      <c r="L17" s="608">
        <v>-3922582.5558007024</v>
      </c>
      <c r="M17" s="608">
        <v>-4749660.9925711043</v>
      </c>
      <c r="N17" s="608">
        <v>-7428871.4514146149</v>
      </c>
      <c r="O17" s="608">
        <v>-10431445.24170484</v>
      </c>
      <c r="P17" s="329">
        <f t="shared" si="4"/>
        <v>-87647010.4563988</v>
      </c>
      <c r="Q17" s="81"/>
      <c r="R17" s="81"/>
      <c r="S17" s="81"/>
    </row>
    <row r="18" spans="1:19">
      <c r="A18" s="389">
        <f t="shared" si="1"/>
        <v>7</v>
      </c>
      <c r="B18" s="382">
        <v>4805</v>
      </c>
      <c r="C18" s="210" t="s">
        <v>1241</v>
      </c>
      <c r="D18" s="824">
        <v>-941606.92999999993</v>
      </c>
      <c r="E18" s="824">
        <v>1662235.4</v>
      </c>
      <c r="F18" s="824">
        <v>1038978.9299999999</v>
      </c>
      <c r="G18" s="824">
        <v>2112812.94</v>
      </c>
      <c r="H18" s="824">
        <v>492713</v>
      </c>
      <c r="I18" s="824">
        <v>31587</v>
      </c>
      <c r="J18" s="45"/>
      <c r="K18" s="45"/>
      <c r="L18" s="45"/>
      <c r="M18" s="45"/>
      <c r="N18" s="45"/>
      <c r="O18" s="45"/>
      <c r="P18" s="329">
        <f t="shared" si="4"/>
        <v>4396720.34</v>
      </c>
      <c r="Q18" s="81"/>
      <c r="R18" s="81"/>
      <c r="S18" s="81"/>
    </row>
    <row r="19" spans="1:19">
      <c r="A19" s="389">
        <f t="shared" si="1"/>
        <v>8</v>
      </c>
      <c r="B19" s="178">
        <v>4811</v>
      </c>
      <c r="C19" s="394" t="s">
        <v>1307</v>
      </c>
      <c r="D19" s="824">
        <v>-6903467.0300000003</v>
      </c>
      <c r="E19" s="824">
        <v>-6188915.8799999999</v>
      </c>
      <c r="F19" s="824">
        <v>-4359660.05</v>
      </c>
      <c r="G19" s="824">
        <v>-3450356.2800000003</v>
      </c>
      <c r="H19" s="824">
        <v>-2269478.08</v>
      </c>
      <c r="I19" s="824">
        <v>-2019915.06</v>
      </c>
      <c r="J19" s="608">
        <v>-1887756.7397423061</v>
      </c>
      <c r="K19" s="608">
        <v>-2012201.7785806181</v>
      </c>
      <c r="L19" s="608">
        <v>-1998651.0531115844</v>
      </c>
      <c r="M19" s="608">
        <v>-2367384.4493297972</v>
      </c>
      <c r="N19" s="608">
        <v>-3567915.760764868</v>
      </c>
      <c r="O19" s="608">
        <v>-4972940.9546995321</v>
      </c>
      <c r="P19" s="329">
        <f t="shared" si="4"/>
        <v>-41998643.1162287</v>
      </c>
      <c r="Q19" s="81"/>
      <c r="R19" s="329"/>
      <c r="S19" s="81"/>
    </row>
    <row r="20" spans="1:19">
      <c r="A20" s="389">
        <f t="shared" si="1"/>
        <v>9</v>
      </c>
      <c r="B20" s="178">
        <v>4812</v>
      </c>
      <c r="C20" s="81" t="s">
        <v>1308</v>
      </c>
      <c r="D20" s="824">
        <v>-744307.54999999993</v>
      </c>
      <c r="E20" s="824">
        <v>-650414.62999999989</v>
      </c>
      <c r="F20" s="824">
        <v>-439262.29</v>
      </c>
      <c r="G20" s="824">
        <v>-338108.79999999993</v>
      </c>
      <c r="H20" s="824">
        <v>-376430.17</v>
      </c>
      <c r="I20" s="824">
        <v>-159622.68</v>
      </c>
      <c r="J20" s="608">
        <v>-114005.84025439</v>
      </c>
      <c r="K20" s="608">
        <v>-170132.00093948</v>
      </c>
      <c r="L20" s="608">
        <v>-171022.19449590001</v>
      </c>
      <c r="M20" s="608">
        <v>-186353.35697015998</v>
      </c>
      <c r="N20" s="608">
        <v>-283179.55823025375</v>
      </c>
      <c r="O20" s="608">
        <v>-440619.88783741149</v>
      </c>
      <c r="P20" s="329">
        <f t="shared" si="4"/>
        <v>-4073458.9587275949</v>
      </c>
      <c r="Q20" s="81"/>
      <c r="R20" s="329"/>
      <c r="S20" s="81"/>
    </row>
    <row r="21" spans="1:19">
      <c r="A21" s="389">
        <f t="shared" si="1"/>
        <v>10</v>
      </c>
      <c r="B21" s="178">
        <v>4815</v>
      </c>
      <c r="C21" s="81" t="s">
        <v>1242</v>
      </c>
      <c r="D21" s="824">
        <v>-386847.89</v>
      </c>
      <c r="E21" s="824">
        <v>747402.87</v>
      </c>
      <c r="F21" s="824">
        <v>507331.23</v>
      </c>
      <c r="G21" s="824">
        <v>859771.78</v>
      </c>
      <c r="H21" s="824">
        <v>136563</v>
      </c>
      <c r="I21" s="824">
        <v>31939</v>
      </c>
      <c r="J21" s="45"/>
      <c r="K21" s="45"/>
      <c r="L21" s="45"/>
      <c r="M21" s="45"/>
      <c r="N21" s="45"/>
      <c r="O21" s="45"/>
      <c r="P21" s="329">
        <f t="shared" si="4"/>
        <v>1896159.99</v>
      </c>
      <c r="Q21" s="81"/>
      <c r="R21" s="329"/>
      <c r="S21" s="81"/>
    </row>
    <row r="22" spans="1:19">
      <c r="A22" s="389">
        <f t="shared" si="1"/>
        <v>11</v>
      </c>
      <c r="B22" s="178">
        <v>4816</v>
      </c>
      <c r="C22" s="81" t="s">
        <v>1272</v>
      </c>
      <c r="D22" s="824">
        <v>9492.26</v>
      </c>
      <c r="E22" s="824">
        <v>-7351.09</v>
      </c>
      <c r="F22" s="824">
        <v>3459.4</v>
      </c>
      <c r="G22" s="824">
        <v>-21740.68</v>
      </c>
      <c r="H22" s="824">
        <v>40243.51</v>
      </c>
      <c r="I22" s="824">
        <v>10206.77</v>
      </c>
      <c r="J22" s="45"/>
      <c r="K22" s="45"/>
      <c r="L22" s="45"/>
      <c r="M22" s="45"/>
      <c r="N22" s="45"/>
      <c r="O22" s="45"/>
      <c r="P22" s="329">
        <f t="shared" si="4"/>
        <v>34310.17</v>
      </c>
      <c r="R22" s="329"/>
      <c r="S22" s="81"/>
    </row>
    <row r="23" spans="1:19">
      <c r="A23" s="389">
        <f t="shared" si="1"/>
        <v>12</v>
      </c>
      <c r="B23" s="178">
        <v>4820</v>
      </c>
      <c r="C23" s="81" t="s">
        <v>833</v>
      </c>
      <c r="D23" s="824">
        <v>-993050.16999999993</v>
      </c>
      <c r="E23" s="824">
        <v>-903357.27</v>
      </c>
      <c r="F23" s="824">
        <v>-625179.72</v>
      </c>
      <c r="G23" s="824">
        <v>-473387.51999999996</v>
      </c>
      <c r="H23" s="824">
        <v>-325265.89</v>
      </c>
      <c r="I23" s="824">
        <v>-235203.29</v>
      </c>
      <c r="J23" s="608">
        <v>-212177.16075217506</v>
      </c>
      <c r="K23" s="608">
        <v>-233256.03851291689</v>
      </c>
      <c r="L23" s="608">
        <v>-236396.45584128058</v>
      </c>
      <c r="M23" s="608">
        <v>-298803.10019192647</v>
      </c>
      <c r="N23" s="608">
        <v>-491251.75165254949</v>
      </c>
      <c r="O23" s="608">
        <v>-718589.14866911201</v>
      </c>
      <c r="P23" s="329">
        <f t="shared" si="4"/>
        <v>-5745917.5156199615</v>
      </c>
      <c r="Q23" s="81"/>
      <c r="R23" s="329"/>
      <c r="S23" s="81"/>
    </row>
    <row r="24" spans="1:19">
      <c r="A24" s="389">
        <f t="shared" si="1"/>
        <v>13</v>
      </c>
      <c r="B24" s="178">
        <v>4825</v>
      </c>
      <c r="C24" s="81" t="s">
        <v>1243</v>
      </c>
      <c r="D24" s="824">
        <v>-66617.64</v>
      </c>
      <c r="E24" s="824">
        <v>121280.70999999999</v>
      </c>
      <c r="F24" s="824">
        <v>77500.77</v>
      </c>
      <c r="G24" s="824">
        <v>156195.09</v>
      </c>
      <c r="H24" s="824">
        <v>45481</v>
      </c>
      <c r="I24" s="824">
        <v>3727</v>
      </c>
      <c r="J24" s="45"/>
      <c r="K24" s="45"/>
      <c r="L24" s="45"/>
      <c r="M24" s="45"/>
      <c r="N24" s="45"/>
      <c r="O24" s="45"/>
      <c r="P24" s="329">
        <f t="shared" si="4"/>
        <v>337566.93</v>
      </c>
      <c r="S24" s="81"/>
    </row>
    <row r="25" spans="1:19">
      <c r="A25" s="389">
        <f t="shared" si="1"/>
        <v>14</v>
      </c>
      <c r="B25" s="178">
        <v>4870</v>
      </c>
      <c r="C25" s="81" t="s">
        <v>222</v>
      </c>
      <c r="D25" s="824">
        <v>0</v>
      </c>
      <c r="E25" s="824">
        <v>-27025.57</v>
      </c>
      <c r="F25" s="824">
        <v>-26264.400000000001</v>
      </c>
      <c r="G25" s="824">
        <v>-19781.560000000001</v>
      </c>
      <c r="H25" s="824">
        <v>-14418.96</v>
      </c>
      <c r="I25" s="824">
        <v>-11956.41</v>
      </c>
      <c r="J25" s="608">
        <v>-13930.131428884177</v>
      </c>
      <c r="K25" s="608">
        <v>-13262.810579287931</v>
      </c>
      <c r="L25" s="608">
        <v>-14176.957038946692</v>
      </c>
      <c r="M25" s="608">
        <v>-14105.493007242911</v>
      </c>
      <c r="N25" s="608">
        <v>-16816.80122485109</v>
      </c>
      <c r="O25" s="608">
        <v>-25570.913016815881</v>
      </c>
      <c r="P25" s="329">
        <f t="shared" si="4"/>
        <v>-197310.00629602867</v>
      </c>
      <c r="R25" s="81"/>
      <c r="S25" s="81"/>
    </row>
    <row r="26" spans="1:19">
      <c r="A26" s="389">
        <f t="shared" si="1"/>
        <v>15</v>
      </c>
      <c r="B26" s="178">
        <v>4880</v>
      </c>
      <c r="C26" s="81" t="s">
        <v>834</v>
      </c>
      <c r="D26" s="824">
        <v>-5587</v>
      </c>
      <c r="E26" s="824">
        <v>-4026</v>
      </c>
      <c r="F26" s="824">
        <v>-4332</v>
      </c>
      <c r="G26" s="824">
        <v>-3439</v>
      </c>
      <c r="H26" s="824">
        <v>-3844</v>
      </c>
      <c r="I26" s="824">
        <v>-3004</v>
      </c>
      <c r="J26" s="608">
        <v>-3387</v>
      </c>
      <c r="K26" s="608">
        <v>-3698</v>
      </c>
      <c r="L26" s="608">
        <v>-4212</v>
      </c>
      <c r="M26" s="608">
        <v>-9928</v>
      </c>
      <c r="N26" s="608">
        <v>-8550</v>
      </c>
      <c r="O26" s="608">
        <v>-4906</v>
      </c>
      <c r="P26" s="329">
        <f t="shared" si="4"/>
        <v>-58913</v>
      </c>
      <c r="R26" s="81"/>
      <c r="S26" s="81"/>
    </row>
    <row r="27" spans="1:19">
      <c r="A27" s="389">
        <f t="shared" si="1"/>
        <v>16</v>
      </c>
      <c r="B27" s="178">
        <v>4893</v>
      </c>
      <c r="C27" s="81" t="s">
        <v>1167</v>
      </c>
      <c r="D27" s="824">
        <v>-2205449.14</v>
      </c>
      <c r="E27" s="824">
        <v>-1919453.7699999998</v>
      </c>
      <c r="F27" s="824">
        <v>-2254677.2599999998</v>
      </c>
      <c r="G27" s="824">
        <v>-1324758.3500000001</v>
      </c>
      <c r="H27" s="824">
        <v>-1662340.1899999997</v>
      </c>
      <c r="I27" s="824">
        <v>-1594478.25</v>
      </c>
      <c r="J27" s="608">
        <v>-1499945.5921710199</v>
      </c>
      <c r="K27" s="608">
        <v>-1747368.4696693199</v>
      </c>
      <c r="L27" s="608">
        <v>-1803741.8972384203</v>
      </c>
      <c r="M27" s="608">
        <v>-1813304.3260601205</v>
      </c>
      <c r="N27" s="608">
        <v>-2093702.4031728203</v>
      </c>
      <c r="O27" s="608">
        <v>-1829667.1091907201</v>
      </c>
      <c r="P27" s="329">
        <f t="shared" ref="P27:P31" si="5">SUM(D27:O27)</f>
        <v>-21748886.757502422</v>
      </c>
      <c r="Q27" s="392"/>
    </row>
    <row r="28" spans="1:19">
      <c r="A28" s="389">
        <f t="shared" si="1"/>
        <v>17</v>
      </c>
      <c r="B28" s="382">
        <v>4950</v>
      </c>
      <c r="C28" s="1" t="s">
        <v>635</v>
      </c>
      <c r="D28" s="825">
        <f>0</f>
        <v>0</v>
      </c>
      <c r="E28" s="825">
        <f>0</f>
        <v>0</v>
      </c>
      <c r="F28" s="825">
        <f>0</f>
        <v>0</v>
      </c>
      <c r="G28" s="825">
        <f>0</f>
        <v>0</v>
      </c>
      <c r="H28" s="825">
        <f>0</f>
        <v>0</v>
      </c>
      <c r="I28" s="825">
        <f>0</f>
        <v>0</v>
      </c>
      <c r="J28" s="608">
        <v>0</v>
      </c>
      <c r="K28" s="608">
        <v>0</v>
      </c>
      <c r="L28" s="608">
        <v>0</v>
      </c>
      <c r="M28" s="608">
        <v>0</v>
      </c>
      <c r="N28" s="608">
        <v>0</v>
      </c>
      <c r="O28" s="608">
        <v>0</v>
      </c>
      <c r="P28" s="329">
        <f t="shared" si="5"/>
        <v>0</v>
      </c>
      <c r="Q28" s="392"/>
    </row>
    <row r="29" spans="1:19">
      <c r="A29" s="389">
        <f t="shared" si="1"/>
        <v>18</v>
      </c>
      <c r="B29" s="382">
        <v>4960</v>
      </c>
      <c r="C29" t="s">
        <v>1491</v>
      </c>
      <c r="D29" s="825">
        <f>0</f>
        <v>0</v>
      </c>
      <c r="E29" s="825">
        <f>0</f>
        <v>0</v>
      </c>
      <c r="F29" s="825">
        <f>0</f>
        <v>0</v>
      </c>
      <c r="G29" s="825">
        <f>0</f>
        <v>0</v>
      </c>
      <c r="H29" s="825">
        <f>0</f>
        <v>0</v>
      </c>
      <c r="I29" s="825">
        <f>0</f>
        <v>0</v>
      </c>
      <c r="J29" s="825">
        <v>0</v>
      </c>
      <c r="K29" s="825">
        <v>0</v>
      </c>
      <c r="L29" s="825">
        <v>0</v>
      </c>
      <c r="M29" s="825">
        <v>0</v>
      </c>
      <c r="N29" s="825">
        <v>0</v>
      </c>
      <c r="O29" s="825">
        <v>0</v>
      </c>
      <c r="P29" s="329">
        <f t="shared" si="5"/>
        <v>0</v>
      </c>
      <c r="Q29" s="392"/>
    </row>
    <row r="30" spans="1:19">
      <c r="A30" s="389">
        <f t="shared" si="1"/>
        <v>19</v>
      </c>
      <c r="B30" s="178">
        <v>7560</v>
      </c>
      <c r="C30" t="s">
        <v>1310</v>
      </c>
      <c r="D30" s="825">
        <f>0</f>
        <v>0</v>
      </c>
      <c r="E30" s="825">
        <f>0</f>
        <v>0</v>
      </c>
      <c r="F30" s="825">
        <f>0</f>
        <v>0</v>
      </c>
      <c r="G30" s="825">
        <f>0</f>
        <v>0</v>
      </c>
      <c r="H30" s="825">
        <f>0</f>
        <v>0</v>
      </c>
      <c r="I30" s="825">
        <f>0</f>
        <v>0</v>
      </c>
      <c r="J30" s="609">
        <v>0</v>
      </c>
      <c r="K30" s="609">
        <v>0</v>
      </c>
      <c r="L30" s="609">
        <v>0</v>
      </c>
      <c r="M30" s="609">
        <v>0</v>
      </c>
      <c r="N30" s="609">
        <v>0</v>
      </c>
      <c r="O30" s="609">
        <v>0</v>
      </c>
      <c r="P30" s="329">
        <f t="shared" si="5"/>
        <v>0</v>
      </c>
      <c r="S30" s="81"/>
    </row>
    <row r="31" spans="1:19">
      <c r="A31" s="389">
        <f t="shared" si="1"/>
        <v>20</v>
      </c>
      <c r="B31" s="178">
        <v>7590</v>
      </c>
      <c r="C31" t="s">
        <v>1274</v>
      </c>
      <c r="D31" s="825">
        <f>0</f>
        <v>0</v>
      </c>
      <c r="E31" s="825">
        <f>0</f>
        <v>0</v>
      </c>
      <c r="F31" s="825">
        <f>0</f>
        <v>0</v>
      </c>
      <c r="G31" s="825">
        <f>0</f>
        <v>0</v>
      </c>
      <c r="H31" s="825">
        <f>0</f>
        <v>0</v>
      </c>
      <c r="I31" s="825">
        <f>0</f>
        <v>0</v>
      </c>
      <c r="J31" s="609">
        <v>0</v>
      </c>
      <c r="K31" s="609">
        <v>0</v>
      </c>
      <c r="L31" s="609">
        <v>0</v>
      </c>
      <c r="M31" s="609">
        <v>0</v>
      </c>
      <c r="N31" s="609">
        <v>0</v>
      </c>
      <c r="O31" s="609">
        <v>0</v>
      </c>
      <c r="P31" s="329">
        <f t="shared" si="5"/>
        <v>0</v>
      </c>
      <c r="S31" s="81"/>
    </row>
    <row r="32" spans="1:19">
      <c r="A32" s="389">
        <f t="shared" si="1"/>
        <v>21</v>
      </c>
      <c r="B32" s="178">
        <v>8001</v>
      </c>
      <c r="C32" s="81" t="s">
        <v>836</v>
      </c>
      <c r="D32" s="825">
        <f>0</f>
        <v>0</v>
      </c>
      <c r="E32" s="825">
        <f>0</f>
        <v>0</v>
      </c>
      <c r="F32" s="825">
        <f>0</f>
        <v>0</v>
      </c>
      <c r="G32" s="825">
        <f>0</f>
        <v>0</v>
      </c>
      <c r="H32" s="825">
        <f>0</f>
        <v>0</v>
      </c>
      <c r="I32" s="825">
        <f>0</f>
        <v>0</v>
      </c>
      <c r="J32" s="608">
        <v>0</v>
      </c>
      <c r="K32" s="608">
        <v>0</v>
      </c>
      <c r="L32" s="608">
        <v>0</v>
      </c>
      <c r="M32" s="608">
        <v>0</v>
      </c>
      <c r="N32" s="608">
        <v>0</v>
      </c>
      <c r="O32" s="608">
        <v>0</v>
      </c>
      <c r="P32" s="329">
        <f t="shared" si="4"/>
        <v>0</v>
      </c>
      <c r="Q32" s="329"/>
      <c r="R32" s="329"/>
      <c r="S32" s="81"/>
    </row>
    <row r="33" spans="1:19">
      <c r="A33" s="389">
        <f t="shared" si="1"/>
        <v>22</v>
      </c>
      <c r="B33" s="178">
        <v>8010</v>
      </c>
      <c r="C33" t="s">
        <v>1165</v>
      </c>
      <c r="D33" s="824">
        <v>2335.77</v>
      </c>
      <c r="E33" s="824">
        <v>422.93</v>
      </c>
      <c r="F33" s="824">
        <v>389.78</v>
      </c>
      <c r="G33" s="824">
        <v>881.28</v>
      </c>
      <c r="H33" s="824">
        <v>3865.09</v>
      </c>
      <c r="I33" s="824">
        <v>3421.18</v>
      </c>
      <c r="J33" s="608">
        <v>7415.4901453342427</v>
      </c>
      <c r="K33" s="608">
        <v>19738.39060209948</v>
      </c>
      <c r="L33" s="608">
        <v>17271.35337471477</v>
      </c>
      <c r="M33" s="608">
        <v>9910.7851781670088</v>
      </c>
      <c r="N33" s="608">
        <v>8741.7883628506752</v>
      </c>
      <c r="O33" s="608">
        <v>4239.3102084988541</v>
      </c>
      <c r="P33" s="329">
        <f t="shared" ref="P33" si="6">SUM(D33:O33)</f>
        <v>78633.147871665016</v>
      </c>
      <c r="Q33" s="81"/>
      <c r="R33" s="81"/>
      <c r="S33" s="81"/>
    </row>
    <row r="34" spans="1:19">
      <c r="A34" s="389">
        <f t="shared" si="1"/>
        <v>23</v>
      </c>
      <c r="B34" s="178">
        <v>8040</v>
      </c>
      <c r="C34" s="81" t="s">
        <v>837</v>
      </c>
      <c r="D34" s="824">
        <v>2946868.75</v>
      </c>
      <c r="E34" s="824">
        <v>5393021.1799999997</v>
      </c>
      <c r="F34" s="824">
        <v>690605.38</v>
      </c>
      <c r="G34" s="824">
        <v>-1091427.83</v>
      </c>
      <c r="H34" s="824">
        <v>2886911.81</v>
      </c>
      <c r="I34" s="824">
        <v>2323452.7599999998</v>
      </c>
      <c r="J34" s="608">
        <v>2234798.9451384968</v>
      </c>
      <c r="K34" s="608">
        <v>4266034.1625591619</v>
      </c>
      <c r="L34" s="608">
        <v>3996667.5553542119</v>
      </c>
      <c r="M34" s="608">
        <v>3052338.1169783846</v>
      </c>
      <c r="N34" s="608">
        <v>3157551.6281118486</v>
      </c>
      <c r="O34" s="608">
        <v>2230937.7839727988</v>
      </c>
      <c r="P34" s="329">
        <f t="shared" si="4"/>
        <v>32087760.242114902</v>
      </c>
      <c r="Q34" s="81"/>
      <c r="R34" s="329"/>
      <c r="S34" s="81"/>
    </row>
    <row r="35" spans="1:19">
      <c r="A35" s="389">
        <f t="shared" si="1"/>
        <v>24</v>
      </c>
      <c r="B35" s="178">
        <v>8050</v>
      </c>
      <c r="C35" s="81" t="s">
        <v>838</v>
      </c>
      <c r="D35" s="824">
        <v>-854.18</v>
      </c>
      <c r="E35" s="824">
        <v>-721.32</v>
      </c>
      <c r="F35" s="824">
        <v>-1099.46</v>
      </c>
      <c r="G35" s="824">
        <v>-538.27</v>
      </c>
      <c r="H35" s="824">
        <v>-1109.6099999999999</v>
      </c>
      <c r="I35" s="824">
        <v>-2865.12</v>
      </c>
      <c r="J35" s="608">
        <v>-1076.0916172833399</v>
      </c>
      <c r="K35" s="608">
        <v>-1465.36631244303</v>
      </c>
      <c r="L35" s="608">
        <v>-3647.2442711907188</v>
      </c>
      <c r="M35" s="608">
        <v>-2366.5618715797532</v>
      </c>
      <c r="N35" s="608">
        <v>-2519.2588009067658</v>
      </c>
      <c r="O35" s="608">
        <v>-347.48137247540444</v>
      </c>
      <c r="P35" s="329">
        <f t="shared" si="4"/>
        <v>-18609.964245879011</v>
      </c>
      <c r="Q35" s="81"/>
      <c r="R35" s="329"/>
      <c r="S35" s="81"/>
    </row>
    <row r="36" spans="1:19">
      <c r="A36" s="389">
        <f t="shared" si="1"/>
        <v>25</v>
      </c>
      <c r="B36" s="178">
        <v>8051</v>
      </c>
      <c r="C36" s="81" t="s">
        <v>839</v>
      </c>
      <c r="D36" s="824">
        <v>7720127.6600000001</v>
      </c>
      <c r="E36" s="824">
        <v>6363457.71</v>
      </c>
      <c r="F36" s="824">
        <v>3725218.47</v>
      </c>
      <c r="G36" s="824">
        <v>2707263.29</v>
      </c>
      <c r="H36" s="824">
        <v>1007185.67</v>
      </c>
      <c r="I36" s="824">
        <v>599709.44999999995</v>
      </c>
      <c r="J36" s="608">
        <v>554274.56692155905</v>
      </c>
      <c r="K36" s="608">
        <v>620488.93714890757</v>
      </c>
      <c r="L36" s="608">
        <v>597741.84884274623</v>
      </c>
      <c r="M36" s="608">
        <v>584683.09807844297</v>
      </c>
      <c r="N36" s="608">
        <v>1791999.6296381131</v>
      </c>
      <c r="O36" s="608">
        <v>4409207.2918193163</v>
      </c>
      <c r="P36" s="329">
        <f t="shared" si="4"/>
        <v>30681357.622449085</v>
      </c>
      <c r="Q36" s="81"/>
      <c r="R36" s="81"/>
      <c r="S36" s="81"/>
    </row>
    <row r="37" spans="1:19">
      <c r="A37" s="389">
        <f t="shared" si="1"/>
        <v>26</v>
      </c>
      <c r="B37" s="178">
        <v>8052</v>
      </c>
      <c r="C37" s="81" t="s">
        <v>840</v>
      </c>
      <c r="D37" s="824">
        <v>3952614.24</v>
      </c>
      <c r="E37" s="824">
        <v>3217648.61</v>
      </c>
      <c r="F37" s="824">
        <v>1908461.95</v>
      </c>
      <c r="G37" s="824">
        <v>1426521.17</v>
      </c>
      <c r="H37" s="824">
        <v>693114.32</v>
      </c>
      <c r="I37" s="824">
        <v>545419.56000000006</v>
      </c>
      <c r="J37" s="608">
        <v>542989.08940674213</v>
      </c>
      <c r="K37" s="608">
        <v>598118.10909144185</v>
      </c>
      <c r="L37" s="608">
        <v>735692.35566160374</v>
      </c>
      <c r="M37" s="608">
        <v>700813.69357787748</v>
      </c>
      <c r="N37" s="608">
        <v>1025643.6457148301</v>
      </c>
      <c r="O37" s="608">
        <v>2219851.9761636415</v>
      </c>
      <c r="P37" s="329">
        <f t="shared" si="4"/>
        <v>17566888.719616137</v>
      </c>
      <c r="Q37" s="81"/>
      <c r="R37" s="81"/>
      <c r="S37" s="81"/>
    </row>
    <row r="38" spans="1:19">
      <c r="A38" s="389">
        <f t="shared" si="1"/>
        <v>27</v>
      </c>
      <c r="B38" s="178">
        <v>8053</v>
      </c>
      <c r="C38" s="81" t="s">
        <v>841</v>
      </c>
      <c r="D38" s="824">
        <v>534300.01</v>
      </c>
      <c r="E38" s="824">
        <v>453403.8</v>
      </c>
      <c r="F38" s="824">
        <v>297282.49</v>
      </c>
      <c r="G38" s="824">
        <v>225281.96</v>
      </c>
      <c r="H38" s="824">
        <v>257645.7</v>
      </c>
      <c r="I38" s="824">
        <v>97110.18</v>
      </c>
      <c r="J38" s="608">
        <v>75892.043716454325</v>
      </c>
      <c r="K38" s="608">
        <v>141478.68206256171</v>
      </c>
      <c r="L38" s="608">
        <v>102867.26908394779</v>
      </c>
      <c r="M38" s="608">
        <v>85849.279466033098</v>
      </c>
      <c r="N38" s="608">
        <v>159756.12459898595</v>
      </c>
      <c r="O38" s="608">
        <v>319745.52171731449</v>
      </c>
      <c r="P38" s="329">
        <f t="shared" si="4"/>
        <v>2750613.0606452972</v>
      </c>
      <c r="Q38" s="81"/>
      <c r="R38" s="81"/>
      <c r="S38" s="81"/>
    </row>
    <row r="39" spans="1:19">
      <c r="A39" s="389">
        <f t="shared" si="1"/>
        <v>28</v>
      </c>
      <c r="B39" s="178">
        <v>8054</v>
      </c>
      <c r="C39" s="81" t="s">
        <v>842</v>
      </c>
      <c r="D39" s="824">
        <v>622566.44999999995</v>
      </c>
      <c r="E39" s="824">
        <v>530933.05000000005</v>
      </c>
      <c r="F39" s="824">
        <v>320792.7</v>
      </c>
      <c r="G39" s="824">
        <v>240455.27</v>
      </c>
      <c r="H39" s="824">
        <v>148657.79</v>
      </c>
      <c r="I39" s="824">
        <v>90946.2</v>
      </c>
      <c r="J39" s="608">
        <v>86759.058478970779</v>
      </c>
      <c r="K39" s="608">
        <v>107807.80323396188</v>
      </c>
      <c r="L39" s="608">
        <v>84190.20624026304</v>
      </c>
      <c r="M39" s="608">
        <v>99156.746541388842</v>
      </c>
      <c r="N39" s="608">
        <v>177014.49959961791</v>
      </c>
      <c r="O39" s="608">
        <v>363944.39364413277</v>
      </c>
      <c r="P39" s="329">
        <f t="shared" si="4"/>
        <v>2873224.1677383347</v>
      </c>
      <c r="Q39" s="81"/>
      <c r="S39" s="81"/>
    </row>
    <row r="40" spans="1:19">
      <c r="A40" s="389">
        <f t="shared" si="1"/>
        <v>29</v>
      </c>
      <c r="B40" s="178">
        <v>8058</v>
      </c>
      <c r="C40" s="81" t="s">
        <v>843</v>
      </c>
      <c r="D40" s="824">
        <v>1060325.6800000002</v>
      </c>
      <c r="E40" s="824">
        <v>-2117487.7000000002</v>
      </c>
      <c r="F40" s="824">
        <v>-821588.57</v>
      </c>
      <c r="G40" s="824">
        <v>-2026664.49</v>
      </c>
      <c r="H40" s="824">
        <v>-466260.98</v>
      </c>
      <c r="I40" s="824">
        <v>-44546.26</v>
      </c>
      <c r="J40" s="608">
        <v>-132910.1366695519</v>
      </c>
      <c r="K40" s="608">
        <v>-12424.65560501037</v>
      </c>
      <c r="L40" s="608">
        <v>-47358.817448103691</v>
      </c>
      <c r="M40" s="608">
        <v>911290.62198989256</v>
      </c>
      <c r="N40" s="608">
        <v>1866784.9603972293</v>
      </c>
      <c r="O40" s="608">
        <v>948801.90559015097</v>
      </c>
      <c r="P40" s="329">
        <f t="shared" si="4"/>
        <v>-882038.44174539368</v>
      </c>
      <c r="Q40" s="81"/>
      <c r="R40" s="81"/>
      <c r="S40" s="81"/>
    </row>
    <row r="41" spans="1:19">
      <c r="A41" s="389">
        <f t="shared" si="1"/>
        <v>30</v>
      </c>
      <c r="B41" s="178">
        <v>8059</v>
      </c>
      <c r="C41" s="81" t="s">
        <v>844</v>
      </c>
      <c r="D41" s="824">
        <v>-8676793.8399999999</v>
      </c>
      <c r="E41" s="824">
        <v>-13579545.5</v>
      </c>
      <c r="F41" s="824">
        <v>-8298361.1299999999</v>
      </c>
      <c r="G41" s="824">
        <v>-5458963.1600000001</v>
      </c>
      <c r="H41" s="824">
        <v>-4696903.54</v>
      </c>
      <c r="I41" s="824">
        <v>-1473753.01</v>
      </c>
      <c r="J41" s="608">
        <v>-1261163.3811638302</v>
      </c>
      <c r="K41" s="608">
        <v>-2523842.9665437937</v>
      </c>
      <c r="L41" s="608">
        <v>-2553649.3805855154</v>
      </c>
      <c r="M41" s="608">
        <v>-2304751.8681282033</v>
      </c>
      <c r="N41" s="608">
        <v>-2956372.9547399646</v>
      </c>
      <c r="O41" s="608">
        <v>-6422452.8288308345</v>
      </c>
      <c r="P41" s="329">
        <f t="shared" si="4"/>
        <v>-60206553.559992135</v>
      </c>
      <c r="Q41" s="81"/>
      <c r="R41" s="81"/>
      <c r="S41" s="81"/>
    </row>
    <row r="42" spans="1:19">
      <c r="A42" s="389">
        <f t="shared" si="1"/>
        <v>31</v>
      </c>
      <c r="B42" s="178">
        <v>8060</v>
      </c>
      <c r="C42" s="81" t="s">
        <v>845</v>
      </c>
      <c r="D42" s="824">
        <v>1175391.3400000001</v>
      </c>
      <c r="E42" s="824">
        <v>1463290.42</v>
      </c>
      <c r="F42" s="824">
        <v>1130451.57</v>
      </c>
      <c r="G42" s="824">
        <v>935816.89</v>
      </c>
      <c r="H42" s="824">
        <v>-6733.05</v>
      </c>
      <c r="I42" s="824">
        <v>-1205145.97</v>
      </c>
      <c r="J42" s="608">
        <v>-1162712.1443022434</v>
      </c>
      <c r="K42" s="608">
        <v>-1715525.4469524305</v>
      </c>
      <c r="L42" s="608">
        <v>-1539579.1543726267</v>
      </c>
      <c r="M42" s="608">
        <v>-742489.00148081908</v>
      </c>
      <c r="N42" s="608">
        <v>-465308.36210969771</v>
      </c>
      <c r="O42" s="608">
        <v>252584.73415255637</v>
      </c>
      <c r="P42" s="329">
        <f t="shared" si="4"/>
        <v>-1879958.1750652608</v>
      </c>
      <c r="Q42" s="81"/>
      <c r="R42" s="81"/>
      <c r="S42" s="81"/>
    </row>
    <row r="43" spans="1:19">
      <c r="A43" s="389">
        <f t="shared" si="1"/>
        <v>32</v>
      </c>
      <c r="B43" s="178">
        <v>8081</v>
      </c>
      <c r="C43" s="81" t="s">
        <v>846</v>
      </c>
      <c r="D43" s="824">
        <v>2057298.21</v>
      </c>
      <c r="E43" s="824">
        <v>4173242.15</v>
      </c>
      <c r="F43" s="824">
        <v>4167729.36</v>
      </c>
      <c r="G43" s="824">
        <v>3184081.39</v>
      </c>
      <c r="H43" s="824">
        <v>22720</v>
      </c>
      <c r="I43" s="824">
        <v>0</v>
      </c>
      <c r="J43" s="608">
        <v>0</v>
      </c>
      <c r="K43" s="608">
        <v>0</v>
      </c>
      <c r="L43" s="608">
        <v>0</v>
      </c>
      <c r="M43" s="608">
        <v>0</v>
      </c>
      <c r="N43" s="608">
        <v>2938.7348884374774</v>
      </c>
      <c r="O43" s="608">
        <v>1753955.8547456956</v>
      </c>
      <c r="P43" s="329">
        <f t="shared" si="4"/>
        <v>15361965.699634133</v>
      </c>
      <c r="Q43" s="81"/>
      <c r="R43" s="81"/>
      <c r="S43" s="81"/>
    </row>
    <row r="44" spans="1:19">
      <c r="A44" s="389">
        <f t="shared" si="1"/>
        <v>33</v>
      </c>
      <c r="B44" s="178">
        <v>8082</v>
      </c>
      <c r="C44" s="81" t="s">
        <v>847</v>
      </c>
      <c r="D44" s="824">
        <v>-11969.77</v>
      </c>
      <c r="E44" s="824">
        <v>-10539.21</v>
      </c>
      <c r="F44" s="824">
        <v>-29777.03</v>
      </c>
      <c r="G44" s="824">
        <v>-2200</v>
      </c>
      <c r="H44" s="824">
        <v>-306312.44</v>
      </c>
      <c r="I44" s="824">
        <v>-1390229.17</v>
      </c>
      <c r="J44" s="608">
        <v>-1068997.2445122169</v>
      </c>
      <c r="K44" s="608">
        <v>-2340891.2105738898</v>
      </c>
      <c r="L44" s="608">
        <v>-1865332.796448715</v>
      </c>
      <c r="M44" s="608">
        <v>-1457993.350306506</v>
      </c>
      <c r="N44" s="608">
        <v>-1365058.4625504636</v>
      </c>
      <c r="O44" s="608">
        <v>-68018.972894025021</v>
      </c>
      <c r="P44" s="329">
        <f t="shared" si="4"/>
        <v>-9917319.6572858151</v>
      </c>
      <c r="Q44" s="392"/>
      <c r="S44" s="81"/>
    </row>
    <row r="45" spans="1:19">
      <c r="A45" s="389">
        <f t="shared" si="1"/>
        <v>34</v>
      </c>
      <c r="B45" s="178">
        <v>8120</v>
      </c>
      <c r="C45" s="81" t="s">
        <v>848</v>
      </c>
      <c r="D45" s="824">
        <v>-318.59000000000015</v>
      </c>
      <c r="E45" s="824">
        <v>-4878.9799999999996</v>
      </c>
      <c r="F45" s="824">
        <v>336.33000000000175</v>
      </c>
      <c r="G45" s="824">
        <v>-664.71000000000095</v>
      </c>
      <c r="H45" s="824">
        <v>-853.18000000000029</v>
      </c>
      <c r="I45" s="824">
        <v>1623.6599999999999</v>
      </c>
      <c r="J45" s="608">
        <v>2283.0838895135598</v>
      </c>
      <c r="K45" s="608">
        <v>-173.59915050049608</v>
      </c>
      <c r="L45" s="608">
        <v>-95.584079315640651</v>
      </c>
      <c r="M45" s="608">
        <v>-201.50513388304978</v>
      </c>
      <c r="N45" s="608">
        <v>-855.8688457137207</v>
      </c>
      <c r="O45" s="608">
        <v>481.04159812228448</v>
      </c>
      <c r="P45" s="329">
        <f t="shared" si="4"/>
        <v>-3317.9017217770629</v>
      </c>
      <c r="Q45" s="81"/>
      <c r="R45" s="81"/>
      <c r="S45" s="81"/>
    </row>
    <row r="46" spans="1:19">
      <c r="A46" s="389">
        <f t="shared" si="1"/>
        <v>35</v>
      </c>
      <c r="B46" s="178">
        <v>8580</v>
      </c>
      <c r="C46" t="s">
        <v>1166</v>
      </c>
      <c r="D46" s="824">
        <v>2507723.7200000002</v>
      </c>
      <c r="E46" s="824">
        <v>2560829.35</v>
      </c>
      <c r="F46" s="824">
        <v>2340061.5300000003</v>
      </c>
      <c r="G46" s="824">
        <v>2432349.7000000002</v>
      </c>
      <c r="H46" s="824">
        <v>2097561.7400000002</v>
      </c>
      <c r="I46" s="824">
        <v>1745119.33</v>
      </c>
      <c r="J46" s="608">
        <v>1251734.4263117423</v>
      </c>
      <c r="K46" s="608">
        <v>2295952.4372212947</v>
      </c>
      <c r="L46" s="608">
        <v>1948269.6669491213</v>
      </c>
      <c r="M46" s="608">
        <v>1445351.8796305563</v>
      </c>
      <c r="N46" s="608">
        <v>1620026.886837896</v>
      </c>
      <c r="O46" s="608">
        <v>2249101.6000177851</v>
      </c>
      <c r="P46" s="329">
        <f t="shared" si="4"/>
        <v>24494082.266968403</v>
      </c>
      <c r="Q46" s="329"/>
      <c r="R46" s="81"/>
      <c r="S46" s="81"/>
    </row>
    <row r="47" spans="1:19">
      <c r="A47" s="389">
        <f t="shared" si="1"/>
        <v>36</v>
      </c>
      <c r="B47" s="178">
        <v>8140</v>
      </c>
      <c r="C47" s="81" t="s">
        <v>849</v>
      </c>
      <c r="D47" s="825">
        <f>0</f>
        <v>0</v>
      </c>
      <c r="E47" s="825">
        <f>0</f>
        <v>0</v>
      </c>
      <c r="F47" s="825">
        <f>0</f>
        <v>0</v>
      </c>
      <c r="G47" s="825">
        <f>0</f>
        <v>0</v>
      </c>
      <c r="H47" s="825">
        <f>0</f>
        <v>0</v>
      </c>
      <c r="I47" s="825">
        <f>0</f>
        <v>0</v>
      </c>
      <c r="J47" s="609">
        <v>0</v>
      </c>
      <c r="K47" s="609">
        <v>0</v>
      </c>
      <c r="L47" s="609">
        <v>0</v>
      </c>
      <c r="M47" s="609">
        <v>0</v>
      </c>
      <c r="N47" s="609">
        <v>0</v>
      </c>
      <c r="O47" s="609">
        <v>0</v>
      </c>
      <c r="P47" s="329">
        <f t="shared" si="4"/>
        <v>0</v>
      </c>
      <c r="S47" s="81"/>
    </row>
    <row r="48" spans="1:19">
      <c r="A48" s="389">
        <f t="shared" si="1"/>
        <v>37</v>
      </c>
      <c r="B48" s="178">
        <v>8160</v>
      </c>
      <c r="C48" s="81" t="s">
        <v>850</v>
      </c>
      <c r="D48" s="824">
        <v>3999.1400000000003</v>
      </c>
      <c r="E48" s="824">
        <v>5968.6900000000005</v>
      </c>
      <c r="F48" s="824">
        <v>448.67000000000007</v>
      </c>
      <c r="G48" s="824">
        <v>627.69000000000005</v>
      </c>
      <c r="H48" s="824">
        <v>3381.07</v>
      </c>
      <c r="I48" s="824">
        <v>2916.64</v>
      </c>
      <c r="J48" s="609">
        <v>2449.1777922948272</v>
      </c>
      <c r="K48" s="609">
        <v>2422.4851529021794</v>
      </c>
      <c r="L48" s="609">
        <v>2484.4974440233254</v>
      </c>
      <c r="M48" s="609">
        <v>2991.7407387231733</v>
      </c>
      <c r="N48" s="609">
        <v>2839.0091644510135</v>
      </c>
      <c r="O48" s="609">
        <v>3020.6642740123543</v>
      </c>
      <c r="P48" s="329">
        <f t="shared" si="4"/>
        <v>33549.474566406876</v>
      </c>
      <c r="Q48" s="81"/>
      <c r="R48" s="81"/>
      <c r="S48" s="81"/>
    </row>
    <row r="49" spans="1:21">
      <c r="A49" s="389">
        <f t="shared" si="1"/>
        <v>38</v>
      </c>
      <c r="B49" s="178">
        <v>8170</v>
      </c>
      <c r="C49" s="81" t="s">
        <v>854</v>
      </c>
      <c r="D49" s="824">
        <v>1663.38</v>
      </c>
      <c r="E49" s="824">
        <v>4025.4500000000003</v>
      </c>
      <c r="F49" s="824">
        <v>434.69999999999993</v>
      </c>
      <c r="G49" s="824">
        <v>1121.08</v>
      </c>
      <c r="H49" s="824">
        <v>2338.1299999999997</v>
      </c>
      <c r="I49" s="824">
        <v>987.02</v>
      </c>
      <c r="J49" s="609">
        <v>1766.093807532973</v>
      </c>
      <c r="K49" s="609">
        <v>1717.1724813627789</v>
      </c>
      <c r="L49" s="609">
        <v>1658.4921987216985</v>
      </c>
      <c r="M49" s="609">
        <v>1906.4964562665255</v>
      </c>
      <c r="N49" s="609">
        <v>1848.6521880421269</v>
      </c>
      <c r="O49" s="609">
        <v>1895.8299618223073</v>
      </c>
      <c r="P49" s="329">
        <f t="shared" si="4"/>
        <v>21362.49709374841</v>
      </c>
      <c r="Q49" s="81"/>
      <c r="R49" s="81"/>
      <c r="S49" s="81"/>
    </row>
    <row r="50" spans="1:21">
      <c r="A50" s="389">
        <f t="shared" si="1"/>
        <v>39</v>
      </c>
      <c r="B50" s="178">
        <v>8180</v>
      </c>
      <c r="C50" s="81" t="s">
        <v>855</v>
      </c>
      <c r="D50" s="824">
        <v>2457.84</v>
      </c>
      <c r="E50" s="824">
        <v>879.39</v>
      </c>
      <c r="F50" s="824">
        <v>3390.0700000000006</v>
      </c>
      <c r="G50" s="824">
        <v>6560.7000000000007</v>
      </c>
      <c r="H50" s="824">
        <v>4609.3899999999994</v>
      </c>
      <c r="I50" s="824">
        <v>683.17999999999984</v>
      </c>
      <c r="J50" s="609">
        <v>3491.8863680050072</v>
      </c>
      <c r="K50" s="609">
        <v>3373.5885227376466</v>
      </c>
      <c r="L50" s="609">
        <v>3192.2583689494695</v>
      </c>
      <c r="M50" s="609">
        <v>3829.1271752971029</v>
      </c>
      <c r="N50" s="609">
        <v>3598.5516640836504</v>
      </c>
      <c r="O50" s="609">
        <v>3760.5210558356634</v>
      </c>
      <c r="P50" s="329">
        <f t="shared" si="4"/>
        <v>39826.50315490854</v>
      </c>
      <c r="Q50" s="81"/>
      <c r="R50" s="81"/>
      <c r="S50" s="81"/>
    </row>
    <row r="51" spans="1:21" ht="15.75">
      <c r="A51" s="389">
        <f t="shared" si="1"/>
        <v>40</v>
      </c>
      <c r="B51" s="178">
        <v>8190</v>
      </c>
      <c r="C51" s="81" t="s">
        <v>856</v>
      </c>
      <c r="D51" s="824">
        <v>0</v>
      </c>
      <c r="E51" s="824">
        <v>0</v>
      </c>
      <c r="F51" s="824">
        <v>0</v>
      </c>
      <c r="G51" s="824">
        <v>0</v>
      </c>
      <c r="H51" s="824">
        <v>0</v>
      </c>
      <c r="I51" s="824">
        <v>0</v>
      </c>
      <c r="J51" s="609">
        <v>0</v>
      </c>
      <c r="K51" s="609">
        <v>0</v>
      </c>
      <c r="L51" s="609">
        <v>0</v>
      </c>
      <c r="M51" s="609">
        <v>0</v>
      </c>
      <c r="N51" s="609">
        <v>0</v>
      </c>
      <c r="O51" s="609">
        <v>0</v>
      </c>
      <c r="P51" s="329">
        <f t="shared" si="4"/>
        <v>0</v>
      </c>
      <c r="Q51" s="81"/>
      <c r="R51" s="330"/>
      <c r="S51" s="59"/>
    </row>
    <row r="52" spans="1:21" ht="15.75">
      <c r="A52" s="389">
        <f t="shared" si="1"/>
        <v>41</v>
      </c>
      <c r="B52" s="178">
        <v>8200</v>
      </c>
      <c r="C52" s="81" t="s">
        <v>857</v>
      </c>
      <c r="D52" s="824">
        <v>585.35</v>
      </c>
      <c r="E52" s="824">
        <v>3140.06</v>
      </c>
      <c r="F52" s="824">
        <v>519.08999999999992</v>
      </c>
      <c r="G52" s="824">
        <v>303.43</v>
      </c>
      <c r="H52" s="824">
        <v>108.6</v>
      </c>
      <c r="I52" s="824">
        <v>113.59</v>
      </c>
      <c r="J52" s="609">
        <v>579.48072084348041</v>
      </c>
      <c r="K52" s="609">
        <v>566.50276029486372</v>
      </c>
      <c r="L52" s="609">
        <v>569.79024601990295</v>
      </c>
      <c r="M52" s="609">
        <v>773.3871227637153</v>
      </c>
      <c r="N52" s="609">
        <v>785.90469436230023</v>
      </c>
      <c r="O52" s="609">
        <v>790.84490179034538</v>
      </c>
      <c r="P52" s="329">
        <f t="shared" si="4"/>
        <v>8836.0304460746102</v>
      </c>
      <c r="Q52" s="81"/>
      <c r="R52" s="343"/>
      <c r="S52" s="344"/>
    </row>
    <row r="53" spans="1:21">
      <c r="A53" s="389">
        <f t="shared" si="1"/>
        <v>42</v>
      </c>
      <c r="B53" s="178">
        <v>8210</v>
      </c>
      <c r="C53" s="81" t="s">
        <v>858</v>
      </c>
      <c r="D53" s="824">
        <v>16665.2</v>
      </c>
      <c r="E53" s="824">
        <v>18565.900000000001</v>
      </c>
      <c r="F53" s="824">
        <v>-5791.43</v>
      </c>
      <c r="G53" s="824">
        <v>-103.50999999999999</v>
      </c>
      <c r="H53" s="824">
        <v>7297.4299999999994</v>
      </c>
      <c r="I53" s="824">
        <v>134.78</v>
      </c>
      <c r="J53" s="609">
        <v>6509.6636706132076</v>
      </c>
      <c r="K53" s="609">
        <v>6296.8634811548236</v>
      </c>
      <c r="L53" s="609">
        <v>6037.4234082310541</v>
      </c>
      <c r="M53" s="609">
        <v>7087.8860361048828</v>
      </c>
      <c r="N53" s="609">
        <v>6774.3100816249516</v>
      </c>
      <c r="O53" s="609">
        <v>7046.4458452897952</v>
      </c>
      <c r="P53" s="329">
        <f t="shared" si="4"/>
        <v>76520.962523018723</v>
      </c>
      <c r="Q53" s="81"/>
      <c r="R53" s="115"/>
      <c r="S53" s="81"/>
    </row>
    <row r="54" spans="1:21">
      <c r="A54" s="389">
        <f t="shared" si="1"/>
        <v>43</v>
      </c>
      <c r="B54" s="178">
        <v>8240</v>
      </c>
      <c r="C54" s="81" t="s">
        <v>859</v>
      </c>
      <c r="D54" s="824">
        <v>0</v>
      </c>
      <c r="E54" s="824">
        <v>0</v>
      </c>
      <c r="F54" s="824">
        <v>0</v>
      </c>
      <c r="G54" s="824">
        <v>0</v>
      </c>
      <c r="H54" s="824">
        <v>0</v>
      </c>
      <c r="I54" s="824">
        <v>0</v>
      </c>
      <c r="J54" s="609">
        <v>0</v>
      </c>
      <c r="K54" s="609">
        <v>0</v>
      </c>
      <c r="L54" s="609">
        <v>0</v>
      </c>
      <c r="M54" s="609">
        <v>0</v>
      </c>
      <c r="N54" s="609">
        <v>0</v>
      </c>
      <c r="O54" s="609">
        <v>0</v>
      </c>
      <c r="P54" s="329">
        <f t="shared" si="4"/>
        <v>0</v>
      </c>
      <c r="Q54" s="81"/>
      <c r="R54" s="115"/>
      <c r="S54" s="81"/>
    </row>
    <row r="55" spans="1:21">
      <c r="A55" s="389">
        <f t="shared" si="1"/>
        <v>44</v>
      </c>
      <c r="B55" s="178">
        <v>8250</v>
      </c>
      <c r="C55" s="81" t="s">
        <v>870</v>
      </c>
      <c r="D55" s="824">
        <v>889.51</v>
      </c>
      <c r="E55" s="824">
        <v>1442.7099999999998</v>
      </c>
      <c r="F55" s="824">
        <v>1242.51</v>
      </c>
      <c r="G55" s="824">
        <v>761.6</v>
      </c>
      <c r="H55" s="824">
        <v>523.78</v>
      </c>
      <c r="I55" s="824">
        <v>147.49</v>
      </c>
      <c r="J55" s="609">
        <v>865.31763107897086</v>
      </c>
      <c r="K55" s="609">
        <v>875.82940596486844</v>
      </c>
      <c r="L55" s="609">
        <v>786.81114919359663</v>
      </c>
      <c r="M55" s="609">
        <v>925.57187954705944</v>
      </c>
      <c r="N55" s="609">
        <v>860.37572447149364</v>
      </c>
      <c r="O55" s="609">
        <v>789.16350155485259</v>
      </c>
      <c r="P55" s="329">
        <f t="shared" si="4"/>
        <v>10110.669291810842</v>
      </c>
      <c r="Q55" s="81"/>
      <c r="R55" s="81"/>
      <c r="S55" s="81"/>
    </row>
    <row r="56" spans="1:21">
      <c r="A56" s="389">
        <f t="shared" si="1"/>
        <v>45</v>
      </c>
      <c r="B56" s="178">
        <v>8310</v>
      </c>
      <c r="C56" s="81" t="s">
        <v>871</v>
      </c>
      <c r="D56" s="824">
        <v>0</v>
      </c>
      <c r="E56" s="824">
        <v>0</v>
      </c>
      <c r="F56" s="824">
        <v>0</v>
      </c>
      <c r="G56" s="824">
        <v>0</v>
      </c>
      <c r="H56" s="824">
        <v>0</v>
      </c>
      <c r="I56" s="824">
        <v>0</v>
      </c>
      <c r="J56" s="609">
        <v>0</v>
      </c>
      <c r="K56" s="609">
        <v>0</v>
      </c>
      <c r="L56" s="609">
        <v>0</v>
      </c>
      <c r="M56" s="609">
        <v>0</v>
      </c>
      <c r="N56" s="609">
        <v>0</v>
      </c>
      <c r="O56" s="609">
        <v>0</v>
      </c>
      <c r="P56" s="329">
        <f t="shared" si="4"/>
        <v>0</v>
      </c>
      <c r="Q56" s="81"/>
      <c r="R56" s="115"/>
      <c r="S56" s="81"/>
    </row>
    <row r="57" spans="1:21">
      <c r="A57" s="389">
        <f t="shared" si="1"/>
        <v>46</v>
      </c>
      <c r="B57" s="178">
        <v>8340</v>
      </c>
      <c r="C57" s="81" t="s">
        <v>872</v>
      </c>
      <c r="D57" s="824">
        <v>1767.9599999999998</v>
      </c>
      <c r="E57" s="824">
        <v>3870.8900000000003</v>
      </c>
      <c r="F57" s="824">
        <v>5683.7599999999993</v>
      </c>
      <c r="G57" s="824">
        <v>3468.2799999999997</v>
      </c>
      <c r="H57" s="824">
        <v>3461.36</v>
      </c>
      <c r="I57" s="824">
        <v>726.96</v>
      </c>
      <c r="J57" s="609">
        <v>3626.3251462504818</v>
      </c>
      <c r="K57" s="609">
        <v>3503.1391173192551</v>
      </c>
      <c r="L57" s="609">
        <v>3301.8857441929717</v>
      </c>
      <c r="M57" s="609">
        <v>3983.7616618503862</v>
      </c>
      <c r="N57" s="609">
        <v>3726.3806959610274</v>
      </c>
      <c r="O57" s="609">
        <v>3896.7696058034812</v>
      </c>
      <c r="P57" s="329">
        <f t="shared" si="4"/>
        <v>41017.471971377607</v>
      </c>
      <c r="Q57" s="81"/>
      <c r="R57" s="115"/>
      <c r="S57" s="81"/>
    </row>
    <row r="58" spans="1:21">
      <c r="A58" s="389">
        <f t="shared" si="1"/>
        <v>47</v>
      </c>
      <c r="B58" s="178">
        <v>8350</v>
      </c>
      <c r="C58" s="81" t="s">
        <v>873</v>
      </c>
      <c r="D58" s="825">
        <f>0</f>
        <v>0</v>
      </c>
      <c r="E58" s="825">
        <f>0</f>
        <v>0</v>
      </c>
      <c r="F58" s="825">
        <f>0</f>
        <v>0</v>
      </c>
      <c r="G58" s="825">
        <f>0</f>
        <v>0</v>
      </c>
      <c r="H58" s="825">
        <f>0</f>
        <v>0</v>
      </c>
      <c r="I58" s="825">
        <f>0</f>
        <v>0</v>
      </c>
      <c r="J58" s="609">
        <v>0</v>
      </c>
      <c r="K58" s="609">
        <v>0</v>
      </c>
      <c r="L58" s="609">
        <v>0</v>
      </c>
      <c r="M58" s="609">
        <v>0</v>
      </c>
      <c r="N58" s="609">
        <v>0</v>
      </c>
      <c r="O58" s="609">
        <v>0</v>
      </c>
      <c r="P58" s="329">
        <f t="shared" si="4"/>
        <v>0</v>
      </c>
      <c r="Q58" s="81"/>
      <c r="R58" s="115"/>
      <c r="S58" s="81"/>
    </row>
    <row r="59" spans="1:21">
      <c r="A59" s="389">
        <f t="shared" si="1"/>
        <v>48</v>
      </c>
      <c r="B59" s="178">
        <v>8360</v>
      </c>
      <c r="C59" s="81" t="s">
        <v>874</v>
      </c>
      <c r="D59" s="825">
        <f>0</f>
        <v>0</v>
      </c>
      <c r="E59" s="825">
        <f>0</f>
        <v>0</v>
      </c>
      <c r="F59" s="825">
        <f>0</f>
        <v>0</v>
      </c>
      <c r="G59" s="825">
        <f>0</f>
        <v>0</v>
      </c>
      <c r="H59" s="825">
        <f>0</f>
        <v>0</v>
      </c>
      <c r="I59" s="825">
        <f>0</f>
        <v>0</v>
      </c>
      <c r="J59" s="609">
        <v>0</v>
      </c>
      <c r="K59" s="609">
        <v>0</v>
      </c>
      <c r="L59" s="609">
        <v>0</v>
      </c>
      <c r="M59" s="609">
        <v>0</v>
      </c>
      <c r="N59" s="609">
        <v>0</v>
      </c>
      <c r="O59" s="609">
        <v>0</v>
      </c>
      <c r="P59" s="329">
        <f t="shared" si="4"/>
        <v>0</v>
      </c>
      <c r="Q59" s="81"/>
      <c r="R59" s="115"/>
      <c r="S59" s="81"/>
    </row>
    <row r="60" spans="1:21">
      <c r="A60" s="389">
        <f t="shared" si="1"/>
        <v>49</v>
      </c>
      <c r="B60" s="382">
        <v>8370</v>
      </c>
      <c r="C60" s="1" t="s">
        <v>1268</v>
      </c>
      <c r="D60" s="825">
        <f>0</f>
        <v>0</v>
      </c>
      <c r="E60" s="825">
        <f>0</f>
        <v>0</v>
      </c>
      <c r="F60" s="825">
        <f>0</f>
        <v>0</v>
      </c>
      <c r="G60" s="825">
        <f>0</f>
        <v>0</v>
      </c>
      <c r="H60" s="825">
        <f>0</f>
        <v>0</v>
      </c>
      <c r="I60" s="825">
        <f>0</f>
        <v>0</v>
      </c>
      <c r="J60" s="609">
        <v>0</v>
      </c>
      <c r="K60" s="609">
        <v>0</v>
      </c>
      <c r="L60" s="609">
        <v>0</v>
      </c>
      <c r="M60" s="609">
        <v>0</v>
      </c>
      <c r="N60" s="609">
        <v>0</v>
      </c>
      <c r="O60" s="609">
        <v>0</v>
      </c>
      <c r="P60" s="329">
        <f t="shared" si="4"/>
        <v>0</v>
      </c>
      <c r="Q60" s="81"/>
      <c r="R60" s="115"/>
      <c r="S60" s="81"/>
    </row>
    <row r="61" spans="1:21">
      <c r="A61" s="389">
        <f t="shared" si="1"/>
        <v>50</v>
      </c>
      <c r="B61" s="178">
        <v>8410</v>
      </c>
      <c r="C61" s="81" t="s">
        <v>182</v>
      </c>
      <c r="D61" s="824">
        <v>25709.399999999998</v>
      </c>
      <c r="E61" s="824">
        <v>9817.69</v>
      </c>
      <c r="F61" s="824">
        <v>15508.669999999998</v>
      </c>
      <c r="G61" s="824">
        <v>14706.170000000002</v>
      </c>
      <c r="H61" s="824">
        <v>13824.609999999999</v>
      </c>
      <c r="I61" s="824">
        <v>16852.689999999999</v>
      </c>
      <c r="J61" s="609">
        <v>18084.669305054849</v>
      </c>
      <c r="K61" s="609">
        <v>17546.578446124182</v>
      </c>
      <c r="L61" s="609">
        <v>16649.064734495692</v>
      </c>
      <c r="M61" s="609">
        <v>20022.873481985862</v>
      </c>
      <c r="N61" s="609">
        <v>18700.202140108438</v>
      </c>
      <c r="O61" s="609">
        <v>19535.508394060667</v>
      </c>
      <c r="P61" s="329">
        <f t="shared" si="4"/>
        <v>206958.12650182965</v>
      </c>
      <c r="Q61" s="81"/>
      <c r="R61" s="81"/>
      <c r="S61" s="81"/>
    </row>
    <row r="62" spans="1:21">
      <c r="A62" s="389">
        <f t="shared" si="1"/>
        <v>51</v>
      </c>
      <c r="B62" s="178">
        <v>8500</v>
      </c>
      <c r="C62" t="s">
        <v>875</v>
      </c>
      <c r="D62" s="825">
        <f>0</f>
        <v>0</v>
      </c>
      <c r="E62" s="825">
        <f>0</f>
        <v>0</v>
      </c>
      <c r="F62" s="825">
        <f>0</f>
        <v>0</v>
      </c>
      <c r="G62" s="825">
        <f>0</f>
        <v>0</v>
      </c>
      <c r="H62" s="825">
        <f>0</f>
        <v>0</v>
      </c>
      <c r="I62" s="825">
        <f>0</f>
        <v>0</v>
      </c>
      <c r="J62" s="609">
        <v>0</v>
      </c>
      <c r="K62" s="609">
        <v>0</v>
      </c>
      <c r="L62" s="609">
        <v>0</v>
      </c>
      <c r="M62" s="609">
        <v>0</v>
      </c>
      <c r="N62" s="609">
        <v>0</v>
      </c>
      <c r="O62" s="609">
        <v>0</v>
      </c>
      <c r="P62" s="329">
        <f t="shared" si="4"/>
        <v>0</v>
      </c>
      <c r="Q62" s="81"/>
      <c r="R62" s="81"/>
      <c r="S62" s="81"/>
    </row>
    <row r="63" spans="1:21">
      <c r="A63" s="389">
        <f t="shared" si="1"/>
        <v>52</v>
      </c>
      <c r="B63" s="382">
        <v>8520</v>
      </c>
      <c r="C63" s="1" t="s">
        <v>1269</v>
      </c>
      <c r="D63" s="825">
        <f>0</f>
        <v>0</v>
      </c>
      <c r="E63" s="825">
        <f>0</f>
        <v>0</v>
      </c>
      <c r="F63" s="825">
        <f>0</f>
        <v>0</v>
      </c>
      <c r="G63" s="825">
        <f>0</f>
        <v>0</v>
      </c>
      <c r="H63" s="825">
        <f>0</f>
        <v>0</v>
      </c>
      <c r="I63" s="825">
        <f>0</f>
        <v>0</v>
      </c>
      <c r="J63" s="609">
        <v>0</v>
      </c>
      <c r="K63" s="609">
        <v>0</v>
      </c>
      <c r="L63" s="609">
        <v>0</v>
      </c>
      <c r="M63" s="609">
        <v>0</v>
      </c>
      <c r="N63" s="609">
        <v>0</v>
      </c>
      <c r="O63" s="609">
        <v>0</v>
      </c>
      <c r="P63" s="329">
        <f t="shared" si="4"/>
        <v>0</v>
      </c>
      <c r="Q63" s="81"/>
      <c r="R63" s="81"/>
      <c r="S63" s="81"/>
      <c r="U63" s="375"/>
    </row>
    <row r="64" spans="1:21">
      <c r="A64" s="389">
        <f t="shared" si="1"/>
        <v>53</v>
      </c>
      <c r="B64" s="382">
        <v>8550</v>
      </c>
      <c r="C64" s="1" t="s">
        <v>1314</v>
      </c>
      <c r="D64" s="824">
        <v>40.1</v>
      </c>
      <c r="E64" s="824">
        <v>39.61</v>
      </c>
      <c r="F64" s="824">
        <v>38.72</v>
      </c>
      <c r="G64" s="824">
        <v>36.770000000000003</v>
      </c>
      <c r="H64" s="824">
        <v>35.83</v>
      </c>
      <c r="I64" s="824">
        <v>42.28</v>
      </c>
      <c r="J64" s="609">
        <v>40.316170721909636</v>
      </c>
      <c r="K64" s="609">
        <v>40.805926732499294</v>
      </c>
      <c r="L64" s="609">
        <v>36.658460982977481</v>
      </c>
      <c r="M64" s="609">
        <v>43.123487342664035</v>
      </c>
      <c r="N64" s="609">
        <v>40.085921454677724</v>
      </c>
      <c r="O64" s="609">
        <v>36.768059858567504</v>
      </c>
      <c r="P64" s="329">
        <f t="shared" si="4"/>
        <v>471.06802709329565</v>
      </c>
      <c r="Q64" s="81"/>
      <c r="R64" s="81"/>
      <c r="S64" s="81"/>
      <c r="U64" s="375"/>
    </row>
    <row r="65" spans="1:19">
      <c r="A65" s="389">
        <f t="shared" si="1"/>
        <v>54</v>
      </c>
      <c r="B65" s="178">
        <v>8560</v>
      </c>
      <c r="C65" s="81" t="s">
        <v>876</v>
      </c>
      <c r="D65" s="824">
        <v>1447.1599999999999</v>
      </c>
      <c r="E65" s="824">
        <v>14099.44</v>
      </c>
      <c r="F65" s="824">
        <v>12412.38</v>
      </c>
      <c r="G65" s="824">
        <v>9978.3900000000012</v>
      </c>
      <c r="H65" s="824">
        <v>12856.640000000003</v>
      </c>
      <c r="I65" s="824">
        <v>11274.839999999998</v>
      </c>
      <c r="J65" s="609">
        <v>11115.866801414</v>
      </c>
      <c r="K65" s="609">
        <v>10774.268036603002</v>
      </c>
      <c r="L65" s="609">
        <v>10310.504083788088</v>
      </c>
      <c r="M65" s="609">
        <v>12656.042351134178</v>
      </c>
      <c r="N65" s="609">
        <v>12029.222561519427</v>
      </c>
      <c r="O65" s="609">
        <v>12514.829903136795</v>
      </c>
      <c r="P65" s="329">
        <f t="shared" si="4"/>
        <v>131469.5837375955</v>
      </c>
      <c r="Q65" s="81"/>
      <c r="R65" s="115"/>
      <c r="S65" s="81"/>
    </row>
    <row r="66" spans="1:19">
      <c r="A66" s="389">
        <f t="shared" si="1"/>
        <v>55</v>
      </c>
      <c r="B66" s="178">
        <v>8570</v>
      </c>
      <c r="C66" s="81" t="s">
        <v>877</v>
      </c>
      <c r="D66" s="824">
        <v>1842.06</v>
      </c>
      <c r="E66" s="824">
        <v>675.13</v>
      </c>
      <c r="F66" s="824">
        <v>561.54</v>
      </c>
      <c r="G66" s="824">
        <v>858.23</v>
      </c>
      <c r="H66" s="824">
        <v>819.83</v>
      </c>
      <c r="I66" s="824">
        <v>809.16000000000008</v>
      </c>
      <c r="J66" s="609">
        <v>976.5913940946723</v>
      </c>
      <c r="K66" s="609">
        <v>981.32046722524865</v>
      </c>
      <c r="L66" s="609">
        <v>888.18411348003065</v>
      </c>
      <c r="M66" s="609">
        <v>1049.0701115883096</v>
      </c>
      <c r="N66" s="609">
        <v>976.16590675094051</v>
      </c>
      <c r="O66" s="609">
        <v>915.79637320333768</v>
      </c>
      <c r="P66" s="329">
        <f t="shared" si="4"/>
        <v>11353.078366342539</v>
      </c>
      <c r="Q66" s="81"/>
      <c r="R66" s="81"/>
      <c r="S66" s="81"/>
    </row>
    <row r="67" spans="1:19">
      <c r="A67" s="389">
        <f>A66+1</f>
        <v>56</v>
      </c>
      <c r="B67" s="178">
        <v>8630</v>
      </c>
      <c r="C67" s="81" t="s">
        <v>878</v>
      </c>
      <c r="D67" s="824">
        <v>-499.96</v>
      </c>
      <c r="E67" s="824">
        <v>1493.85</v>
      </c>
      <c r="F67" s="824">
        <v>299.13</v>
      </c>
      <c r="G67" s="824">
        <v>1055.3</v>
      </c>
      <c r="H67" s="824">
        <v>3310.67</v>
      </c>
      <c r="I67" s="824">
        <v>3710.93</v>
      </c>
      <c r="J67" s="609">
        <v>1790.2945651771231</v>
      </c>
      <c r="K67" s="609">
        <v>1729.478375451456</v>
      </c>
      <c r="L67" s="609">
        <v>1630.1208149458594</v>
      </c>
      <c r="M67" s="609">
        <v>1966.7587887275163</v>
      </c>
      <c r="N67" s="609">
        <v>1839.691378655863</v>
      </c>
      <c r="O67" s="609">
        <v>1923.8113422429146</v>
      </c>
      <c r="P67" s="329">
        <f t="shared" ref="P67:P68" si="7">SUM(D67:O67)</f>
        <v>20250.075265200732</v>
      </c>
      <c r="Q67" s="81"/>
      <c r="R67" s="115"/>
      <c r="S67" s="81"/>
    </row>
    <row r="68" spans="1:19">
      <c r="A68" s="389">
        <f t="shared" si="1"/>
        <v>57</v>
      </c>
      <c r="B68" s="382">
        <v>8640</v>
      </c>
      <c r="C68" s="1" t="s">
        <v>1270</v>
      </c>
      <c r="D68" s="825">
        <f>0</f>
        <v>0</v>
      </c>
      <c r="E68" s="825">
        <f>0</f>
        <v>0</v>
      </c>
      <c r="F68" s="825">
        <f>0</f>
        <v>0</v>
      </c>
      <c r="G68" s="825">
        <f>0</f>
        <v>0</v>
      </c>
      <c r="H68" s="825">
        <f>0</f>
        <v>0</v>
      </c>
      <c r="I68" s="825">
        <f>0</f>
        <v>0</v>
      </c>
      <c r="J68" s="609">
        <v>0</v>
      </c>
      <c r="K68" s="609">
        <v>0</v>
      </c>
      <c r="L68" s="609">
        <v>0</v>
      </c>
      <c r="M68" s="609">
        <v>0</v>
      </c>
      <c r="N68" s="609">
        <v>0</v>
      </c>
      <c r="O68" s="609">
        <v>0</v>
      </c>
      <c r="P68" s="329">
        <f t="shared" si="7"/>
        <v>0</v>
      </c>
      <c r="Q68" s="81"/>
      <c r="R68" s="115"/>
      <c r="S68" s="81"/>
    </row>
    <row r="69" spans="1:19">
      <c r="A69" s="389">
        <f t="shared" si="1"/>
        <v>58</v>
      </c>
      <c r="B69" s="178">
        <v>8650</v>
      </c>
      <c r="C69" s="81" t="s">
        <v>879</v>
      </c>
      <c r="D69" s="825">
        <f>0</f>
        <v>0</v>
      </c>
      <c r="E69" s="825">
        <f>0</f>
        <v>0</v>
      </c>
      <c r="F69" s="825">
        <f>0</f>
        <v>0</v>
      </c>
      <c r="G69" s="825">
        <f>0</f>
        <v>0</v>
      </c>
      <c r="H69" s="825">
        <f>0</f>
        <v>0</v>
      </c>
      <c r="I69" s="825">
        <f>0</f>
        <v>0</v>
      </c>
      <c r="J69" s="609">
        <v>0</v>
      </c>
      <c r="K69" s="609">
        <v>0</v>
      </c>
      <c r="L69" s="609">
        <v>0</v>
      </c>
      <c r="M69" s="609">
        <v>0</v>
      </c>
      <c r="N69" s="609">
        <v>0</v>
      </c>
      <c r="O69" s="609">
        <v>0</v>
      </c>
      <c r="P69" s="329">
        <f t="shared" ref="P69:P109" si="8">SUM(D69:O69)</f>
        <v>0</v>
      </c>
      <c r="Q69" s="81"/>
      <c r="R69" s="81"/>
      <c r="S69" s="81"/>
    </row>
    <row r="70" spans="1:19">
      <c r="A70" s="389">
        <f t="shared" si="1"/>
        <v>59</v>
      </c>
      <c r="B70" s="178">
        <v>8700</v>
      </c>
      <c r="C70" s="81" t="s">
        <v>880</v>
      </c>
      <c r="D70" s="824">
        <v>132335.18</v>
      </c>
      <c r="E70" s="824">
        <v>274472.59999999998</v>
      </c>
      <c r="F70" s="824">
        <v>168644.67000000013</v>
      </c>
      <c r="G70" s="824">
        <v>177759.67999999988</v>
      </c>
      <c r="H70" s="824">
        <v>152737.70000000004</v>
      </c>
      <c r="I70" s="824">
        <v>271466.80999999976</v>
      </c>
      <c r="J70" s="609">
        <v>180590.1258967277</v>
      </c>
      <c r="K70" s="609">
        <v>177516.76532506495</v>
      </c>
      <c r="L70" s="609">
        <v>177947.87291298146</v>
      </c>
      <c r="M70" s="609">
        <v>176907.28058804158</v>
      </c>
      <c r="N70" s="609">
        <v>181082.46927386563</v>
      </c>
      <c r="O70" s="609">
        <v>196144.88305693606</v>
      </c>
      <c r="P70" s="329">
        <f t="shared" si="8"/>
        <v>2267606.0370536172</v>
      </c>
      <c r="Q70" s="81"/>
      <c r="R70" s="115"/>
      <c r="S70" s="81"/>
    </row>
    <row r="71" spans="1:19">
      <c r="A71" s="389">
        <f t="shared" si="1"/>
        <v>60</v>
      </c>
      <c r="B71" s="178">
        <v>8710</v>
      </c>
      <c r="C71" s="81" t="s">
        <v>881</v>
      </c>
      <c r="D71" s="824">
        <v>0</v>
      </c>
      <c r="E71" s="824">
        <v>0</v>
      </c>
      <c r="F71" s="824">
        <v>0</v>
      </c>
      <c r="G71" s="824">
        <v>-19.82</v>
      </c>
      <c r="H71" s="824">
        <v>0</v>
      </c>
      <c r="I71" s="824">
        <v>0</v>
      </c>
      <c r="J71" s="609">
        <v>-3.4249132215003599</v>
      </c>
      <c r="K71" s="609">
        <v>-3.4665186568862714</v>
      </c>
      <c r="L71" s="609">
        <v>-3.114185832937352</v>
      </c>
      <c r="M71" s="609">
        <v>-3.6633985647061897</v>
      </c>
      <c r="N71" s="609">
        <v>-3.4053532348879707</v>
      </c>
      <c r="O71" s="609">
        <v>-3.1234964056268826</v>
      </c>
      <c r="P71" s="329">
        <f t="shared" si="8"/>
        <v>-40.017865916545027</v>
      </c>
      <c r="Q71" s="81"/>
      <c r="R71" s="115"/>
      <c r="S71" s="81"/>
    </row>
    <row r="72" spans="1:19">
      <c r="A72" s="389">
        <f t="shared" si="1"/>
        <v>61</v>
      </c>
      <c r="B72" s="178">
        <v>8711</v>
      </c>
      <c r="C72" t="s">
        <v>183</v>
      </c>
      <c r="D72" s="824">
        <v>0</v>
      </c>
      <c r="E72" s="824">
        <v>5220.5599999999995</v>
      </c>
      <c r="F72" s="824">
        <v>28621.18</v>
      </c>
      <c r="G72" s="824">
        <v>41114.800000000003</v>
      </c>
      <c r="H72" s="824">
        <v>396.24</v>
      </c>
      <c r="I72" s="824">
        <v>0</v>
      </c>
      <c r="J72" s="609">
        <v>9806.3963655514999</v>
      </c>
      <c r="K72" s="609">
        <v>9449.2751799426624</v>
      </c>
      <c r="L72" s="609">
        <v>9962.7117109339742</v>
      </c>
      <c r="M72" s="609">
        <v>10243.530684490954</v>
      </c>
      <c r="N72" s="609">
        <v>10946.340182887201</v>
      </c>
      <c r="O72" s="609">
        <v>11377.322541576703</v>
      </c>
      <c r="P72" s="329">
        <f t="shared" ref="P72:P73" si="9">SUM(D72:O72)</f>
        <v>137138.35666538301</v>
      </c>
      <c r="Q72" s="81"/>
      <c r="R72" s="115"/>
      <c r="S72" s="81"/>
    </row>
    <row r="73" spans="1:19">
      <c r="A73" s="389">
        <f t="shared" si="1"/>
        <v>62</v>
      </c>
      <c r="B73" s="382">
        <v>8720</v>
      </c>
      <c r="C73" t="s">
        <v>1271</v>
      </c>
      <c r="D73" s="825">
        <f>0</f>
        <v>0</v>
      </c>
      <c r="E73" s="825">
        <f>0</f>
        <v>0</v>
      </c>
      <c r="F73" s="825">
        <f>0</f>
        <v>0</v>
      </c>
      <c r="G73" s="825">
        <f>0</f>
        <v>0</v>
      </c>
      <c r="H73" s="825">
        <f>0</f>
        <v>0</v>
      </c>
      <c r="I73" s="825">
        <f>0</f>
        <v>0</v>
      </c>
      <c r="J73" s="609">
        <v>0</v>
      </c>
      <c r="K73" s="609">
        <v>0</v>
      </c>
      <c r="L73" s="609">
        <v>0</v>
      </c>
      <c r="M73" s="609">
        <v>0</v>
      </c>
      <c r="N73" s="609">
        <v>0</v>
      </c>
      <c r="O73" s="609">
        <v>0</v>
      </c>
      <c r="P73" s="329">
        <f t="shared" si="9"/>
        <v>0</v>
      </c>
      <c r="Q73" s="81"/>
      <c r="R73" s="115"/>
      <c r="S73" s="81"/>
    </row>
    <row r="74" spans="1:19">
      <c r="A74" s="389">
        <f t="shared" si="1"/>
        <v>63</v>
      </c>
      <c r="B74" s="178">
        <v>8740</v>
      </c>
      <c r="C74" s="81" t="s">
        <v>882</v>
      </c>
      <c r="D74" s="824">
        <v>562374.23999999987</v>
      </c>
      <c r="E74" s="824">
        <v>554303.62999999989</v>
      </c>
      <c r="F74" s="824">
        <v>546431.52</v>
      </c>
      <c r="G74" s="824">
        <v>607362.64</v>
      </c>
      <c r="H74" s="824">
        <v>637386.47000000009</v>
      </c>
      <c r="I74" s="824">
        <v>634106.97999999986</v>
      </c>
      <c r="J74" s="609">
        <v>568417.94702116749</v>
      </c>
      <c r="K74" s="609">
        <v>563294.89440846641</v>
      </c>
      <c r="L74" s="609">
        <v>553979.21787344152</v>
      </c>
      <c r="M74" s="609">
        <v>543436.5126975904</v>
      </c>
      <c r="N74" s="609">
        <v>571105.2109093857</v>
      </c>
      <c r="O74" s="609">
        <v>617427.43367256934</v>
      </c>
      <c r="P74" s="329">
        <f t="shared" si="8"/>
        <v>6959626.696582621</v>
      </c>
      <c r="Q74" s="81"/>
      <c r="R74" s="115"/>
      <c r="S74" s="81"/>
    </row>
    <row r="75" spans="1:19">
      <c r="A75" s="389">
        <f t="shared" si="1"/>
        <v>64</v>
      </c>
      <c r="B75" s="178">
        <v>8750</v>
      </c>
      <c r="C75" s="81" t="s">
        <v>883</v>
      </c>
      <c r="D75" s="824">
        <v>143268.16999999998</v>
      </c>
      <c r="E75" s="824">
        <v>122416.96000000002</v>
      </c>
      <c r="F75" s="824">
        <v>85160.76999999999</v>
      </c>
      <c r="G75" s="824">
        <v>84217.140000000029</v>
      </c>
      <c r="H75" s="824">
        <v>77764.419999999969</v>
      </c>
      <c r="I75" s="824">
        <v>70957.980000000025</v>
      </c>
      <c r="J75" s="609">
        <v>106088.22402828968</v>
      </c>
      <c r="K75" s="609">
        <v>102851.61376451039</v>
      </c>
      <c r="L75" s="609">
        <v>98134.317826432089</v>
      </c>
      <c r="M75" s="609">
        <v>115868.61821332584</v>
      </c>
      <c r="N75" s="609">
        <v>109824.6860029313</v>
      </c>
      <c r="O75" s="609">
        <v>115178.18751627776</v>
      </c>
      <c r="P75" s="329">
        <f t="shared" si="8"/>
        <v>1231731.0873517669</v>
      </c>
      <c r="Q75" s="81"/>
      <c r="R75" s="115"/>
      <c r="S75" s="81"/>
    </row>
    <row r="76" spans="1:19">
      <c r="A76" s="389">
        <f t="shared" si="1"/>
        <v>65</v>
      </c>
      <c r="B76" s="178">
        <v>8760</v>
      </c>
      <c r="C76" s="81" t="s">
        <v>884</v>
      </c>
      <c r="D76" s="824">
        <v>0</v>
      </c>
      <c r="E76" s="824">
        <v>0</v>
      </c>
      <c r="F76" s="824">
        <v>191.44</v>
      </c>
      <c r="G76" s="824">
        <v>105.31</v>
      </c>
      <c r="H76" s="824">
        <v>0</v>
      </c>
      <c r="I76" s="824">
        <v>0</v>
      </c>
      <c r="J76" s="609">
        <v>38.618988197614044</v>
      </c>
      <c r="K76" s="609">
        <v>37.212594009776211</v>
      </c>
      <c r="L76" s="609">
        <v>39.234580332930747</v>
      </c>
      <c r="M76" s="609">
        <v>40.34048552187047</v>
      </c>
      <c r="N76" s="609">
        <v>43.108249612977474</v>
      </c>
      <c r="O76" s="609">
        <v>44.805519639924185</v>
      </c>
      <c r="P76" s="329">
        <f t="shared" si="8"/>
        <v>540.07041731509321</v>
      </c>
      <c r="Q76" s="81"/>
      <c r="R76" s="115"/>
      <c r="S76" s="81"/>
    </row>
    <row r="77" spans="1:19">
      <c r="A77" s="389">
        <f t="shared" si="1"/>
        <v>66</v>
      </c>
      <c r="B77" s="178">
        <v>8770</v>
      </c>
      <c r="C77" s="81" t="s">
        <v>885</v>
      </c>
      <c r="D77" s="824">
        <v>1159.3200000000002</v>
      </c>
      <c r="E77" s="824">
        <v>381.4</v>
      </c>
      <c r="F77" s="824">
        <v>379.52</v>
      </c>
      <c r="G77" s="824">
        <v>269.22000000000003</v>
      </c>
      <c r="H77" s="824">
        <v>280.35000000000002</v>
      </c>
      <c r="I77" s="824">
        <v>143.66000000000003</v>
      </c>
      <c r="J77" s="609">
        <v>449.59473125371238</v>
      </c>
      <c r="K77" s="609">
        <v>455.06835837205489</v>
      </c>
      <c r="L77" s="609">
        <v>409.77024779645808</v>
      </c>
      <c r="M77" s="609">
        <v>491.30490468387524</v>
      </c>
      <c r="N77" s="609">
        <v>457.53815582924904</v>
      </c>
      <c r="O77" s="609">
        <v>421.1977372482994</v>
      </c>
      <c r="P77" s="329">
        <f t="shared" si="8"/>
        <v>5297.9441351836495</v>
      </c>
      <c r="Q77" s="81"/>
      <c r="R77" s="115"/>
      <c r="S77" s="81"/>
    </row>
    <row r="78" spans="1:19">
      <c r="A78" s="389">
        <f t="shared" si="1"/>
        <v>67</v>
      </c>
      <c r="B78" s="178">
        <v>8780</v>
      </c>
      <c r="C78" s="81" t="s">
        <v>886</v>
      </c>
      <c r="D78" s="824">
        <v>88532.59</v>
      </c>
      <c r="E78" s="824">
        <v>56980.159999999996</v>
      </c>
      <c r="F78" s="824">
        <v>56159.310000000005</v>
      </c>
      <c r="G78" s="824">
        <v>64763.310000000005</v>
      </c>
      <c r="H78" s="824">
        <v>54982.020000000019</v>
      </c>
      <c r="I78" s="824">
        <v>67011.64</v>
      </c>
      <c r="J78" s="609">
        <v>72939.359551493282</v>
      </c>
      <c r="K78" s="609">
        <v>70854.833340211233</v>
      </c>
      <c r="L78" s="609">
        <v>67000.548223986989</v>
      </c>
      <c r="M78" s="609">
        <v>80392.242616993884</v>
      </c>
      <c r="N78" s="609">
        <v>75324.449720284159</v>
      </c>
      <c r="O78" s="609">
        <v>78520.108317775288</v>
      </c>
      <c r="P78" s="329">
        <f t="shared" si="8"/>
        <v>833460.57177074486</v>
      </c>
      <c r="Q78" s="81"/>
      <c r="R78" s="115"/>
      <c r="S78" s="81"/>
    </row>
    <row r="79" spans="1:19">
      <c r="A79" s="389">
        <f t="shared" si="1"/>
        <v>68</v>
      </c>
      <c r="B79" s="178">
        <v>8790</v>
      </c>
      <c r="C79" s="81" t="s">
        <v>887</v>
      </c>
      <c r="D79" s="824">
        <v>0</v>
      </c>
      <c r="E79" s="824">
        <v>0</v>
      </c>
      <c r="F79" s="824">
        <v>146.03</v>
      </c>
      <c r="G79" s="824">
        <v>0</v>
      </c>
      <c r="H79" s="824">
        <v>0</v>
      </c>
      <c r="I79" s="824">
        <v>0</v>
      </c>
      <c r="J79" s="609">
        <v>19.004316247675078</v>
      </c>
      <c r="K79" s="609">
        <v>18.312232866883303</v>
      </c>
      <c r="L79" s="609">
        <v>19.307247737212727</v>
      </c>
      <c r="M79" s="609">
        <v>19.851461165151626</v>
      </c>
      <c r="N79" s="609">
        <v>21.213471578713062</v>
      </c>
      <c r="O79" s="609">
        <v>22.048694298291927</v>
      </c>
      <c r="P79" s="329">
        <f t="shared" si="8"/>
        <v>265.76742389392768</v>
      </c>
      <c r="Q79" s="81"/>
      <c r="R79" s="115"/>
      <c r="S79" s="81"/>
    </row>
    <row r="80" spans="1:19">
      <c r="A80" s="389">
        <f t="shared" si="1"/>
        <v>69</v>
      </c>
      <c r="B80" s="178">
        <v>8800</v>
      </c>
      <c r="C80" s="81" t="s">
        <v>888</v>
      </c>
      <c r="D80" s="824">
        <v>491.89</v>
      </c>
      <c r="E80" s="824">
        <v>1098.02</v>
      </c>
      <c r="F80" s="824">
        <v>4.97</v>
      </c>
      <c r="G80" s="824">
        <v>127.81</v>
      </c>
      <c r="H80" s="824">
        <v>0</v>
      </c>
      <c r="I80" s="824">
        <v>0</v>
      </c>
      <c r="J80" s="609">
        <v>227.91672227535847</v>
      </c>
      <c r="K80" s="609">
        <v>220.10618280215897</v>
      </c>
      <c r="L80" s="609">
        <v>231.41882947881248</v>
      </c>
      <c r="M80" s="609">
        <v>238.26771650360914</v>
      </c>
      <c r="N80" s="609">
        <v>253.63233222264392</v>
      </c>
      <c r="O80" s="609">
        <v>263.0560399822063</v>
      </c>
      <c r="P80" s="329">
        <f t="shared" si="8"/>
        <v>3157.0878232647892</v>
      </c>
      <c r="Q80" s="81"/>
      <c r="R80" s="81"/>
      <c r="S80" s="81"/>
    </row>
    <row r="81" spans="1:21">
      <c r="A81" s="389">
        <f t="shared" si="1"/>
        <v>70</v>
      </c>
      <c r="B81" s="178">
        <v>8810</v>
      </c>
      <c r="C81" s="81" t="s">
        <v>889</v>
      </c>
      <c r="D81" s="824">
        <v>8255.4300000000039</v>
      </c>
      <c r="E81" s="824">
        <v>8173.0500000000047</v>
      </c>
      <c r="F81" s="824">
        <v>8102.0900000000083</v>
      </c>
      <c r="G81" s="824">
        <v>8705.9900000000052</v>
      </c>
      <c r="H81" s="824">
        <v>9035.35</v>
      </c>
      <c r="I81" s="824">
        <v>12704.029999999997</v>
      </c>
      <c r="J81" s="609">
        <v>8631.3539682335831</v>
      </c>
      <c r="K81" s="609">
        <v>9016.3570697632749</v>
      </c>
      <c r="L81" s="609">
        <v>5647.2470013287857</v>
      </c>
      <c r="M81" s="609">
        <v>9479.8406818659387</v>
      </c>
      <c r="N81" s="609">
        <v>7121.5667755348877</v>
      </c>
      <c r="O81" s="609">
        <v>4541.8571771161696</v>
      </c>
      <c r="P81" s="329">
        <f t="shared" si="8"/>
        <v>99414.162673842657</v>
      </c>
      <c r="Q81" s="81"/>
      <c r="R81" s="81"/>
      <c r="S81" s="81"/>
    </row>
    <row r="82" spans="1:21">
      <c r="A82" s="389">
        <f t="shared" si="1"/>
        <v>71</v>
      </c>
      <c r="B82" s="178">
        <v>8850</v>
      </c>
      <c r="C82" s="81" t="s">
        <v>890</v>
      </c>
      <c r="D82" s="825">
        <v>0</v>
      </c>
      <c r="E82" s="825">
        <v>0</v>
      </c>
      <c r="F82" s="825">
        <v>0</v>
      </c>
      <c r="G82" s="825">
        <v>0</v>
      </c>
      <c r="H82" s="825">
        <v>0</v>
      </c>
      <c r="I82" s="825">
        <v>0</v>
      </c>
      <c r="J82" s="609">
        <v>0</v>
      </c>
      <c r="K82" s="609">
        <v>0</v>
      </c>
      <c r="L82" s="609">
        <v>0</v>
      </c>
      <c r="M82" s="609">
        <v>0</v>
      </c>
      <c r="N82" s="609">
        <v>0</v>
      </c>
      <c r="O82" s="609">
        <v>0</v>
      </c>
      <c r="P82" s="329">
        <f t="shared" si="8"/>
        <v>0</v>
      </c>
      <c r="Q82" s="81"/>
      <c r="R82" s="81"/>
      <c r="S82" s="81"/>
    </row>
    <row r="83" spans="1:21">
      <c r="A83" s="389">
        <f t="shared" si="1"/>
        <v>72</v>
      </c>
      <c r="B83" s="178">
        <v>8860</v>
      </c>
      <c r="C83" s="81" t="s">
        <v>891</v>
      </c>
      <c r="D83" s="825">
        <v>0</v>
      </c>
      <c r="E83" s="825">
        <v>0</v>
      </c>
      <c r="F83" s="825">
        <v>0</v>
      </c>
      <c r="G83" s="825">
        <v>0</v>
      </c>
      <c r="H83" s="825">
        <v>0</v>
      </c>
      <c r="I83" s="825">
        <v>0</v>
      </c>
      <c r="J83" s="609">
        <v>0</v>
      </c>
      <c r="K83" s="609">
        <v>0</v>
      </c>
      <c r="L83" s="609">
        <v>0</v>
      </c>
      <c r="M83" s="609">
        <v>0</v>
      </c>
      <c r="N83" s="609">
        <v>0</v>
      </c>
      <c r="O83" s="609">
        <v>0</v>
      </c>
      <c r="P83" s="329">
        <f t="shared" si="8"/>
        <v>0</v>
      </c>
      <c r="Q83" s="81"/>
      <c r="R83" s="81"/>
      <c r="S83" s="81"/>
    </row>
    <row r="84" spans="1:21">
      <c r="A84" s="389">
        <f t="shared" si="1"/>
        <v>73</v>
      </c>
      <c r="B84" s="178">
        <v>8870</v>
      </c>
      <c r="C84" s="81" t="s">
        <v>892</v>
      </c>
      <c r="D84" s="824">
        <v>18222.650000000001</v>
      </c>
      <c r="E84" s="824">
        <v>4296.6699999999992</v>
      </c>
      <c r="F84" s="824">
        <v>29773.14</v>
      </c>
      <c r="G84" s="824">
        <v>4890.8900000000003</v>
      </c>
      <c r="H84" s="824">
        <v>7366.2100000000009</v>
      </c>
      <c r="I84" s="824">
        <v>10157.900000000001</v>
      </c>
      <c r="J84" s="609">
        <v>11638.174056161075</v>
      </c>
      <c r="K84" s="609">
        <v>11802.106757815101</v>
      </c>
      <c r="L84" s="609">
        <v>11610.955211175638</v>
      </c>
      <c r="M84" s="609">
        <v>11581.163812140361</v>
      </c>
      <c r="N84" s="609">
        <v>11848.153452913763</v>
      </c>
      <c r="O84" s="609">
        <v>12781.849355278646</v>
      </c>
      <c r="P84" s="329">
        <f t="shared" si="8"/>
        <v>145969.86264548459</v>
      </c>
      <c r="Q84" s="81"/>
      <c r="R84" s="83"/>
      <c r="S84" s="81"/>
    </row>
    <row r="85" spans="1:21">
      <c r="A85" s="389">
        <f t="shared" si="1"/>
        <v>74</v>
      </c>
      <c r="B85" s="178">
        <v>8890</v>
      </c>
      <c r="C85" s="455" t="s">
        <v>893</v>
      </c>
      <c r="D85" s="824">
        <v>3507.1600000000003</v>
      </c>
      <c r="E85" s="824">
        <v>940.32999999999993</v>
      </c>
      <c r="F85" s="824">
        <v>26753.98</v>
      </c>
      <c r="G85" s="824">
        <v>31467.72</v>
      </c>
      <c r="H85" s="824">
        <v>9037.91</v>
      </c>
      <c r="I85" s="824">
        <v>35564.269999999997</v>
      </c>
      <c r="J85" s="609">
        <v>14630.035001099655</v>
      </c>
      <c r="K85" s="609">
        <v>14733.971095967747</v>
      </c>
      <c r="L85" s="609">
        <v>14663.449868046546</v>
      </c>
      <c r="M85" s="609">
        <v>9316.3874507957207</v>
      </c>
      <c r="N85" s="609">
        <v>12416.272861990166</v>
      </c>
      <c r="O85" s="609">
        <v>15043.639573744378</v>
      </c>
      <c r="P85" s="329">
        <f t="shared" si="8"/>
        <v>188075.1258516442</v>
      </c>
      <c r="Q85" s="81"/>
      <c r="R85" s="81"/>
      <c r="S85" s="81"/>
    </row>
    <row r="86" spans="1:21">
      <c r="A86" s="389">
        <f t="shared" ref="A86:A114" si="10">A85+1</f>
        <v>75</v>
      </c>
      <c r="B86" s="178">
        <v>8900</v>
      </c>
      <c r="C86" s="81" t="s">
        <v>894</v>
      </c>
      <c r="D86" s="825">
        <f>0</f>
        <v>0</v>
      </c>
      <c r="E86" s="825">
        <f>0</f>
        <v>0</v>
      </c>
      <c r="F86" s="825">
        <f>0</f>
        <v>0</v>
      </c>
      <c r="G86" s="825">
        <f>0</f>
        <v>0</v>
      </c>
      <c r="H86" s="825">
        <f>0</f>
        <v>0</v>
      </c>
      <c r="I86" s="825">
        <f>0</f>
        <v>0</v>
      </c>
      <c r="J86" s="609">
        <v>0</v>
      </c>
      <c r="K86" s="609">
        <v>0</v>
      </c>
      <c r="L86" s="609">
        <v>0</v>
      </c>
      <c r="M86" s="609">
        <v>0</v>
      </c>
      <c r="N86" s="609">
        <v>0</v>
      </c>
      <c r="O86" s="609">
        <v>0</v>
      </c>
      <c r="P86" s="329">
        <f t="shared" si="8"/>
        <v>0</v>
      </c>
      <c r="Q86" s="81"/>
      <c r="R86" s="81"/>
      <c r="S86" s="81"/>
    </row>
    <row r="87" spans="1:21">
      <c r="A87" s="389">
        <f t="shared" si="10"/>
        <v>76</v>
      </c>
      <c r="B87" s="178">
        <v>8910</v>
      </c>
      <c r="C87" s="81" t="s">
        <v>895</v>
      </c>
      <c r="D87" s="824">
        <v>0</v>
      </c>
      <c r="E87" s="824">
        <v>0</v>
      </c>
      <c r="F87" s="824">
        <v>0</v>
      </c>
      <c r="G87" s="824">
        <v>0</v>
      </c>
      <c r="H87" s="824">
        <v>64.19</v>
      </c>
      <c r="I87" s="824">
        <v>-9.17</v>
      </c>
      <c r="J87" s="609">
        <v>10.51257715925486</v>
      </c>
      <c r="K87" s="609">
        <v>10.155465598141618</v>
      </c>
      <c r="L87" s="609">
        <v>9.5720398080582516</v>
      </c>
      <c r="M87" s="609">
        <v>11.5487718738034</v>
      </c>
      <c r="N87" s="609">
        <v>10.802634350522265</v>
      </c>
      <c r="O87" s="609">
        <v>11.296585248348455</v>
      </c>
      <c r="P87" s="329">
        <f t="shared" si="8"/>
        <v>118.90807403812885</v>
      </c>
      <c r="Q87" s="81"/>
      <c r="R87" s="81"/>
      <c r="S87" s="81"/>
    </row>
    <row r="88" spans="1:21">
      <c r="A88" s="389">
        <f t="shared" si="10"/>
        <v>77</v>
      </c>
      <c r="B88" s="178">
        <v>8920</v>
      </c>
      <c r="C88" s="81" t="s">
        <v>896</v>
      </c>
      <c r="D88" s="824">
        <v>-9.86</v>
      </c>
      <c r="E88" s="824">
        <v>0</v>
      </c>
      <c r="F88" s="824">
        <v>123.80000000000001</v>
      </c>
      <c r="G88" s="824">
        <v>-41.27</v>
      </c>
      <c r="H88" s="824">
        <v>0</v>
      </c>
      <c r="I88" s="824">
        <v>0</v>
      </c>
      <c r="J88" s="609">
        <v>13.884932427536365</v>
      </c>
      <c r="K88" s="609">
        <v>13.413262177698135</v>
      </c>
      <c r="L88" s="609">
        <v>12.642677805372468</v>
      </c>
      <c r="M88" s="609">
        <v>15.253530571960978</v>
      </c>
      <c r="N88" s="609">
        <v>14.268037772672717</v>
      </c>
      <c r="O88" s="609">
        <v>14.920444383814653</v>
      </c>
      <c r="P88" s="329">
        <f t="shared" si="8"/>
        <v>157.05288513905532</v>
      </c>
      <c r="Q88" s="81"/>
      <c r="R88" s="81"/>
      <c r="S88" s="81"/>
    </row>
    <row r="89" spans="1:21">
      <c r="A89" s="389">
        <f t="shared" si="10"/>
        <v>78</v>
      </c>
      <c r="B89" s="178">
        <v>8930</v>
      </c>
      <c r="C89" s="81" t="s">
        <v>897</v>
      </c>
      <c r="D89" s="824">
        <v>0</v>
      </c>
      <c r="E89" s="824">
        <v>0</v>
      </c>
      <c r="F89" s="824">
        <v>0</v>
      </c>
      <c r="G89" s="824">
        <v>0</v>
      </c>
      <c r="H89" s="824">
        <v>0</v>
      </c>
      <c r="I89" s="824">
        <v>0</v>
      </c>
      <c r="J89" s="609">
        <v>0</v>
      </c>
      <c r="K89" s="609">
        <v>0</v>
      </c>
      <c r="L89" s="609">
        <v>0</v>
      </c>
      <c r="M89" s="609">
        <v>0</v>
      </c>
      <c r="N89" s="609">
        <v>0</v>
      </c>
      <c r="O89" s="609">
        <v>0</v>
      </c>
      <c r="P89" s="329">
        <f t="shared" si="8"/>
        <v>0</v>
      </c>
      <c r="Q89" s="81"/>
      <c r="R89" s="81"/>
      <c r="S89" s="81"/>
    </row>
    <row r="90" spans="1:21">
      <c r="A90" s="389">
        <f t="shared" si="10"/>
        <v>79</v>
      </c>
      <c r="B90" s="178">
        <v>8940</v>
      </c>
      <c r="C90" s="81" t="s">
        <v>898</v>
      </c>
      <c r="D90" s="825">
        <f>0</f>
        <v>0</v>
      </c>
      <c r="E90" s="825">
        <f>0</f>
        <v>0</v>
      </c>
      <c r="F90" s="825">
        <f>0</f>
        <v>0</v>
      </c>
      <c r="G90" s="825">
        <f>0</f>
        <v>0</v>
      </c>
      <c r="H90" s="825">
        <f>0</f>
        <v>0</v>
      </c>
      <c r="I90" s="825">
        <f>0</f>
        <v>0</v>
      </c>
      <c r="J90" s="609">
        <v>0</v>
      </c>
      <c r="K90" s="609">
        <v>0</v>
      </c>
      <c r="L90" s="609">
        <v>0</v>
      </c>
      <c r="M90" s="609">
        <v>0</v>
      </c>
      <c r="N90" s="609">
        <v>0</v>
      </c>
      <c r="O90" s="609">
        <v>0</v>
      </c>
      <c r="P90" s="329">
        <f t="shared" si="8"/>
        <v>0</v>
      </c>
      <c r="Q90" s="81"/>
      <c r="R90" s="81"/>
      <c r="S90" s="81"/>
    </row>
    <row r="91" spans="1:21">
      <c r="A91" s="389">
        <f t="shared" si="10"/>
        <v>80</v>
      </c>
      <c r="B91" s="178">
        <v>9010</v>
      </c>
      <c r="C91" t="s">
        <v>175</v>
      </c>
      <c r="D91" s="825">
        <f>0</f>
        <v>0</v>
      </c>
      <c r="E91" s="825">
        <f>0</f>
        <v>0</v>
      </c>
      <c r="F91" s="825">
        <f>0</f>
        <v>0</v>
      </c>
      <c r="G91" s="825">
        <f>0</f>
        <v>0</v>
      </c>
      <c r="H91" s="825">
        <f>0</f>
        <v>0</v>
      </c>
      <c r="I91" s="825">
        <f>0</f>
        <v>0</v>
      </c>
      <c r="J91" s="609">
        <v>0</v>
      </c>
      <c r="K91" s="609">
        <v>0</v>
      </c>
      <c r="L91" s="609">
        <v>0</v>
      </c>
      <c r="M91" s="609">
        <v>0</v>
      </c>
      <c r="N91" s="609">
        <v>0</v>
      </c>
      <c r="O91" s="609">
        <v>0</v>
      </c>
      <c r="P91" s="329">
        <f t="shared" si="8"/>
        <v>0</v>
      </c>
      <c r="Q91" s="81"/>
      <c r="R91" s="81"/>
      <c r="S91" s="81"/>
    </row>
    <row r="92" spans="1:21">
      <c r="A92" s="389">
        <f t="shared" si="10"/>
        <v>81</v>
      </c>
      <c r="B92" s="178">
        <v>9020</v>
      </c>
      <c r="C92" s="81" t="s">
        <v>899</v>
      </c>
      <c r="D92" s="824">
        <v>53027.05</v>
      </c>
      <c r="E92" s="824">
        <v>57748.39</v>
      </c>
      <c r="F92" s="824">
        <v>52706.239999999998</v>
      </c>
      <c r="G92" s="824">
        <v>46747.140000000007</v>
      </c>
      <c r="H92" s="824">
        <v>69879.329999999987</v>
      </c>
      <c r="I92" s="824">
        <v>56229.099999999991</v>
      </c>
      <c r="J92" s="609">
        <v>59669.639378282794</v>
      </c>
      <c r="K92" s="609">
        <v>59159.39541337741</v>
      </c>
      <c r="L92" s="609">
        <v>54573.674340974772</v>
      </c>
      <c r="M92" s="609">
        <v>63951.348143577998</v>
      </c>
      <c r="N92" s="609">
        <v>59755.345930823409</v>
      </c>
      <c r="O92" s="609">
        <v>58481.346389248189</v>
      </c>
      <c r="P92" s="329">
        <f t="shared" si="8"/>
        <v>691927.99959628459</v>
      </c>
      <c r="Q92" s="329"/>
      <c r="R92" s="329"/>
      <c r="S92" s="329"/>
      <c r="T92" s="329"/>
      <c r="U92" s="329"/>
    </row>
    <row r="93" spans="1:21">
      <c r="A93" s="389">
        <f t="shared" si="10"/>
        <v>82</v>
      </c>
      <c r="B93" s="178">
        <v>9030</v>
      </c>
      <c r="C93" s="81" t="s">
        <v>903</v>
      </c>
      <c r="D93" s="824">
        <v>101433.35</v>
      </c>
      <c r="E93" s="824">
        <v>105565.12999999999</v>
      </c>
      <c r="F93" s="824">
        <v>165197.99</v>
      </c>
      <c r="G93" s="824">
        <v>146083.24</v>
      </c>
      <c r="H93" s="824">
        <v>105044.41</v>
      </c>
      <c r="I93" s="824">
        <v>89105.15</v>
      </c>
      <c r="J93" s="609">
        <v>103915.71276598141</v>
      </c>
      <c r="K93" s="609">
        <v>104455.9868184427</v>
      </c>
      <c r="L93" s="609">
        <v>102644.05528263823</v>
      </c>
      <c r="M93" s="609">
        <v>76918.397653569089</v>
      </c>
      <c r="N93" s="609">
        <v>92508.548991296338</v>
      </c>
      <c r="O93" s="609">
        <v>108522.85745550014</v>
      </c>
      <c r="P93" s="329">
        <f t="shared" si="8"/>
        <v>1301394.8289674281</v>
      </c>
      <c r="Q93" s="329"/>
      <c r="R93" s="329"/>
      <c r="S93" s="329"/>
      <c r="T93" s="329"/>
      <c r="U93" s="329"/>
    </row>
    <row r="94" spans="1:21">
      <c r="A94" s="389">
        <f t="shared" si="10"/>
        <v>83</v>
      </c>
      <c r="B94" s="178">
        <v>9040</v>
      </c>
      <c r="C94" s="81" t="s">
        <v>904</v>
      </c>
      <c r="D94" s="824">
        <v>209703.95</v>
      </c>
      <c r="E94" s="824">
        <v>298981.28000000003</v>
      </c>
      <c r="F94" s="824">
        <v>210389.67</v>
      </c>
      <c r="G94" s="824">
        <v>-78229.86</v>
      </c>
      <c r="H94" s="824">
        <v>122814</v>
      </c>
      <c r="I94" s="824">
        <v>158813</v>
      </c>
      <c r="J94" s="609">
        <v>86169.46</v>
      </c>
      <c r="K94" s="609">
        <v>92650.9</v>
      </c>
      <c r="L94" s="609">
        <v>91815.14</v>
      </c>
      <c r="M94" s="609">
        <v>100296.1491</v>
      </c>
      <c r="N94" s="609">
        <v>137716.05505000002</v>
      </c>
      <c r="O94" s="609">
        <v>172488.28887500003</v>
      </c>
      <c r="P94" s="329">
        <f t="shared" si="8"/>
        <v>1603608.033025</v>
      </c>
      <c r="Q94" s="81"/>
      <c r="R94" s="81"/>
      <c r="S94" s="81"/>
    </row>
    <row r="95" spans="1:21">
      <c r="A95" s="389">
        <f t="shared" si="10"/>
        <v>84</v>
      </c>
      <c r="B95" s="178">
        <v>9090</v>
      </c>
      <c r="C95" s="81" t="s">
        <v>905</v>
      </c>
      <c r="D95" s="824">
        <v>20820.819999999996</v>
      </c>
      <c r="E95" s="824">
        <v>18363.62</v>
      </c>
      <c r="F95" s="824">
        <v>12760.420000000002</v>
      </c>
      <c r="G95" s="824">
        <v>17702.36</v>
      </c>
      <c r="H95" s="824">
        <v>17180.93</v>
      </c>
      <c r="I95" s="824">
        <v>13583.54</v>
      </c>
      <c r="J95" s="609">
        <v>15254.553332547572</v>
      </c>
      <c r="K95" s="609">
        <v>15108.873865842794</v>
      </c>
      <c r="L95" s="609">
        <v>14623.501031368838</v>
      </c>
      <c r="M95" s="609">
        <v>18152.413969461417</v>
      </c>
      <c r="N95" s="609">
        <v>17257.596031787307</v>
      </c>
      <c r="O95" s="609">
        <v>17854.615683085609</v>
      </c>
      <c r="P95" s="329">
        <f t="shared" si="8"/>
        <v>198663.24391409353</v>
      </c>
      <c r="Q95" s="81"/>
      <c r="R95" s="81"/>
      <c r="S95" s="81"/>
    </row>
    <row r="96" spans="1:21">
      <c r="A96" s="389">
        <f t="shared" si="10"/>
        <v>85</v>
      </c>
      <c r="B96" s="178">
        <v>9100</v>
      </c>
      <c r="C96" s="81" t="s">
        <v>906</v>
      </c>
      <c r="D96" s="825">
        <f>0</f>
        <v>0</v>
      </c>
      <c r="E96" s="825">
        <f>0</f>
        <v>0</v>
      </c>
      <c r="F96" s="825">
        <f>0</f>
        <v>0</v>
      </c>
      <c r="G96" s="825">
        <f>0</f>
        <v>0</v>
      </c>
      <c r="H96" s="825">
        <f>0</f>
        <v>0</v>
      </c>
      <c r="I96" s="825">
        <f>0</f>
        <v>0</v>
      </c>
      <c r="J96" s="609">
        <v>0</v>
      </c>
      <c r="K96" s="609">
        <v>0</v>
      </c>
      <c r="L96" s="609">
        <v>0</v>
      </c>
      <c r="M96" s="609">
        <v>0</v>
      </c>
      <c r="N96" s="609">
        <v>0</v>
      </c>
      <c r="O96" s="609">
        <v>0</v>
      </c>
      <c r="P96" s="329">
        <f t="shared" si="8"/>
        <v>0</v>
      </c>
      <c r="Q96" s="81"/>
      <c r="R96" s="81"/>
      <c r="S96" s="81"/>
    </row>
    <row r="97" spans="1:19">
      <c r="A97" s="389">
        <f t="shared" si="10"/>
        <v>86</v>
      </c>
      <c r="B97" s="178">
        <v>9110</v>
      </c>
      <c r="C97" s="81" t="s">
        <v>907</v>
      </c>
      <c r="D97" s="824">
        <v>10508.300000000001</v>
      </c>
      <c r="E97" s="824">
        <v>11395.83</v>
      </c>
      <c r="F97" s="824">
        <v>11238.179999999998</v>
      </c>
      <c r="G97" s="824">
        <v>12311.38</v>
      </c>
      <c r="H97" s="824">
        <v>13314.99</v>
      </c>
      <c r="I97" s="824">
        <v>10399.529999999999</v>
      </c>
      <c r="J97" s="609">
        <v>11882.764203443772</v>
      </c>
      <c r="K97" s="609">
        <v>11864.448486801568</v>
      </c>
      <c r="L97" s="609">
        <v>11488.097623193284</v>
      </c>
      <c r="M97" s="609">
        <v>13392.608098406381</v>
      </c>
      <c r="N97" s="609">
        <v>12674.17245631267</v>
      </c>
      <c r="O97" s="609">
        <v>13149.784417070223</v>
      </c>
      <c r="P97" s="329">
        <f t="shared" si="8"/>
        <v>143620.08528522789</v>
      </c>
      <c r="Q97" s="81"/>
      <c r="R97" s="83"/>
      <c r="S97" s="81"/>
    </row>
    <row r="98" spans="1:19">
      <c r="A98" s="389">
        <f t="shared" si="10"/>
        <v>87</v>
      </c>
      <c r="B98" s="178">
        <v>9120</v>
      </c>
      <c r="C98" s="81" t="s">
        <v>908</v>
      </c>
      <c r="D98" s="824">
        <v>23485.4</v>
      </c>
      <c r="E98" s="824">
        <v>762.04</v>
      </c>
      <c r="F98" s="824">
        <v>1039.77</v>
      </c>
      <c r="G98" s="824">
        <v>27608.6</v>
      </c>
      <c r="H98" s="824">
        <v>1641.9699999999998</v>
      </c>
      <c r="I98" s="824">
        <v>4288.25</v>
      </c>
      <c r="J98" s="609">
        <v>10964.616386586857</v>
      </c>
      <c r="K98" s="609">
        <v>1810.2729193385394</v>
      </c>
      <c r="L98" s="609">
        <v>2123.7845547183756</v>
      </c>
      <c r="M98" s="609">
        <v>6828.5346228853559</v>
      </c>
      <c r="N98" s="609">
        <v>4624.7013351725336</v>
      </c>
      <c r="O98" s="609">
        <v>3237.5026198224932</v>
      </c>
      <c r="P98" s="329">
        <f t="shared" si="8"/>
        <v>88415.442438524173</v>
      </c>
      <c r="Q98" s="81"/>
      <c r="R98" s="83"/>
      <c r="S98" s="81"/>
    </row>
    <row r="99" spans="1:19">
      <c r="A99" s="389">
        <f t="shared" si="10"/>
        <v>88</v>
      </c>
      <c r="B99" s="178">
        <v>9130</v>
      </c>
      <c r="C99" s="81" t="s">
        <v>909</v>
      </c>
      <c r="D99" s="824">
        <v>3920.9</v>
      </c>
      <c r="E99" s="824">
        <v>5379.96</v>
      </c>
      <c r="F99" s="824">
        <v>5460.02</v>
      </c>
      <c r="G99" s="824">
        <v>28396.28</v>
      </c>
      <c r="H99" s="824">
        <v>8607.5800000000017</v>
      </c>
      <c r="I99" s="824">
        <v>1405.19</v>
      </c>
      <c r="J99" s="609">
        <v>2182.7098023437761</v>
      </c>
      <c r="K99" s="609">
        <v>2182.7098023437761</v>
      </c>
      <c r="L99" s="609">
        <v>2183.2956904331631</v>
      </c>
      <c r="M99" s="609">
        <v>3272.1032803897479</v>
      </c>
      <c r="N99" s="609">
        <v>3272.1032803897479</v>
      </c>
      <c r="O99" s="609">
        <v>3272.1032803897479</v>
      </c>
      <c r="P99" s="329">
        <f t="shared" si="8"/>
        <v>69534.95513628998</v>
      </c>
      <c r="Q99" s="81"/>
      <c r="R99" s="81"/>
      <c r="S99" s="81"/>
    </row>
    <row r="100" spans="1:19">
      <c r="A100" s="389">
        <f t="shared" si="10"/>
        <v>89</v>
      </c>
      <c r="B100" s="178">
        <v>9160</v>
      </c>
      <c r="C100" s="81" t="s">
        <v>1490</v>
      </c>
      <c r="D100" s="824">
        <v>0</v>
      </c>
      <c r="E100" s="824">
        <v>0</v>
      </c>
      <c r="F100" s="824">
        <v>1300</v>
      </c>
      <c r="G100" s="824">
        <v>0</v>
      </c>
      <c r="H100" s="824">
        <v>689</v>
      </c>
      <c r="I100" s="824">
        <v>0</v>
      </c>
      <c r="J100" s="609">
        <v>81.651598880453122</v>
      </c>
      <c r="K100" s="609">
        <v>81.651598880453122</v>
      </c>
      <c r="L100" s="609">
        <v>81.673515994314116</v>
      </c>
      <c r="M100" s="609">
        <v>122.40402469394277</v>
      </c>
      <c r="N100" s="609">
        <v>122.40402469394277</v>
      </c>
      <c r="O100" s="609">
        <v>122.40402469394277</v>
      </c>
      <c r="P100" s="329">
        <f t="shared" si="8"/>
        <v>2601.188787837048</v>
      </c>
      <c r="Q100" s="81"/>
      <c r="R100" s="81"/>
      <c r="S100" s="81"/>
    </row>
    <row r="101" spans="1:19">
      <c r="A101" s="389">
        <f t="shared" si="10"/>
        <v>90</v>
      </c>
      <c r="B101" s="178">
        <v>9200</v>
      </c>
      <c r="C101" t="s">
        <v>176</v>
      </c>
      <c r="D101" s="824">
        <v>0</v>
      </c>
      <c r="E101" s="824">
        <v>0</v>
      </c>
      <c r="F101" s="824">
        <v>0</v>
      </c>
      <c r="G101" s="824">
        <v>0</v>
      </c>
      <c r="H101" s="824">
        <v>0</v>
      </c>
      <c r="I101" s="824">
        <v>0</v>
      </c>
      <c r="J101" s="609">
        <v>0</v>
      </c>
      <c r="K101" s="609">
        <v>0</v>
      </c>
      <c r="L101" s="609">
        <v>0</v>
      </c>
      <c r="M101" s="609">
        <v>0</v>
      </c>
      <c r="N101" s="609">
        <v>0</v>
      </c>
      <c r="O101" s="609">
        <v>0</v>
      </c>
      <c r="P101" s="329">
        <f t="shared" ref="P101" si="11">SUM(D101:O101)</f>
        <v>0</v>
      </c>
      <c r="Q101" s="81"/>
      <c r="R101" s="83"/>
      <c r="S101" s="81"/>
    </row>
    <row r="102" spans="1:19">
      <c r="A102" s="389">
        <f t="shared" si="10"/>
        <v>91</v>
      </c>
      <c r="B102" s="178">
        <v>9210</v>
      </c>
      <c r="C102" s="81" t="s">
        <v>910</v>
      </c>
      <c r="D102" s="824">
        <v>2718.64</v>
      </c>
      <c r="E102" s="824">
        <v>26720.15</v>
      </c>
      <c r="F102" s="824">
        <v>395.87</v>
      </c>
      <c r="G102" s="824">
        <v>813.91000000000008</v>
      </c>
      <c r="H102" s="824">
        <v>206.02</v>
      </c>
      <c r="I102" s="824">
        <v>345.01</v>
      </c>
      <c r="J102" s="609">
        <v>309.21740051523619</v>
      </c>
      <c r="K102" s="609">
        <v>308.54370570882958</v>
      </c>
      <c r="L102" s="609">
        <v>376.027145468127</v>
      </c>
      <c r="M102" s="609">
        <v>5753.8695313898088</v>
      </c>
      <c r="N102" s="609">
        <v>5755.1953533461719</v>
      </c>
      <c r="O102" s="609">
        <v>5756.0083842958957</v>
      </c>
      <c r="P102" s="329">
        <f t="shared" si="8"/>
        <v>49458.461520724071</v>
      </c>
      <c r="Q102" s="81"/>
      <c r="R102" s="83"/>
      <c r="S102" s="81"/>
    </row>
    <row r="103" spans="1:19">
      <c r="A103" s="389">
        <f t="shared" si="10"/>
        <v>92</v>
      </c>
      <c r="B103" s="178">
        <v>9220</v>
      </c>
      <c r="C103" s="81" t="s">
        <v>911</v>
      </c>
      <c r="D103" s="824">
        <v>1141840.23</v>
      </c>
      <c r="E103" s="824">
        <v>1094611.77</v>
      </c>
      <c r="F103" s="824">
        <v>956813.84000000008</v>
      </c>
      <c r="G103" s="824">
        <v>1109782.93</v>
      </c>
      <c r="H103" s="824">
        <v>1751889.37</v>
      </c>
      <c r="I103" s="824">
        <v>657969.06000000006</v>
      </c>
      <c r="J103" s="607">
        <f>-('C.2.2 B 02'!J47+'C.2.2 B 12'!J38+'C.2.2 B 91'!J63)</f>
        <v>1677084.1971644047</v>
      </c>
      <c r="K103" s="607">
        <f>-('C.2.2 B 02'!K47+'C.2.2 B 12'!K38+'C.2.2 B 91'!K63)</f>
        <v>1483045.7164809823</v>
      </c>
      <c r="L103" s="607">
        <f>-('C.2.2 B 02'!L47+'C.2.2 B 12'!L38+'C.2.2 B 91'!L63)</f>
        <v>1539460.5287855384</v>
      </c>
      <c r="M103" s="607">
        <f>-('C.2.2 B 02'!M47+'C.2.2 B 12'!M38+'C.2.2 B 91'!M63)</f>
        <v>1517291.2362570423</v>
      </c>
      <c r="N103" s="607">
        <f>-('C.2.2 B 02'!N47+'C.2.2 B 12'!N38+'C.2.2 B 91'!N63)</f>
        <v>1403416.6707589163</v>
      </c>
      <c r="O103" s="607">
        <f>-('C.2.2 B 02'!O47+'C.2.2 B 12'!O38+'C.2.2 B 91'!O63)</f>
        <v>1520622.2150312879</v>
      </c>
      <c r="P103" s="329">
        <f>SUM(D103:O103)</f>
        <v>15853827.764478171</v>
      </c>
      <c r="Q103" s="329"/>
      <c r="R103" s="435"/>
      <c r="S103" s="81"/>
    </row>
    <row r="104" spans="1:19">
      <c r="A104" s="389">
        <f t="shared" si="10"/>
        <v>93</v>
      </c>
      <c r="B104" s="178">
        <v>9230</v>
      </c>
      <c r="C104" s="81" t="s">
        <v>912</v>
      </c>
      <c r="D104" s="824">
        <v>3256.5</v>
      </c>
      <c r="E104" s="824">
        <v>15174.25</v>
      </c>
      <c r="F104" s="824">
        <v>0</v>
      </c>
      <c r="G104" s="824">
        <v>15238</v>
      </c>
      <c r="H104" s="824">
        <v>17465.3</v>
      </c>
      <c r="I104" s="824">
        <v>4367.7</v>
      </c>
      <c r="J104" s="609">
        <v>7608.0852120405507</v>
      </c>
      <c r="K104" s="609">
        <v>7697.1935630465805</v>
      </c>
      <c r="L104" s="609">
        <v>7618.8562222076425</v>
      </c>
      <c r="M104" s="609">
        <v>4518.8265109727627</v>
      </c>
      <c r="N104" s="609">
        <v>6245.0549880390654</v>
      </c>
      <c r="O104" s="609">
        <v>7719.2846988444207</v>
      </c>
      <c r="P104" s="329">
        <f t="shared" si="8"/>
        <v>96909.051195151013</v>
      </c>
      <c r="Q104" s="81"/>
      <c r="R104" s="83"/>
      <c r="S104" s="81"/>
    </row>
    <row r="105" spans="1:19">
      <c r="A105" s="389">
        <f t="shared" si="10"/>
        <v>94</v>
      </c>
      <c r="B105" s="178">
        <v>9240</v>
      </c>
      <c r="C105" s="81" t="s">
        <v>913</v>
      </c>
      <c r="D105" s="824">
        <v>-44.319999999999709</v>
      </c>
      <c r="E105" s="824">
        <v>931.09999999999854</v>
      </c>
      <c r="F105" s="824">
        <v>1770.9199999999983</v>
      </c>
      <c r="G105" s="824">
        <v>940.33999999999651</v>
      </c>
      <c r="H105" s="824">
        <v>941.58000000000175</v>
      </c>
      <c r="I105" s="824">
        <v>941.58000000000175</v>
      </c>
      <c r="J105" s="609">
        <v>24.731235437281498</v>
      </c>
      <c r="K105" s="609">
        <v>24.731235437281498</v>
      </c>
      <c r="L105" s="609">
        <v>24.731235437281498</v>
      </c>
      <c r="M105" s="609">
        <v>0</v>
      </c>
      <c r="N105" s="609">
        <v>0</v>
      </c>
      <c r="O105" s="609">
        <v>0</v>
      </c>
      <c r="P105" s="329">
        <f t="shared" si="8"/>
        <v>5555.3937063118419</v>
      </c>
      <c r="Q105" s="81"/>
      <c r="R105" s="83"/>
      <c r="S105" s="81"/>
    </row>
    <row r="106" spans="1:19">
      <c r="A106" s="389">
        <f t="shared" si="10"/>
        <v>95</v>
      </c>
      <c r="B106" s="178">
        <v>9250</v>
      </c>
      <c r="C106" s="81" t="s">
        <v>914</v>
      </c>
      <c r="D106" s="824">
        <v>3543.15</v>
      </c>
      <c r="E106" s="824">
        <v>7186.3700000000008</v>
      </c>
      <c r="F106" s="824">
        <v>5276.4</v>
      </c>
      <c r="G106" s="824">
        <v>5125.57</v>
      </c>
      <c r="H106" s="824">
        <v>5603.38</v>
      </c>
      <c r="I106" s="824">
        <v>17198.34</v>
      </c>
      <c r="J106" s="609">
        <v>2643.0383859296016</v>
      </c>
      <c r="K106" s="609">
        <v>2672.6474027399977</v>
      </c>
      <c r="L106" s="609">
        <v>2646.6173885427324</v>
      </c>
      <c r="M106" s="609">
        <v>1501.5204368174277</v>
      </c>
      <c r="N106" s="609">
        <v>2075.1134549687945</v>
      </c>
      <c r="O106" s="609">
        <v>2564.9720574096241</v>
      </c>
      <c r="P106" s="329">
        <f t="shared" si="8"/>
        <v>58037.119126408179</v>
      </c>
      <c r="Q106" s="81"/>
      <c r="R106" s="83"/>
      <c r="S106" s="81"/>
    </row>
    <row r="107" spans="1:19">
      <c r="A107" s="389">
        <f t="shared" si="10"/>
        <v>96</v>
      </c>
      <c r="B107" s="178">
        <v>9260</v>
      </c>
      <c r="C107" s="81" t="s">
        <v>915</v>
      </c>
      <c r="D107" s="824">
        <v>69159.650000000023</v>
      </c>
      <c r="E107" s="824">
        <v>57611.82999999998</v>
      </c>
      <c r="F107" s="824">
        <v>54707.369999999966</v>
      </c>
      <c r="G107" s="824">
        <v>53613.04000000003</v>
      </c>
      <c r="H107" s="824">
        <v>57867.399999999965</v>
      </c>
      <c r="I107" s="824">
        <v>54681.34</v>
      </c>
      <c r="J107" s="609">
        <v>65462.068784787603</v>
      </c>
      <c r="K107" s="609">
        <v>63267.653006750952</v>
      </c>
      <c r="L107" s="609">
        <v>59938.371225681673</v>
      </c>
      <c r="M107" s="609">
        <v>79014.489085886569</v>
      </c>
      <c r="N107" s="609">
        <v>74173.058172571167</v>
      </c>
      <c r="O107" s="609">
        <v>77562.600828077004</v>
      </c>
      <c r="P107" s="329">
        <f>SUM(D107:O107)</f>
        <v>767058.87110375497</v>
      </c>
      <c r="Q107" s="81"/>
      <c r="R107" s="83"/>
      <c r="S107" s="81"/>
    </row>
    <row r="108" spans="1:19">
      <c r="A108" s="389">
        <f t="shared" si="10"/>
        <v>97</v>
      </c>
      <c r="B108" s="178">
        <v>9270</v>
      </c>
      <c r="C108" s="81" t="s">
        <v>916</v>
      </c>
      <c r="D108" s="824">
        <v>0</v>
      </c>
      <c r="E108" s="824">
        <v>0</v>
      </c>
      <c r="F108" s="824">
        <v>0</v>
      </c>
      <c r="G108" s="824">
        <v>84.53</v>
      </c>
      <c r="H108" s="824">
        <v>0</v>
      </c>
      <c r="I108" s="824">
        <v>214.58</v>
      </c>
      <c r="J108" s="609">
        <v>5.0246834572365362</v>
      </c>
      <c r="K108" s="609">
        <v>5.0246834572365362</v>
      </c>
      <c r="L108" s="609">
        <v>5.5959391386699</v>
      </c>
      <c r="M108" s="609">
        <v>53.20275801965176</v>
      </c>
      <c r="N108" s="609">
        <v>53.20275801965176</v>
      </c>
      <c r="O108" s="609">
        <v>53.20275801965176</v>
      </c>
      <c r="P108" s="329">
        <f t="shared" si="8"/>
        <v>474.3635801120983</v>
      </c>
      <c r="Q108" s="81"/>
      <c r="R108" s="83"/>
      <c r="S108" s="81"/>
    </row>
    <row r="109" spans="1:19">
      <c r="A109" s="389">
        <f t="shared" si="10"/>
        <v>98</v>
      </c>
      <c r="B109" s="178">
        <v>9280</v>
      </c>
      <c r="C109" s="81" t="s">
        <v>917</v>
      </c>
      <c r="D109" s="824">
        <v>10060.58</v>
      </c>
      <c r="E109" s="824">
        <v>10060.58</v>
      </c>
      <c r="F109" s="824">
        <v>10060.58</v>
      </c>
      <c r="G109" s="824">
        <v>10156.58</v>
      </c>
      <c r="H109" s="824">
        <v>10060.58</v>
      </c>
      <c r="I109" s="824">
        <v>12210.09</v>
      </c>
      <c r="J109" s="609">
        <v>740.65353592977272</v>
      </c>
      <c r="K109" s="609">
        <v>744.25871402357234</v>
      </c>
      <c r="L109" s="609">
        <v>901.87789274192642</v>
      </c>
      <c r="M109" s="609">
        <v>13707.394892033712</v>
      </c>
      <c r="N109" s="609">
        <v>13777.235271977355</v>
      </c>
      <c r="O109" s="609">
        <v>13836.880194126847</v>
      </c>
      <c r="P109" s="329">
        <f t="shared" si="8"/>
        <v>106317.29050083317</v>
      </c>
      <c r="Q109" s="81"/>
      <c r="R109" s="83"/>
      <c r="S109" s="81"/>
    </row>
    <row r="110" spans="1:19">
      <c r="A110" s="389">
        <f t="shared" si="10"/>
        <v>99</v>
      </c>
      <c r="B110" s="178">
        <v>9302</v>
      </c>
      <c r="C110" s="81" t="s">
        <v>826</v>
      </c>
      <c r="D110" s="824">
        <v>1544.42</v>
      </c>
      <c r="E110" s="824">
        <v>5824.42</v>
      </c>
      <c r="F110" s="824">
        <v>699.42</v>
      </c>
      <c r="G110" s="824">
        <v>1199.42</v>
      </c>
      <c r="H110" s="824">
        <v>2071.6999999999998</v>
      </c>
      <c r="I110" s="824">
        <v>4790.46</v>
      </c>
      <c r="J110" s="609">
        <v>3777.2566776907097</v>
      </c>
      <c r="K110" s="609">
        <v>441.85809102342802</v>
      </c>
      <c r="L110" s="609">
        <v>556.02807898315803</v>
      </c>
      <c r="M110" s="609">
        <v>2161.6060497142871</v>
      </c>
      <c r="N110" s="609">
        <v>1358.636130638575</v>
      </c>
      <c r="O110" s="609">
        <v>853.2082262608543</v>
      </c>
      <c r="P110" s="329">
        <f t="shared" ref="P110:P112" si="12">SUM(D110:O110)</f>
        <v>25278.433254311007</v>
      </c>
      <c r="Q110" s="81"/>
      <c r="R110" s="83"/>
      <c r="S110" s="81"/>
    </row>
    <row r="111" spans="1:19">
      <c r="A111" s="389">
        <f t="shared" si="10"/>
        <v>100</v>
      </c>
      <c r="B111" s="178">
        <v>9310</v>
      </c>
      <c r="C111" t="s">
        <v>178</v>
      </c>
      <c r="D111" s="825">
        <f>0</f>
        <v>0</v>
      </c>
      <c r="E111" s="825">
        <f>0</f>
        <v>0</v>
      </c>
      <c r="F111" s="825">
        <f>0</f>
        <v>0</v>
      </c>
      <c r="G111" s="825">
        <f>0</f>
        <v>0</v>
      </c>
      <c r="H111" s="825">
        <f>0</f>
        <v>0</v>
      </c>
      <c r="I111" s="825">
        <f>0</f>
        <v>0</v>
      </c>
      <c r="J111" s="609">
        <v>0</v>
      </c>
      <c r="K111" s="609">
        <v>0</v>
      </c>
      <c r="L111" s="609">
        <v>0</v>
      </c>
      <c r="M111" s="609">
        <v>0</v>
      </c>
      <c r="N111" s="609">
        <v>0</v>
      </c>
      <c r="O111" s="609">
        <v>0</v>
      </c>
      <c r="P111" s="329">
        <f t="shared" si="12"/>
        <v>0</v>
      </c>
      <c r="Q111" s="81"/>
      <c r="R111" s="83"/>
      <c r="S111" s="81"/>
    </row>
    <row r="112" spans="1:19">
      <c r="A112" s="389">
        <f t="shared" si="10"/>
        <v>101</v>
      </c>
      <c r="B112" s="178">
        <v>9320</v>
      </c>
      <c r="C112" t="s">
        <v>179</v>
      </c>
      <c r="D112" s="825">
        <f>0</f>
        <v>0</v>
      </c>
      <c r="E112" s="825">
        <f>0</f>
        <v>0</v>
      </c>
      <c r="F112" s="825">
        <f>0</f>
        <v>0</v>
      </c>
      <c r="G112" s="825">
        <f>0</f>
        <v>0</v>
      </c>
      <c r="H112" s="825">
        <f>0</f>
        <v>0</v>
      </c>
      <c r="I112" s="825">
        <f>0</f>
        <v>0</v>
      </c>
      <c r="J112" s="609">
        <v>0</v>
      </c>
      <c r="K112" s="609">
        <v>0</v>
      </c>
      <c r="L112" s="609">
        <v>0</v>
      </c>
      <c r="M112" s="609">
        <v>0</v>
      </c>
      <c r="N112" s="609">
        <v>0</v>
      </c>
      <c r="O112" s="609">
        <v>0</v>
      </c>
      <c r="P112" s="329">
        <f t="shared" si="12"/>
        <v>0</v>
      </c>
      <c r="Q112" s="81"/>
      <c r="R112" s="81"/>
      <c r="S112" s="81"/>
    </row>
    <row r="113" spans="1:19">
      <c r="A113" s="389">
        <f t="shared" si="10"/>
        <v>102</v>
      </c>
      <c r="B113" s="81"/>
      <c r="C113" s="81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6"/>
      <c r="P113" s="116"/>
      <c r="Q113" s="116"/>
      <c r="R113" s="116"/>
      <c r="S113" s="116"/>
    </row>
    <row r="114" spans="1:19" ht="15.75" thickBot="1">
      <c r="A114" s="389">
        <f t="shared" si="10"/>
        <v>103</v>
      </c>
      <c r="B114" s="116"/>
      <c r="C114" s="116" t="s">
        <v>706</v>
      </c>
      <c r="D114" s="827">
        <f>SUM(D14:D113)</f>
        <v>-7192678.6299999934</v>
      </c>
      <c r="E114" s="827">
        <f t="shared" ref="E114:O114" si="13">SUM(E14:E113)</f>
        <v>-7363265.2799999984</v>
      </c>
      <c r="F114" s="827">
        <f t="shared" si="13"/>
        <v>-4806331.3500000034</v>
      </c>
      <c r="G114" s="827">
        <f t="shared" si="13"/>
        <v>-2007370.2299999977</v>
      </c>
      <c r="H114" s="827">
        <f t="shared" si="13"/>
        <v>-836921.92999999842</v>
      </c>
      <c r="I114" s="827">
        <f t="shared" si="13"/>
        <v>-1570671.1100000008</v>
      </c>
      <c r="J114" s="827">
        <f t="shared" si="13"/>
        <v>-394566.29617544037</v>
      </c>
      <c r="K114" s="827">
        <f t="shared" si="13"/>
        <v>-929124.60452568799</v>
      </c>
      <c r="L114" s="827">
        <f t="shared" si="13"/>
        <v>-910897.97488432506</v>
      </c>
      <c r="M114" s="827">
        <f t="shared" si="13"/>
        <v>-1571887.705279347</v>
      </c>
      <c r="N114" s="827">
        <f t="shared" si="13"/>
        <v>-3411927.3541250443</v>
      </c>
      <c r="O114" s="827">
        <f t="shared" si="13"/>
        <v>-4478824.894868088</v>
      </c>
      <c r="P114" s="827">
        <f>SUM(P12:P113)</f>
        <v>-29073155.357827265</v>
      </c>
      <c r="Q114" s="118"/>
      <c r="R114" s="81"/>
      <c r="S114" s="116"/>
    </row>
    <row r="115" spans="1:19" ht="15.75" thickTop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</row>
    <row r="116" spans="1:19">
      <c r="A116" s="116"/>
      <c r="B116" s="116"/>
      <c r="C116" s="116" t="s">
        <v>191</v>
      </c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R116" s="116"/>
      <c r="S116" s="116"/>
    </row>
    <row r="117" spans="1:19">
      <c r="A117" s="116"/>
      <c r="B117" s="116"/>
      <c r="C117" s="117" t="s">
        <v>1172</v>
      </c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329"/>
      <c r="P117" s="116"/>
      <c r="Q117" s="116"/>
      <c r="R117" s="116"/>
      <c r="S117" s="116"/>
    </row>
    <row r="118" spans="1:19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P118" s="116"/>
      <c r="Q118" s="116"/>
      <c r="R118" s="116"/>
      <c r="S118" s="116"/>
    </row>
    <row r="119" spans="1:19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R119" s="116"/>
      <c r="S119" s="116"/>
    </row>
    <row r="120" spans="1:19">
      <c r="A120" s="116"/>
      <c r="B120" s="116" t="s">
        <v>919</v>
      </c>
      <c r="C120" s="117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P120" s="329"/>
      <c r="R120" s="116"/>
      <c r="S120" s="116"/>
    </row>
    <row r="121" spans="1:19">
      <c r="A121" s="116"/>
      <c r="B121" t="s">
        <v>1670</v>
      </c>
      <c r="C121" s="116"/>
      <c r="D121" s="119"/>
      <c r="E121" s="119"/>
      <c r="F121" s="119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</row>
    <row r="122" spans="1:19" ht="15.75" customHeight="1">
      <c r="A122" s="116"/>
      <c r="B122" t="s">
        <v>1671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</row>
    <row r="123" spans="1:19">
      <c r="A123" s="116"/>
      <c r="B123" t="s">
        <v>1611</v>
      </c>
      <c r="C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P123" s="329"/>
      <c r="Q123" s="116"/>
      <c r="R123" s="116"/>
      <c r="S123" s="116"/>
    </row>
    <row r="124" spans="1:19">
      <c r="A124" s="116"/>
      <c r="B124" t="s">
        <v>1614</v>
      </c>
      <c r="C124" s="116"/>
      <c r="D124" s="329"/>
      <c r="E124" s="329"/>
      <c r="F124" s="329"/>
      <c r="G124" s="329"/>
      <c r="H124" s="329"/>
      <c r="I124" s="329"/>
      <c r="J124" s="329"/>
      <c r="K124" s="329"/>
      <c r="L124" s="329"/>
      <c r="M124" s="329"/>
      <c r="N124" s="329"/>
      <c r="O124" s="329"/>
      <c r="P124" s="329"/>
      <c r="Q124" s="329"/>
      <c r="R124" s="116"/>
      <c r="S124" s="116"/>
    </row>
    <row r="125" spans="1:19">
      <c r="A125" s="116"/>
      <c r="B125" s="116"/>
      <c r="C125" s="116"/>
      <c r="D125" s="782"/>
      <c r="E125" s="782"/>
      <c r="F125" s="782"/>
      <c r="G125" s="782"/>
      <c r="H125" s="782"/>
      <c r="I125" s="782"/>
      <c r="J125" s="782"/>
      <c r="K125" s="782"/>
      <c r="L125" s="782"/>
      <c r="M125" s="782"/>
      <c r="N125" s="782"/>
      <c r="O125" s="782"/>
      <c r="P125" s="116"/>
      <c r="Q125" s="116"/>
      <c r="R125" s="116"/>
      <c r="S125" s="116"/>
    </row>
    <row r="126" spans="1:19">
      <c r="A126" s="116"/>
      <c r="B126" s="116"/>
      <c r="C126" s="329"/>
      <c r="D126" s="329"/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116"/>
      <c r="R126" s="116"/>
      <c r="S126" s="116"/>
    </row>
    <row r="127" spans="1:19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7"/>
      <c r="O127" s="84"/>
      <c r="P127" s="116"/>
      <c r="Q127" s="116"/>
      <c r="R127" s="116"/>
      <c r="S127" s="116"/>
    </row>
    <row r="128" spans="1:19">
      <c r="A128" s="116"/>
      <c r="B128" s="116"/>
      <c r="C128" s="329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226"/>
      <c r="P128" s="116"/>
      <c r="Q128" s="116"/>
      <c r="R128" s="116"/>
      <c r="S128" s="116"/>
    </row>
    <row r="129" spans="1:19">
      <c r="A129" s="116"/>
      <c r="B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84"/>
      <c r="P129" s="116"/>
      <c r="Q129" s="116"/>
      <c r="R129" s="116"/>
      <c r="S129" s="116"/>
    </row>
    <row r="130" spans="1:19">
      <c r="A130" s="116"/>
      <c r="B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84"/>
      <c r="P130" s="116"/>
      <c r="Q130" s="116"/>
      <c r="R130" s="116"/>
      <c r="S130" s="116"/>
    </row>
    <row r="131" spans="1:19">
      <c r="A131" s="116"/>
      <c r="B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</row>
    <row r="132" spans="1:19">
      <c r="A132" s="116"/>
      <c r="B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</row>
    <row r="133" spans="1:19">
      <c r="P133" s="116"/>
    </row>
    <row r="134" spans="1:19">
      <c r="P134" s="116"/>
    </row>
    <row r="135" spans="1:19">
      <c r="P135" s="116"/>
    </row>
    <row r="136" spans="1:19">
      <c r="P136" s="116"/>
    </row>
    <row r="138" spans="1:19">
      <c r="D138" s="390"/>
      <c r="E138" s="390"/>
      <c r="F138" s="390"/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</row>
    <row r="140" spans="1:19">
      <c r="D140" s="329"/>
    </row>
    <row r="142" spans="1:19">
      <c r="J142" s="51"/>
    </row>
    <row r="144" spans="1:19">
      <c r="C144" s="329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75" header="0.5" footer="0.25"/>
  <pageSetup scale="48" fitToHeight="2" orientation="landscape" verticalDpi="300" r:id="rId1"/>
  <headerFooter alignWithMargins="0">
    <oddFooter>&amp;RSchedule &amp;A
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rgb="FF92D050"/>
  </sheetPr>
  <dimension ref="A1:R68"/>
  <sheetViews>
    <sheetView view="pageBreakPreview" topLeftCell="A26" zoomScale="80" zoomScaleNormal="100" zoomScaleSheetLayoutView="80" workbookViewId="0">
      <selection activeCell="D47" sqref="D47"/>
    </sheetView>
  </sheetViews>
  <sheetFormatPr defaultColWidth="7.109375" defaultRowHeight="15"/>
  <cols>
    <col min="1" max="1" width="4.6640625" customWidth="1"/>
    <col min="2" max="2" width="6.6640625" customWidth="1"/>
    <col min="3" max="3" width="38.88671875" customWidth="1"/>
    <col min="4" max="5" width="13.109375" bestFit="1" customWidth="1"/>
    <col min="6" max="6" width="11.44140625" customWidth="1"/>
    <col min="7" max="8" width="13.109375" bestFit="1" customWidth="1"/>
    <col min="9" max="9" width="11.5546875" bestFit="1" customWidth="1"/>
    <col min="10" max="10" width="11.6640625" customWidth="1"/>
    <col min="11" max="14" width="13.109375" bestFit="1" customWidth="1"/>
    <col min="15" max="15" width="12.44140625" customWidth="1"/>
    <col min="16" max="16" width="14.109375" bestFit="1" customWidth="1"/>
    <col min="17" max="17" width="12.5546875" bestFit="1" customWidth="1"/>
    <col min="18" max="18" width="12.5546875" customWidth="1"/>
    <col min="23" max="23" width="11.33203125" customWidth="1"/>
    <col min="24" max="24" width="12.5546875" customWidth="1"/>
  </cols>
  <sheetData>
    <row r="1" spans="1:18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</row>
    <row r="2" spans="1:18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</row>
    <row r="3" spans="1:18" ht="15.75">
      <c r="A3" s="1072" t="s">
        <v>180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</row>
    <row r="4" spans="1:18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30"/>
    </row>
    <row r="5" spans="1:18">
      <c r="A5" s="1"/>
      <c r="B5" s="25"/>
      <c r="C5" s="25"/>
      <c r="D5" s="25"/>
      <c r="E5" s="25"/>
      <c r="F5" s="25"/>
      <c r="G5" s="456"/>
      <c r="H5" s="329"/>
      <c r="I5" s="110"/>
      <c r="J5" s="110"/>
      <c r="K5" s="110"/>
      <c r="L5" s="110"/>
      <c r="M5" s="110"/>
      <c r="N5" s="110"/>
      <c r="O5" s="110"/>
      <c r="P5" s="30"/>
      <c r="Q5" s="30"/>
    </row>
    <row r="6" spans="1:18" ht="15.75">
      <c r="A6" s="699" t="str">
        <f>'C.2.2 B 09'!A6</f>
        <v>Data:___X____Base Period________Forecasted Period</v>
      </c>
      <c r="B6" s="30"/>
      <c r="C6" s="98"/>
      <c r="D6" s="30"/>
      <c r="E6" s="30"/>
      <c r="F6" s="30"/>
      <c r="G6" s="30"/>
      <c r="H6" s="457"/>
      <c r="I6" s="30"/>
      <c r="K6" s="458"/>
      <c r="L6" s="30"/>
      <c r="M6" s="30"/>
      <c r="N6" s="110"/>
      <c r="O6" s="110"/>
      <c r="P6" s="291" t="s">
        <v>1343</v>
      </c>
      <c r="Q6" s="30"/>
    </row>
    <row r="7" spans="1:18">
      <c r="A7" s="699" t="str">
        <f>'C.2.2 B 09'!A7</f>
        <v>Type of Filing:___X____Original________Updated ________Revised</v>
      </c>
      <c r="B7" s="30"/>
      <c r="C7" s="98"/>
      <c r="D7" s="30"/>
      <c r="E7" s="329"/>
      <c r="F7" s="30"/>
      <c r="G7" s="30"/>
      <c r="H7" s="30"/>
      <c r="I7" s="30"/>
      <c r="P7" s="292" t="s">
        <v>35</v>
      </c>
      <c r="Q7" s="30"/>
    </row>
    <row r="8" spans="1:18">
      <c r="A8" s="699" t="str">
        <f>'C.2.2 B 09'!A8</f>
        <v>Workpaper Reference No(s).____________________</v>
      </c>
      <c r="B8" s="43"/>
      <c r="C8" s="111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43"/>
      <c r="P8" s="801" t="str">
        <f>C.1!J9</f>
        <v>Witness: Waller, Wiebe, Troup</v>
      </c>
      <c r="Q8" s="30"/>
    </row>
    <row r="9" spans="1:18">
      <c r="A9" s="450" t="s">
        <v>88</v>
      </c>
      <c r="B9" s="451" t="s">
        <v>95</v>
      </c>
      <c r="C9" s="452"/>
      <c r="D9" s="793" t="str">
        <f>'C.2.2 B 09'!D9</f>
        <v>actual</v>
      </c>
      <c r="E9" s="793" t="str">
        <f>'C.2.2 B 09'!F9</f>
        <v>actual</v>
      </c>
      <c r="F9" s="793" t="str">
        <f>'C.2.2 B 09'!F9</f>
        <v>actual</v>
      </c>
      <c r="G9" s="793" t="str">
        <f>'C.2.2 B 09'!G9</f>
        <v>actual</v>
      </c>
      <c r="H9" s="793" t="str">
        <f>'C.2.2 B 09'!H9</f>
        <v>actual</v>
      </c>
      <c r="I9" s="793" t="str">
        <f>'C.2.2 B 09'!I9</f>
        <v>actual</v>
      </c>
      <c r="J9" s="793" t="str">
        <f>'C.2.2 B 09'!J9</f>
        <v>Budgeted</v>
      </c>
      <c r="K9" s="793" t="str">
        <f>'C.2.2 B 09'!K9</f>
        <v>Budgeted</v>
      </c>
      <c r="L9" s="793" t="str">
        <f>'C.2.2 B 09'!L9</f>
        <v>Budgeted</v>
      </c>
      <c r="M9" s="793" t="str">
        <f>'C.2.2 B 09'!M9</f>
        <v>Budgeted</v>
      </c>
      <c r="N9" s="793" t="str">
        <f>'C.2.2 B 09'!N9</f>
        <v>Budgeted</v>
      </c>
      <c r="O9" s="793" t="str">
        <f>'C.2.2 B 09'!O9</f>
        <v>Budgeted</v>
      </c>
      <c r="P9" s="459"/>
      <c r="Q9" s="81"/>
    </row>
    <row r="10" spans="1:18">
      <c r="A10" s="453" t="s">
        <v>94</v>
      </c>
      <c r="B10" s="121" t="s">
        <v>94</v>
      </c>
      <c r="C10" s="454" t="s">
        <v>918</v>
      </c>
      <c r="D10" s="828">
        <f>'C.2.2 B 09'!D10</f>
        <v>45292</v>
      </c>
      <c r="E10" s="828">
        <f>'C.2.2 B 09'!F10</f>
        <v>45352</v>
      </c>
      <c r="F10" s="828">
        <f>'C.2.2 B 09'!F10</f>
        <v>45352</v>
      </c>
      <c r="G10" s="828">
        <f>'C.2.2 B 09'!G10</f>
        <v>45383</v>
      </c>
      <c r="H10" s="828">
        <f>'C.2.2 B 09'!H10</f>
        <v>45413</v>
      </c>
      <c r="I10" s="828">
        <f>'C.2.2 B 09'!I10</f>
        <v>45444</v>
      </c>
      <c r="J10" s="828">
        <f>'C.2.2 B 09'!J10</f>
        <v>45474</v>
      </c>
      <c r="K10" s="828">
        <f>'C.2.2 B 09'!K10</f>
        <v>45505</v>
      </c>
      <c r="L10" s="828">
        <f>'C.2.2 B 09'!L10</f>
        <v>45536</v>
      </c>
      <c r="M10" s="828">
        <f>'C.2.2 B 09'!M10</f>
        <v>45566</v>
      </c>
      <c r="N10" s="828">
        <f>'C.2.2 B 09'!N10</f>
        <v>45597</v>
      </c>
      <c r="O10" s="828">
        <f>'C.2.2 B 09'!O10</f>
        <v>45627</v>
      </c>
      <c r="P10" s="828" t="str">
        <f>'C.2.2 B 09'!P10</f>
        <v>Total</v>
      </c>
      <c r="Q10" s="81"/>
    </row>
    <row r="11" spans="1:18">
      <c r="A11" s="30"/>
      <c r="B11" s="30"/>
      <c r="C11" s="30"/>
      <c r="D11" s="104" t="s">
        <v>140</v>
      </c>
      <c r="E11" s="104" t="s">
        <v>140</v>
      </c>
      <c r="F11" s="104" t="s">
        <v>140</v>
      </c>
      <c r="G11" s="104" t="s">
        <v>140</v>
      </c>
      <c r="H11" s="104" t="s">
        <v>140</v>
      </c>
      <c r="I11" s="104" t="s">
        <v>140</v>
      </c>
      <c r="J11" s="104" t="s">
        <v>140</v>
      </c>
      <c r="K11" s="104" t="s">
        <v>140</v>
      </c>
      <c r="L11" s="104" t="s">
        <v>140</v>
      </c>
      <c r="M11" s="104" t="s">
        <v>140</v>
      </c>
      <c r="N11" s="104" t="s">
        <v>140</v>
      </c>
      <c r="O11" s="104" t="s">
        <v>140</v>
      </c>
      <c r="P11" s="104" t="s">
        <v>140</v>
      </c>
      <c r="Q11" s="81"/>
    </row>
    <row r="12" spans="1:18">
      <c r="A12" s="50">
        <v>1</v>
      </c>
      <c r="B12" s="178">
        <v>4030</v>
      </c>
      <c r="C12" s="30" t="s">
        <v>86</v>
      </c>
      <c r="D12" s="824">
        <v>-15465.670000000318</v>
      </c>
      <c r="E12" s="824">
        <v>-15465.669999999795</v>
      </c>
      <c r="F12" s="824">
        <v>-15465.670000000067</v>
      </c>
      <c r="G12" s="824">
        <v>-15465.670000000089</v>
      </c>
      <c r="H12" s="824">
        <v>-15465.669999999987</v>
      </c>
      <c r="I12" s="824">
        <v>-15465.66999999978</v>
      </c>
      <c r="J12" s="825">
        <f>0</f>
        <v>0</v>
      </c>
      <c r="K12" s="825">
        <f>0</f>
        <v>0</v>
      </c>
      <c r="L12" s="825">
        <f>0</f>
        <v>0</v>
      </c>
      <c r="M12" s="825">
        <f>0</f>
        <v>0</v>
      </c>
      <c r="N12" s="825">
        <f>0</f>
        <v>0</v>
      </c>
      <c r="O12" s="825">
        <f>0</f>
        <v>0</v>
      </c>
      <c r="P12" s="329">
        <f>SUM(D12:O12)</f>
        <v>-92794.020000000033</v>
      </c>
      <c r="Q12" s="329"/>
      <c r="R12" s="375"/>
    </row>
    <row r="13" spans="1:18">
      <c r="A13" s="389">
        <f>A12+1</f>
        <v>2</v>
      </c>
      <c r="B13" s="212">
        <v>4081</v>
      </c>
      <c r="C13" s="81" t="s">
        <v>831</v>
      </c>
      <c r="D13" s="824">
        <v>-2.5545432436047122E-10</v>
      </c>
      <c r="E13" s="824">
        <v>-1.716671249596402E-10</v>
      </c>
      <c r="F13" s="824">
        <v>5.4569682106375694E-11</v>
      </c>
      <c r="G13" s="824">
        <v>9.9999999528108674E-3</v>
      </c>
      <c r="H13" s="824">
        <v>-2.5238477974198759E-10</v>
      </c>
      <c r="I13" s="824">
        <v>9.9999999929991645E-3</v>
      </c>
      <c r="J13" s="825">
        <f>0</f>
        <v>0</v>
      </c>
      <c r="K13" s="825">
        <f>0</f>
        <v>0</v>
      </c>
      <c r="L13" s="825">
        <f>0</f>
        <v>0</v>
      </c>
      <c r="M13" s="825">
        <f>0</f>
        <v>0</v>
      </c>
      <c r="N13" s="825">
        <f>0</f>
        <v>0</v>
      </c>
      <c r="O13" s="825">
        <f>0</f>
        <v>0</v>
      </c>
      <c r="P13" s="329">
        <f>SUM(D13:O13)</f>
        <v>1.9999999320873485E-2</v>
      </c>
      <c r="Q13" s="329"/>
    </row>
    <row r="14" spans="1:18">
      <c r="A14" s="389">
        <f t="shared" ref="A14" si="0">A13+1</f>
        <v>3</v>
      </c>
      <c r="B14" s="212">
        <v>8210</v>
      </c>
      <c r="C14" t="s">
        <v>858</v>
      </c>
      <c r="D14" s="825">
        <f>0</f>
        <v>0</v>
      </c>
      <c r="E14" s="825">
        <f>0</f>
        <v>0</v>
      </c>
      <c r="F14" s="825">
        <f>0</f>
        <v>0</v>
      </c>
      <c r="G14" s="825">
        <f>0</f>
        <v>0</v>
      </c>
      <c r="H14" s="825">
        <f>0</f>
        <v>0</v>
      </c>
      <c r="I14" s="825">
        <f>0</f>
        <v>0</v>
      </c>
      <c r="J14" s="824">
        <v>0</v>
      </c>
      <c r="K14" s="824">
        <v>0</v>
      </c>
      <c r="L14" s="824">
        <v>0</v>
      </c>
      <c r="M14" s="824">
        <v>0</v>
      </c>
      <c r="N14" s="824">
        <v>0</v>
      </c>
      <c r="O14" s="824">
        <v>0</v>
      </c>
      <c r="P14" s="329">
        <f>SUM(D14:O14)</f>
        <v>0</v>
      </c>
      <c r="Q14" s="329"/>
    </row>
    <row r="15" spans="1:18">
      <c r="A15" s="389">
        <f>A14+1</f>
        <v>4</v>
      </c>
      <c r="B15" s="212">
        <v>8700</v>
      </c>
      <c r="C15" s="81" t="s">
        <v>880</v>
      </c>
      <c r="D15" s="824">
        <v>736.98999999999978</v>
      </c>
      <c r="E15" s="824">
        <v>577.99</v>
      </c>
      <c r="F15" s="824">
        <v>2913.75</v>
      </c>
      <c r="G15" s="824">
        <v>3146.7299999999996</v>
      </c>
      <c r="H15" s="824">
        <v>1202.1300000000001</v>
      </c>
      <c r="I15" s="824">
        <v>125.11</v>
      </c>
      <c r="J15" s="824">
        <v>3827.691037321576</v>
      </c>
      <c r="K15" s="824">
        <v>3793.1528364182968</v>
      </c>
      <c r="L15" s="824">
        <v>4112.5533763410858</v>
      </c>
      <c r="M15" s="824">
        <v>1248.4964086157509</v>
      </c>
      <c r="N15" s="824">
        <v>1168.2203456312932</v>
      </c>
      <c r="O15" s="824">
        <v>1258.084631656837</v>
      </c>
      <c r="P15" s="329">
        <f t="shared" ref="P15:P42" si="1">SUM(D15:O15)</f>
        <v>24110.898635984842</v>
      </c>
      <c r="Q15" s="81"/>
    </row>
    <row r="16" spans="1:18">
      <c r="A16" s="389">
        <f t="shared" ref="A16:A47" si="2">A15+1</f>
        <v>5</v>
      </c>
      <c r="B16" s="212">
        <v>8520</v>
      </c>
      <c r="C16" s="81" t="s">
        <v>1269</v>
      </c>
      <c r="D16" s="824">
        <v>3864.17</v>
      </c>
      <c r="E16" s="824">
        <v>14233.84</v>
      </c>
      <c r="F16" s="824">
        <v>3112.23</v>
      </c>
      <c r="G16" s="824">
        <v>1040.32</v>
      </c>
      <c r="H16" s="824">
        <v>16645.3</v>
      </c>
      <c r="I16" s="824">
        <v>11489.47</v>
      </c>
      <c r="J16" s="824">
        <v>10743.032307657018</v>
      </c>
      <c r="K16" s="824">
        <v>10746.124515872205</v>
      </c>
      <c r="L16" s="824">
        <v>11486.067082850348</v>
      </c>
      <c r="M16" s="824">
        <v>8234.3843068440947</v>
      </c>
      <c r="N16" s="824">
        <v>7997.7364879978277</v>
      </c>
      <c r="O16" s="824">
        <v>8033.6926245965196</v>
      </c>
      <c r="P16" s="329">
        <f t="shared" si="1"/>
        <v>107626.36732581801</v>
      </c>
      <c r="Q16" s="81"/>
    </row>
    <row r="17" spans="1:17">
      <c r="A17" s="389">
        <f t="shared" si="2"/>
        <v>6</v>
      </c>
      <c r="B17" s="212">
        <v>8560</v>
      </c>
      <c r="C17" t="s">
        <v>1499</v>
      </c>
      <c r="D17" s="824">
        <v>3779.4</v>
      </c>
      <c r="E17" s="824">
        <v>127.97</v>
      </c>
      <c r="F17" s="824">
        <v>25843.29</v>
      </c>
      <c r="G17" s="824">
        <v>283.86</v>
      </c>
      <c r="H17" s="824">
        <v>21427.119999999999</v>
      </c>
      <c r="I17" s="824">
        <v>-21427.119999999999</v>
      </c>
      <c r="J17" s="824">
        <v>6668.0176361357144</v>
      </c>
      <c r="K17" s="824">
        <v>6652.3880711180418</v>
      </c>
      <c r="L17" s="824">
        <v>6618.8196159278514</v>
      </c>
      <c r="M17" s="824">
        <v>5475.3341146558632</v>
      </c>
      <c r="N17" s="824">
        <v>5388.916279324133</v>
      </c>
      <c r="O17" s="824">
        <v>6028.5552307142561</v>
      </c>
      <c r="P17" s="329">
        <f t="shared" si="1"/>
        <v>66866.550947875861</v>
      </c>
      <c r="Q17" s="81"/>
    </row>
    <row r="18" spans="1:17">
      <c r="A18" s="389">
        <f t="shared" si="2"/>
        <v>7</v>
      </c>
      <c r="B18" s="212">
        <v>8740</v>
      </c>
      <c r="C18" s="81" t="s">
        <v>882</v>
      </c>
      <c r="D18" s="824">
        <v>22890.959999999999</v>
      </c>
      <c r="E18" s="824">
        <v>28089.940000000002</v>
      </c>
      <c r="F18" s="824">
        <v>14059.929999999998</v>
      </c>
      <c r="G18" s="824">
        <v>4412.3700000000026</v>
      </c>
      <c r="H18" s="824">
        <v>14987.11</v>
      </c>
      <c r="I18" s="824">
        <v>10745.23</v>
      </c>
      <c r="J18" s="824">
        <v>23240.867540737985</v>
      </c>
      <c r="K18" s="824">
        <v>23135.35914846231</v>
      </c>
      <c r="L18" s="824">
        <v>24339.004030155505</v>
      </c>
      <c r="M18" s="824">
        <v>19598.956585229491</v>
      </c>
      <c r="N18" s="824">
        <v>19398.878048674138</v>
      </c>
      <c r="O18" s="824">
        <v>23288.392206628232</v>
      </c>
      <c r="P18" s="329">
        <f t="shared" si="1"/>
        <v>228186.99755988768</v>
      </c>
      <c r="Q18" s="81"/>
    </row>
    <row r="19" spans="1:17">
      <c r="A19" s="389">
        <f t="shared" si="2"/>
        <v>8</v>
      </c>
      <c r="B19" s="212">
        <v>8780</v>
      </c>
      <c r="C19" s="81" t="s">
        <v>886</v>
      </c>
      <c r="D19" s="825">
        <f>0</f>
        <v>0</v>
      </c>
      <c r="E19" s="825">
        <f>0</f>
        <v>0</v>
      </c>
      <c r="F19" s="825">
        <f>0</f>
        <v>0</v>
      </c>
      <c r="G19" s="825">
        <f>0</f>
        <v>0</v>
      </c>
      <c r="H19" s="825">
        <f>0</f>
        <v>0</v>
      </c>
      <c r="I19" s="825">
        <f>0</f>
        <v>0</v>
      </c>
      <c r="J19" s="824">
        <v>0</v>
      </c>
      <c r="K19" s="824">
        <v>0</v>
      </c>
      <c r="L19" s="824">
        <v>0</v>
      </c>
      <c r="M19" s="824">
        <v>0</v>
      </c>
      <c r="N19" s="824">
        <v>0</v>
      </c>
      <c r="O19" s="824">
        <v>0</v>
      </c>
      <c r="P19" s="329">
        <f t="shared" si="1"/>
        <v>0</v>
      </c>
      <c r="Q19" s="81"/>
    </row>
    <row r="20" spans="1:17">
      <c r="A20" s="389">
        <f t="shared" si="2"/>
        <v>9</v>
      </c>
      <c r="B20" s="212">
        <v>8800</v>
      </c>
      <c r="C20" s="81" t="s">
        <v>888</v>
      </c>
      <c r="D20" s="824">
        <v>21095.919999999998</v>
      </c>
      <c r="E20" s="824">
        <v>11796.57</v>
      </c>
      <c r="F20" s="824">
        <v>1611.75</v>
      </c>
      <c r="G20" s="824">
        <v>11142.72</v>
      </c>
      <c r="H20" s="824">
        <v>23784.230000000003</v>
      </c>
      <c r="I20" s="824">
        <v>54918.53</v>
      </c>
      <c r="J20" s="824">
        <v>38804.315037939239</v>
      </c>
      <c r="K20" s="824">
        <v>38430.193712212516</v>
      </c>
      <c r="L20" s="824">
        <v>43730.56743345713</v>
      </c>
      <c r="M20" s="824">
        <v>16733.346843018175</v>
      </c>
      <c r="N20" s="824">
        <v>16147.204838278731</v>
      </c>
      <c r="O20" s="824">
        <v>15420.887132840589</v>
      </c>
      <c r="P20" s="329">
        <f t="shared" si="1"/>
        <v>293616.23499774636</v>
      </c>
      <c r="Q20" s="81"/>
    </row>
    <row r="21" spans="1:17">
      <c r="A21" s="389">
        <f t="shared" si="2"/>
        <v>10</v>
      </c>
      <c r="B21" s="212">
        <v>8810</v>
      </c>
      <c r="C21" s="81" t="s">
        <v>889</v>
      </c>
      <c r="D21" s="824">
        <v>-2444.77</v>
      </c>
      <c r="E21" s="824">
        <v>-2735.27</v>
      </c>
      <c r="F21" s="824">
        <v>-2444.77</v>
      </c>
      <c r="G21" s="824">
        <v>-713.48</v>
      </c>
      <c r="H21" s="824">
        <v>64635.81</v>
      </c>
      <c r="I21" s="824">
        <v>290.5</v>
      </c>
      <c r="J21" s="824">
        <v>8673.6239349648313</v>
      </c>
      <c r="K21" s="824">
        <v>8673.5925349578265</v>
      </c>
      <c r="L21" s="824">
        <v>9059.4044210270913</v>
      </c>
      <c r="M21" s="824">
        <v>8854.378075288565</v>
      </c>
      <c r="N21" s="824">
        <v>8776.2108978505548</v>
      </c>
      <c r="O21" s="824">
        <v>8968.6395607787144</v>
      </c>
      <c r="P21" s="329">
        <f t="shared" si="1"/>
        <v>109593.86942486759</v>
      </c>
      <c r="Q21" s="81"/>
    </row>
    <row r="22" spans="1:17">
      <c r="A22" s="389">
        <f t="shared" si="2"/>
        <v>11</v>
      </c>
      <c r="B22" s="212">
        <v>8850</v>
      </c>
      <c r="C22" s="81" t="s">
        <v>890</v>
      </c>
      <c r="D22" s="825">
        <f>0</f>
        <v>0</v>
      </c>
      <c r="E22" s="825">
        <f>0</f>
        <v>0</v>
      </c>
      <c r="F22" s="825">
        <f>0</f>
        <v>0</v>
      </c>
      <c r="G22" s="825">
        <f>0</f>
        <v>0</v>
      </c>
      <c r="H22" s="825">
        <f>0</f>
        <v>0</v>
      </c>
      <c r="I22" s="825">
        <f>0</f>
        <v>0</v>
      </c>
      <c r="J22" s="824">
        <v>0</v>
      </c>
      <c r="K22" s="824">
        <v>0</v>
      </c>
      <c r="L22" s="824">
        <v>0</v>
      </c>
      <c r="M22" s="824">
        <v>0</v>
      </c>
      <c r="N22" s="824">
        <v>0</v>
      </c>
      <c r="O22" s="824">
        <v>0</v>
      </c>
      <c r="P22" s="329">
        <f t="shared" si="1"/>
        <v>0</v>
      </c>
      <c r="Q22" s="81"/>
    </row>
    <row r="23" spans="1:17">
      <c r="A23" s="389">
        <f t="shared" si="2"/>
        <v>12</v>
      </c>
      <c r="B23" s="212">
        <v>8900</v>
      </c>
      <c r="C23" t="s">
        <v>894</v>
      </c>
      <c r="D23" s="825">
        <f>0</f>
        <v>0</v>
      </c>
      <c r="E23" s="825">
        <f>0</f>
        <v>0</v>
      </c>
      <c r="F23" s="825">
        <f>0</f>
        <v>0</v>
      </c>
      <c r="G23" s="825">
        <f>0</f>
        <v>0</v>
      </c>
      <c r="H23" s="825">
        <f>0</f>
        <v>0</v>
      </c>
      <c r="I23" s="825">
        <f>0</f>
        <v>0</v>
      </c>
      <c r="J23" s="824">
        <v>0</v>
      </c>
      <c r="K23" s="824">
        <v>0</v>
      </c>
      <c r="L23" s="824">
        <v>0</v>
      </c>
      <c r="M23" s="824">
        <v>0</v>
      </c>
      <c r="N23" s="824">
        <v>0</v>
      </c>
      <c r="O23" s="824">
        <v>0</v>
      </c>
      <c r="P23" s="329">
        <f t="shared" si="1"/>
        <v>0</v>
      </c>
      <c r="Q23" s="81"/>
    </row>
    <row r="24" spans="1:17">
      <c r="A24" s="389">
        <f t="shared" si="2"/>
        <v>13</v>
      </c>
      <c r="B24" s="212">
        <v>9010</v>
      </c>
      <c r="C24" s="81" t="s">
        <v>175</v>
      </c>
      <c r="D24" s="824">
        <v>0</v>
      </c>
      <c r="E24" s="824">
        <v>0</v>
      </c>
      <c r="F24" s="824">
        <v>0</v>
      </c>
      <c r="G24" s="824">
        <v>0</v>
      </c>
      <c r="H24" s="824">
        <v>0</v>
      </c>
      <c r="I24" s="824">
        <v>0</v>
      </c>
      <c r="J24" s="824">
        <v>-68.633679147690373</v>
      </c>
      <c r="K24" s="824">
        <v>-55.075525647498921</v>
      </c>
      <c r="L24" s="824">
        <v>-8.5980592891780816</v>
      </c>
      <c r="M24" s="824">
        <v>-161.01523428958922</v>
      </c>
      <c r="N24" s="824">
        <v>-173.11736160570013</v>
      </c>
      <c r="O24" s="824">
        <v>-284.51452836331214</v>
      </c>
      <c r="P24" s="329">
        <f t="shared" si="1"/>
        <v>-750.95438834296885</v>
      </c>
      <c r="Q24" s="81"/>
    </row>
    <row r="25" spans="1:17">
      <c r="A25" s="389">
        <f t="shared" si="2"/>
        <v>14</v>
      </c>
      <c r="B25" s="212">
        <v>9020</v>
      </c>
      <c r="C25" t="s">
        <v>899</v>
      </c>
      <c r="D25" s="824">
        <v>16484.63</v>
      </c>
      <c r="E25" s="824">
        <v>7956.9300000000012</v>
      </c>
      <c r="F25" s="824">
        <v>10971.410000000002</v>
      </c>
      <c r="G25" s="824">
        <v>8677.1899999999987</v>
      </c>
      <c r="H25" s="824">
        <v>10685.679999999998</v>
      </c>
      <c r="I25" s="824">
        <v>12176.06</v>
      </c>
      <c r="J25" s="824">
        <v>14234.626984282571</v>
      </c>
      <c r="K25" s="824">
        <v>13437.79148782304</v>
      </c>
      <c r="L25" s="824">
        <v>12933.873372751023</v>
      </c>
      <c r="M25" s="824">
        <v>14304.170492190966</v>
      </c>
      <c r="N25" s="824">
        <v>13143.616733425391</v>
      </c>
      <c r="O25" s="824">
        <v>13824.270516126146</v>
      </c>
      <c r="P25" s="329">
        <f t="shared" si="1"/>
        <v>148830.24958659915</v>
      </c>
      <c r="Q25" s="81"/>
    </row>
    <row r="26" spans="1:17">
      <c r="A26" s="389">
        <f t="shared" si="2"/>
        <v>15</v>
      </c>
      <c r="B26" s="212">
        <v>9030</v>
      </c>
      <c r="C26" s="81" t="s">
        <v>903</v>
      </c>
      <c r="D26" s="824">
        <v>35979.129999999997</v>
      </c>
      <c r="E26" s="824">
        <v>37898.959999999992</v>
      </c>
      <c r="F26" s="824">
        <v>40029.939999999995</v>
      </c>
      <c r="G26" s="824">
        <v>43255.199999999997</v>
      </c>
      <c r="H26" s="824">
        <v>46287.7</v>
      </c>
      <c r="I26" s="824">
        <v>38621.89</v>
      </c>
      <c r="J26" s="824">
        <v>45388.641479180224</v>
      </c>
      <c r="K26" s="824">
        <v>43072.878842820995</v>
      </c>
      <c r="L26" s="824">
        <v>48441.499590688501</v>
      </c>
      <c r="M26" s="824">
        <v>51830.481641124505</v>
      </c>
      <c r="N26" s="824">
        <v>42763.63978853116</v>
      </c>
      <c r="O26" s="824">
        <v>44285.385445073858</v>
      </c>
      <c r="P26" s="329">
        <f t="shared" si="1"/>
        <v>517855.34678741929</v>
      </c>
      <c r="Q26" s="81"/>
    </row>
    <row r="27" spans="1:17">
      <c r="A27" s="389">
        <f t="shared" si="2"/>
        <v>16</v>
      </c>
      <c r="B27" s="212">
        <v>9040</v>
      </c>
      <c r="C27" s="81" t="s">
        <v>904</v>
      </c>
      <c r="D27" s="825">
        <f>0</f>
        <v>0</v>
      </c>
      <c r="E27" s="825">
        <f>0</f>
        <v>0</v>
      </c>
      <c r="F27" s="825">
        <f>0</f>
        <v>0</v>
      </c>
      <c r="G27" s="825">
        <f>0</f>
        <v>0</v>
      </c>
      <c r="H27" s="825">
        <f>0</f>
        <v>0</v>
      </c>
      <c r="I27" s="825">
        <f>0</f>
        <v>0</v>
      </c>
      <c r="J27" s="824">
        <v>1488509.73</v>
      </c>
      <c r="K27" s="824">
        <v>1488509.73</v>
      </c>
      <c r="L27" s="824">
        <v>1488509.73</v>
      </c>
      <c r="M27" s="824">
        <v>0</v>
      </c>
      <c r="N27" s="824">
        <v>0</v>
      </c>
      <c r="O27" s="824">
        <v>0</v>
      </c>
      <c r="P27" s="329">
        <f t="shared" si="1"/>
        <v>4465529.1899999995</v>
      </c>
      <c r="Q27" s="81"/>
    </row>
    <row r="28" spans="1:17">
      <c r="A28" s="389">
        <f t="shared" si="2"/>
        <v>17</v>
      </c>
      <c r="B28" s="212">
        <v>9100</v>
      </c>
      <c r="C28" s="81" t="s">
        <v>906</v>
      </c>
      <c r="D28" s="824">
        <v>0</v>
      </c>
      <c r="E28" s="824">
        <v>0</v>
      </c>
      <c r="F28" s="824">
        <v>0</v>
      </c>
      <c r="G28" s="824">
        <v>0</v>
      </c>
      <c r="H28" s="824">
        <v>0</v>
      </c>
      <c r="I28" s="824">
        <v>0</v>
      </c>
      <c r="J28" s="824">
        <v>0</v>
      </c>
      <c r="K28" s="824">
        <v>0</v>
      </c>
      <c r="L28" s="824">
        <v>0</v>
      </c>
      <c r="M28" s="824">
        <v>0</v>
      </c>
      <c r="N28" s="824">
        <v>0</v>
      </c>
      <c r="O28" s="824">
        <v>0</v>
      </c>
      <c r="P28" s="329">
        <f t="shared" si="1"/>
        <v>0</v>
      </c>
      <c r="Q28" s="81"/>
    </row>
    <row r="29" spans="1:17">
      <c r="A29" s="389">
        <f t="shared" si="2"/>
        <v>18</v>
      </c>
      <c r="B29" s="212">
        <v>9120</v>
      </c>
      <c r="C29" t="s">
        <v>908</v>
      </c>
      <c r="D29" s="824">
        <v>10943.41</v>
      </c>
      <c r="E29" s="824">
        <v>10943.41</v>
      </c>
      <c r="F29" s="824">
        <v>13518.76</v>
      </c>
      <c r="G29" s="824">
        <v>6248.65</v>
      </c>
      <c r="H29" s="824">
        <v>10943.41</v>
      </c>
      <c r="I29" s="824">
        <v>13011.13</v>
      </c>
      <c r="J29" s="824">
        <v>89785.058741535438</v>
      </c>
      <c r="K29" s="824">
        <v>90162.397787110298</v>
      </c>
      <c r="L29" s="824">
        <v>91569.117749013356</v>
      </c>
      <c r="M29" s="824">
        <v>9740.3785631055453</v>
      </c>
      <c r="N29" s="824">
        <v>6419.7949620468362</v>
      </c>
      <c r="O29" s="824">
        <v>12834.558736819343</v>
      </c>
      <c r="P29" s="329">
        <f t="shared" si="1"/>
        <v>366120.07653963083</v>
      </c>
      <c r="Q29" s="81"/>
    </row>
    <row r="30" spans="1:17">
      <c r="A30" s="389">
        <f t="shared" si="2"/>
        <v>19</v>
      </c>
      <c r="B30" s="212">
        <v>9130</v>
      </c>
      <c r="C30" t="s">
        <v>1605</v>
      </c>
      <c r="D30" s="824">
        <v>0</v>
      </c>
      <c r="E30" s="824">
        <v>0</v>
      </c>
      <c r="F30" s="824">
        <v>0</v>
      </c>
      <c r="G30" s="824">
        <v>0</v>
      </c>
      <c r="H30" s="824">
        <v>3027.66</v>
      </c>
      <c r="I30" s="824">
        <v>0</v>
      </c>
      <c r="J30" s="824">
        <v>977.83992544274406</v>
      </c>
      <c r="K30" s="824">
        <v>973.35506301384214</v>
      </c>
      <c r="L30" s="824">
        <v>1061.6015482297814</v>
      </c>
      <c r="M30" s="824">
        <v>384.95307674491414</v>
      </c>
      <c r="N30" s="824">
        <v>388.6617435602347</v>
      </c>
      <c r="O30" s="824">
        <v>364.43564200917052</v>
      </c>
      <c r="P30" s="329">
        <f t="shared" si="1"/>
        <v>7178.5069990006878</v>
      </c>
      <c r="Q30" s="81"/>
    </row>
    <row r="31" spans="1:17">
      <c r="A31" s="389">
        <f t="shared" si="2"/>
        <v>20</v>
      </c>
      <c r="B31" s="212">
        <v>9160</v>
      </c>
      <c r="C31" t="s">
        <v>1490</v>
      </c>
      <c r="D31" s="825">
        <f>0</f>
        <v>0</v>
      </c>
      <c r="E31" s="825">
        <f>0</f>
        <v>0</v>
      </c>
      <c r="F31" s="825">
        <f>0</f>
        <v>0</v>
      </c>
      <c r="G31" s="825">
        <f>0</f>
        <v>0</v>
      </c>
      <c r="H31" s="825">
        <f>0</f>
        <v>0</v>
      </c>
      <c r="I31" s="825">
        <f>0</f>
        <v>0</v>
      </c>
      <c r="J31" s="824">
        <v>0</v>
      </c>
      <c r="K31" s="824">
        <v>0</v>
      </c>
      <c r="L31" s="824">
        <v>0</v>
      </c>
      <c r="M31" s="824">
        <v>0</v>
      </c>
      <c r="N31" s="824">
        <v>0</v>
      </c>
      <c r="O31" s="824">
        <v>0</v>
      </c>
      <c r="P31" s="329">
        <f t="shared" si="1"/>
        <v>0</v>
      </c>
      <c r="Q31" s="81"/>
    </row>
    <row r="32" spans="1:17">
      <c r="A32" s="389">
        <f t="shared" si="2"/>
        <v>21</v>
      </c>
      <c r="B32" s="212">
        <v>9200</v>
      </c>
      <c r="C32" s="81" t="s">
        <v>176</v>
      </c>
      <c r="D32" s="824">
        <v>-3648234.59</v>
      </c>
      <c r="E32" s="824">
        <v>-4393070.2799999984</v>
      </c>
      <c r="F32" s="824">
        <v>-3932316.1999999983</v>
      </c>
      <c r="G32" s="824">
        <v>-3531607.7600000021</v>
      </c>
      <c r="H32" s="824">
        <v>-3661275.6199999964</v>
      </c>
      <c r="I32" s="824">
        <v>-10063607.990000002</v>
      </c>
      <c r="J32" s="824">
        <v>-3892474.0901852674</v>
      </c>
      <c r="K32" s="824">
        <v>-2297766.6245849724</v>
      </c>
      <c r="L32" s="824">
        <v>-2624979.4925140324</v>
      </c>
      <c r="M32" s="824">
        <v>-3161135.8917140951</v>
      </c>
      <c r="N32" s="824">
        <v>-4143748.5512470291</v>
      </c>
      <c r="O32" s="824">
        <v>-3834805.2933778134</v>
      </c>
      <c r="P32" s="329">
        <f t="shared" si="1"/>
        <v>-49185022.383623205</v>
      </c>
      <c r="Q32" s="81"/>
    </row>
    <row r="33" spans="1:18">
      <c r="A33" s="389">
        <f t="shared" si="2"/>
        <v>22</v>
      </c>
      <c r="B33" s="212">
        <v>9210</v>
      </c>
      <c r="C33" s="81" t="s">
        <v>910</v>
      </c>
      <c r="D33" s="824">
        <v>4067102.1200000006</v>
      </c>
      <c r="E33" s="824">
        <v>3851891.5200000005</v>
      </c>
      <c r="F33" s="824">
        <v>3738665.18</v>
      </c>
      <c r="G33" s="824">
        <v>4077435.63</v>
      </c>
      <c r="H33" s="824">
        <v>4073809.2</v>
      </c>
      <c r="I33" s="824">
        <v>4244110.47</v>
      </c>
      <c r="J33" s="824">
        <v>5455488.0234697582</v>
      </c>
      <c r="K33" s="824">
        <v>5337952.7985181091</v>
      </c>
      <c r="L33" s="824">
        <v>5703986.8785327813</v>
      </c>
      <c r="M33" s="824">
        <v>4246588.6300230334</v>
      </c>
      <c r="N33" s="824">
        <v>4051579.8511325931</v>
      </c>
      <c r="O33" s="824">
        <v>4318073.6968942955</v>
      </c>
      <c r="P33" s="329">
        <f t="shared" si="1"/>
        <v>53166683.998570569</v>
      </c>
      <c r="Q33" s="81"/>
    </row>
    <row r="34" spans="1:18">
      <c r="A34" s="389">
        <f t="shared" si="2"/>
        <v>23</v>
      </c>
      <c r="B34" s="212">
        <v>9220</v>
      </c>
      <c r="C34" s="81" t="s">
        <v>911</v>
      </c>
      <c r="D34" s="824">
        <v>-11567346.989999996</v>
      </c>
      <c r="E34" s="824">
        <v>-8838143.8199999984</v>
      </c>
      <c r="F34" s="824">
        <v>-10708455.929999998</v>
      </c>
      <c r="G34" s="824">
        <v>-10320165.189999998</v>
      </c>
      <c r="H34" s="824">
        <v>-22798022.760000002</v>
      </c>
      <c r="I34" s="824">
        <v>-3264226.0199999991</v>
      </c>
      <c r="J34" s="1001">
        <f>-(SUM(J12:J33,J35:J42))</f>
        <v>-19472281.630000006</v>
      </c>
      <c r="K34" s="1001">
        <f t="shared" ref="K34:O34" si="3">-(SUM(K12:K33,K35:K42))</f>
        <v>-16319007.429999998</v>
      </c>
      <c r="L34" s="1001">
        <f t="shared" si="3"/>
        <v>-17374781.259999998</v>
      </c>
      <c r="M34" s="1001">
        <f t="shared" si="3"/>
        <v>-13171166.402942495</v>
      </c>
      <c r="N34" s="1001">
        <f t="shared" si="3"/>
        <v>-11632019.894029098</v>
      </c>
      <c r="O34" s="1001">
        <f t="shared" si="3"/>
        <v>-12208845.578612056</v>
      </c>
      <c r="P34" s="329">
        <f t="shared" si="1"/>
        <v>-157674462.90558365</v>
      </c>
      <c r="Q34" s="329"/>
    </row>
    <row r="35" spans="1:18">
      <c r="A35" s="389">
        <f t="shared" si="2"/>
        <v>24</v>
      </c>
      <c r="B35" s="212">
        <v>9230</v>
      </c>
      <c r="C35" s="81" t="s">
        <v>912</v>
      </c>
      <c r="D35" s="824">
        <v>1811008.6700000006</v>
      </c>
      <c r="E35" s="824">
        <v>2683363.4099999997</v>
      </c>
      <c r="F35" s="824">
        <v>169560.02000000002</v>
      </c>
      <c r="G35" s="824">
        <v>2119420.7600000002</v>
      </c>
      <c r="H35" s="824">
        <v>1429956.42</v>
      </c>
      <c r="I35" s="824">
        <v>2133366.5200000005</v>
      </c>
      <c r="J35" s="824">
        <v>3648600.6148832953</v>
      </c>
      <c r="K35" s="824">
        <v>3665165.027685795</v>
      </c>
      <c r="L35" s="824">
        <v>4014825.5919014025</v>
      </c>
      <c r="M35" s="824">
        <v>1255448.2218415176</v>
      </c>
      <c r="N35" s="824">
        <v>1253090.3947242908</v>
      </c>
      <c r="O35" s="824">
        <v>1160319.9210477939</v>
      </c>
      <c r="P35" s="329">
        <f t="shared" si="1"/>
        <v>25344125.572084099</v>
      </c>
      <c r="Q35" s="81"/>
    </row>
    <row r="36" spans="1:18">
      <c r="A36" s="389">
        <f t="shared" si="2"/>
        <v>25</v>
      </c>
      <c r="B36" s="212">
        <v>9240</v>
      </c>
      <c r="C36" s="81" t="s">
        <v>913</v>
      </c>
      <c r="D36" s="824">
        <v>10483.68</v>
      </c>
      <c r="E36" s="824">
        <v>10483.68</v>
      </c>
      <c r="F36" s="824">
        <v>11290.67</v>
      </c>
      <c r="G36" s="824">
        <v>11290.67</v>
      </c>
      <c r="H36" s="824">
        <v>11290.67</v>
      </c>
      <c r="I36" s="824">
        <v>11290.67</v>
      </c>
      <c r="J36" s="824">
        <v>8920.6369233910118</v>
      </c>
      <c r="K36" s="824">
        <v>8963.0627378960671</v>
      </c>
      <c r="L36" s="824">
        <v>8920.6369233910118</v>
      </c>
      <c r="M36" s="824">
        <v>11190.481094468694</v>
      </c>
      <c r="N36" s="824">
        <v>11251.496367394653</v>
      </c>
      <c r="O36" s="824">
        <v>11251.496367394653</v>
      </c>
      <c r="P36" s="329">
        <f t="shared" si="1"/>
        <v>126627.85041393606</v>
      </c>
      <c r="Q36" s="81"/>
    </row>
    <row r="37" spans="1:18">
      <c r="A37" s="389">
        <f t="shared" si="2"/>
        <v>26</v>
      </c>
      <c r="B37" s="212">
        <v>9250</v>
      </c>
      <c r="C37" s="81" t="s">
        <v>914</v>
      </c>
      <c r="D37" s="824">
        <v>4498330.75</v>
      </c>
      <c r="E37" s="824">
        <v>8498263.4400000013</v>
      </c>
      <c r="F37" s="824">
        <v>4481042.53</v>
      </c>
      <c r="G37" s="824">
        <v>4499438.9300000006</v>
      </c>
      <c r="H37" s="824">
        <v>4499395.0100000007</v>
      </c>
      <c r="I37" s="824">
        <v>4992750.07</v>
      </c>
      <c r="J37" s="824">
        <v>4251729.1500271289</v>
      </c>
      <c r="K37" s="824">
        <v>4271308.5039389497</v>
      </c>
      <c r="L37" s="824">
        <v>4250743.3935639579</v>
      </c>
      <c r="M37" s="824">
        <v>5330481.1918999515</v>
      </c>
      <c r="N37" s="824">
        <v>5358604.666890623</v>
      </c>
      <c r="O37" s="824">
        <v>5359120.8443442369</v>
      </c>
      <c r="P37" s="329">
        <f t="shared" si="1"/>
        <v>60291208.480664842</v>
      </c>
      <c r="Q37" s="81"/>
    </row>
    <row r="38" spans="1:18">
      <c r="A38" s="389">
        <f t="shared" si="2"/>
        <v>27</v>
      </c>
      <c r="B38" s="212">
        <v>9260</v>
      </c>
      <c r="C38" s="81" t="s">
        <v>915</v>
      </c>
      <c r="D38" s="824">
        <v>3226661.5599999996</v>
      </c>
      <c r="E38" s="824">
        <v>2979869.44</v>
      </c>
      <c r="F38" s="824">
        <v>2896527.5099999993</v>
      </c>
      <c r="G38" s="824">
        <v>2449236.8800000004</v>
      </c>
      <c r="H38" s="824">
        <v>15585680.600000003</v>
      </c>
      <c r="I38" s="824">
        <v>1475046.8100000005</v>
      </c>
      <c r="J38" s="824">
        <v>7437106.0519608147</v>
      </c>
      <c r="K38" s="824">
        <v>2753266.3971726196</v>
      </c>
      <c r="L38" s="824">
        <v>2599524.8993322221</v>
      </c>
      <c r="M38" s="824">
        <v>3829320.5649243249</v>
      </c>
      <c r="N38" s="824">
        <v>4124919.1817083326</v>
      </c>
      <c r="O38" s="824">
        <v>4249474.88021727</v>
      </c>
      <c r="P38" s="329">
        <f t="shared" si="1"/>
        <v>53606634.775315598</v>
      </c>
      <c r="Q38" s="81"/>
    </row>
    <row r="39" spans="1:18">
      <c r="A39" s="389">
        <f t="shared" si="2"/>
        <v>28</v>
      </c>
      <c r="B39" s="212">
        <v>9301</v>
      </c>
      <c r="C39" s="81" t="s">
        <v>177</v>
      </c>
      <c r="D39" s="825">
        <f>0</f>
        <v>0</v>
      </c>
      <c r="E39" s="825">
        <f>0</f>
        <v>0</v>
      </c>
      <c r="F39" s="825">
        <f>0</f>
        <v>0</v>
      </c>
      <c r="G39" s="825">
        <f>0</f>
        <v>0</v>
      </c>
      <c r="H39" s="825">
        <f>0</f>
        <v>0</v>
      </c>
      <c r="I39" s="825">
        <f>0</f>
        <v>0</v>
      </c>
      <c r="J39" s="824">
        <v>0</v>
      </c>
      <c r="K39" s="824">
        <v>0</v>
      </c>
      <c r="L39" s="824">
        <v>0</v>
      </c>
      <c r="M39" s="824">
        <v>0</v>
      </c>
      <c r="N39" s="824">
        <v>0</v>
      </c>
      <c r="O39" s="824">
        <v>0</v>
      </c>
      <c r="P39" s="329">
        <f t="shared" si="1"/>
        <v>0</v>
      </c>
      <c r="Q39" s="81"/>
    </row>
    <row r="40" spans="1:18">
      <c r="A40" s="389">
        <f t="shared" si="2"/>
        <v>29</v>
      </c>
      <c r="B40" s="212">
        <v>9302</v>
      </c>
      <c r="C40" s="81" t="s">
        <v>826</v>
      </c>
      <c r="D40" s="824">
        <v>880821.69000000018</v>
      </c>
      <c r="E40" s="824">
        <v>82116.010000000038</v>
      </c>
      <c r="F40" s="824">
        <v>1781272.6800000002</v>
      </c>
      <c r="G40" s="824">
        <v>776769.73</v>
      </c>
      <c r="H40" s="824">
        <v>232679.31</v>
      </c>
      <c r="I40" s="824">
        <v>698026.98</v>
      </c>
      <c r="J40" s="824">
        <v>233231.35524848846</v>
      </c>
      <c r="K40" s="824">
        <v>254386.71588168442</v>
      </c>
      <c r="L40" s="824">
        <v>1053587.1234676598</v>
      </c>
      <c r="M40" s="824">
        <v>968063.74380567227</v>
      </c>
      <c r="N40" s="824">
        <v>304520.82160574995</v>
      </c>
      <c r="O40" s="824">
        <v>249247.98463538257</v>
      </c>
      <c r="P40" s="329">
        <f t="shared" si="1"/>
        <v>7514724.1446446385</v>
      </c>
      <c r="Q40" s="81"/>
    </row>
    <row r="41" spans="1:18">
      <c r="A41" s="389">
        <f t="shared" si="2"/>
        <v>30</v>
      </c>
      <c r="B41" s="212">
        <v>9310</v>
      </c>
      <c r="C41" s="81" t="s">
        <v>178</v>
      </c>
      <c r="D41" s="824">
        <v>528827.8600000001</v>
      </c>
      <c r="E41" s="824">
        <v>668938.48</v>
      </c>
      <c r="F41" s="824">
        <v>410943.94000000006</v>
      </c>
      <c r="G41" s="824">
        <v>586478.67000000004</v>
      </c>
      <c r="H41" s="824">
        <v>620633.28000000014</v>
      </c>
      <c r="I41" s="824">
        <v>417245.33</v>
      </c>
      <c r="J41" s="824">
        <v>505916.1830725061</v>
      </c>
      <c r="K41" s="824">
        <v>505571.23484483635</v>
      </c>
      <c r="L41" s="824">
        <v>528494.14462432638</v>
      </c>
      <c r="M41" s="824">
        <v>504857.16351252573</v>
      </c>
      <c r="N41" s="824">
        <v>500503.71262924513</v>
      </c>
      <c r="O41" s="824">
        <v>511274.93397674285</v>
      </c>
      <c r="P41" s="329">
        <f t="shared" si="1"/>
        <v>6289684.932660182</v>
      </c>
      <c r="Q41" s="81"/>
    </row>
    <row r="42" spans="1:18">
      <c r="A42" s="389">
        <f t="shared" si="2"/>
        <v>31</v>
      </c>
      <c r="B42" s="212">
        <v>9320</v>
      </c>
      <c r="C42" s="81" t="s">
        <v>179</v>
      </c>
      <c r="D42" s="824">
        <v>42941.760000000002</v>
      </c>
      <c r="E42" s="824">
        <v>56650.16</v>
      </c>
      <c r="F42" s="824">
        <v>83265.399999999994</v>
      </c>
      <c r="G42" s="824">
        <v>65775.64</v>
      </c>
      <c r="H42" s="824">
        <v>50743.860000000008</v>
      </c>
      <c r="I42" s="824">
        <v>36532.33</v>
      </c>
      <c r="J42" s="824">
        <v>92978.893653838881</v>
      </c>
      <c r="K42" s="824">
        <v>92628.425330919898</v>
      </c>
      <c r="L42" s="824">
        <v>97824.44400713763</v>
      </c>
      <c r="M42" s="824">
        <v>50108.43268256585</v>
      </c>
      <c r="N42" s="824">
        <v>49878.557454183552</v>
      </c>
      <c r="O42" s="824">
        <v>50864.727307871071</v>
      </c>
      <c r="P42" s="329">
        <f t="shared" si="1"/>
        <v>770192.63043651707</v>
      </c>
      <c r="Q42" s="81"/>
    </row>
    <row r="43" spans="1:18" ht="15.75" thickBot="1">
      <c r="A43" s="389">
        <f t="shared" si="2"/>
        <v>32</v>
      </c>
      <c r="B43" s="116" t="s">
        <v>706</v>
      </c>
      <c r="C43" s="460"/>
      <c r="D43" s="827">
        <f>SUM(D12:D42)</f>
        <v>-51539.319999995882</v>
      </c>
      <c r="E43" s="827">
        <f t="shared" ref="E43:I43" si="4">SUM(E12:E42)</f>
        <v>5693786.7100000046</v>
      </c>
      <c r="F43" s="827">
        <f t="shared" si="4"/>
        <v>-974053.57999999716</v>
      </c>
      <c r="G43" s="827">
        <f t="shared" si="4"/>
        <v>796101.8600000008</v>
      </c>
      <c r="H43" s="827">
        <f t="shared" si="4"/>
        <v>243050.45000000575</v>
      </c>
      <c r="I43" s="827">
        <f t="shared" si="4"/>
        <v>785020.31000000087</v>
      </c>
      <c r="J43" s="827">
        <f t="shared" ref="J43:O43" si="5">SUM(J12:J42)</f>
        <v>-3.1577656045556068E-9</v>
      </c>
      <c r="K43" s="827">
        <f t="shared" si="5"/>
        <v>1.2078089639544487E-9</v>
      </c>
      <c r="L43" s="827">
        <f t="shared" si="5"/>
        <v>2.4010660126805305E-9</v>
      </c>
      <c r="M43" s="827">
        <f t="shared" si="5"/>
        <v>-2.4738255888223648E-9</v>
      </c>
      <c r="N43" s="827">
        <f t="shared" si="5"/>
        <v>3.2014213502407074E-10</v>
      </c>
      <c r="O43" s="827">
        <f t="shared" si="5"/>
        <v>-7.8580342233181E-10</v>
      </c>
      <c r="P43" s="827">
        <f>SUM(P12:P42)</f>
        <v>6492366.4300000174</v>
      </c>
      <c r="Q43" s="1007"/>
    </row>
    <row r="44" spans="1:18" ht="15.75" thickTop="1">
      <c r="A44" s="389">
        <f t="shared" si="2"/>
        <v>33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</row>
    <row r="45" spans="1:18">
      <c r="A45" s="389">
        <f t="shared" si="2"/>
        <v>34</v>
      </c>
      <c r="B45" s="829">
        <f>B34</f>
        <v>9220</v>
      </c>
      <c r="C45" s="829" t="str">
        <f>C34</f>
        <v>A&amp;G-Administrative expense transferred-Credit</v>
      </c>
      <c r="D45" s="830">
        <f>D34</f>
        <v>-11567346.989999996</v>
      </c>
      <c r="E45" s="830">
        <f>E34</f>
        <v>-8838143.8199999984</v>
      </c>
      <c r="F45" s="830">
        <f t="shared" ref="F45:I45" si="6">F34</f>
        <v>-10708455.929999998</v>
      </c>
      <c r="G45" s="830">
        <f t="shared" si="6"/>
        <v>-10320165.189999998</v>
      </c>
      <c r="H45" s="830">
        <f t="shared" si="6"/>
        <v>-22798022.760000002</v>
      </c>
      <c r="I45" s="830">
        <f t="shared" si="6"/>
        <v>-3264226.0199999991</v>
      </c>
      <c r="J45" s="830">
        <f>-(J43-J34)</f>
        <v>-19472281.630000003</v>
      </c>
      <c r="K45" s="830">
        <f t="shared" ref="K45" si="7">-(K43-K34)</f>
        <v>-16319007.43</v>
      </c>
      <c r="L45" s="830">
        <f>L34</f>
        <v>-17374781.259999998</v>
      </c>
      <c r="M45" s="830">
        <f>M34</f>
        <v>-13171166.402942495</v>
      </c>
      <c r="N45" s="830">
        <f>N34</f>
        <v>-11632019.894029098</v>
      </c>
      <c r="O45" s="830">
        <f>O34</f>
        <v>-12208845.578612056</v>
      </c>
      <c r="P45" s="329">
        <f t="shared" ref="P45" si="8">SUM(D45:O45)</f>
        <v>-157674462.90558365</v>
      </c>
      <c r="Q45" s="830"/>
    </row>
    <row r="46" spans="1:18">
      <c r="A46" s="389">
        <f t="shared" si="2"/>
        <v>35</v>
      </c>
      <c r="B46" s="116"/>
      <c r="C46" s="213" t="s">
        <v>189</v>
      </c>
      <c r="D46" s="831">
        <f>D47/D45</f>
        <v>5.1381038410433316E-2</v>
      </c>
      <c r="E46" s="831">
        <f t="shared" ref="E46:I46" si="9">E47/E45</f>
        <v>5.2856591781508262E-2</v>
      </c>
      <c r="F46" s="831">
        <f t="shared" si="9"/>
        <v>5.1112451092657218E-2</v>
      </c>
      <c r="G46" s="831">
        <f t="shared" si="9"/>
        <v>5.2571964693522516E-2</v>
      </c>
      <c r="H46" s="831">
        <f t="shared" si="9"/>
        <v>4.9437427616639509E-2</v>
      </c>
      <c r="I46" s="831">
        <f t="shared" si="9"/>
        <v>6.1806810791858111E-2</v>
      </c>
      <c r="J46" s="832">
        <f>Allocation!$I$14</f>
        <v>4.5622610000000001E-2</v>
      </c>
      <c r="K46" s="832">
        <f>Allocation!$I$14</f>
        <v>4.5622610000000001E-2</v>
      </c>
      <c r="L46" s="832">
        <f>Allocation!$I$14</f>
        <v>4.5622610000000001E-2</v>
      </c>
      <c r="M46" s="832">
        <f>Allocation!$I$14</f>
        <v>4.5622610000000001E-2</v>
      </c>
      <c r="N46" s="832">
        <f>Allocation!$I$14</f>
        <v>4.5622610000000001E-2</v>
      </c>
      <c r="O46" s="832">
        <f>Allocation!$I$14</f>
        <v>4.5622610000000001E-2</v>
      </c>
      <c r="P46" s="831">
        <f t="shared" ref="P46" si="10">P47/P45</f>
        <v>4.8164873988229842E-2</v>
      </c>
      <c r="Q46" s="116"/>
      <c r="R46" s="375"/>
    </row>
    <row r="47" spans="1:18">
      <c r="A47" s="389">
        <f t="shared" si="2"/>
        <v>36</v>
      </c>
      <c r="B47" s="116"/>
      <c r="C47" s="116" t="s">
        <v>202</v>
      </c>
      <c r="D47" s="782">
        <v>-594342.30000000005</v>
      </c>
      <c r="E47" s="782">
        <v>-467154.16</v>
      </c>
      <c r="F47" s="782">
        <v>-547335.43000000005</v>
      </c>
      <c r="G47" s="782">
        <v>-542551.36</v>
      </c>
      <c r="H47" s="782">
        <v>-1127075.6000000001</v>
      </c>
      <c r="I47" s="782">
        <v>-201751.4</v>
      </c>
      <c r="J47" s="329">
        <f>J45*J46</f>
        <v>-888376.31061565445</v>
      </c>
      <c r="K47" s="329">
        <f t="shared" ref="K47:O47" si="11">K45*K46</f>
        <v>-744515.71156599233</v>
      </c>
      <c r="L47" s="329">
        <f t="shared" si="11"/>
        <v>-792682.86926028854</v>
      </c>
      <c r="M47" s="329">
        <f t="shared" si="11"/>
        <v>-600902.98804654833</v>
      </c>
      <c r="N47" s="329">
        <f t="shared" si="11"/>
        <v>-530683.10713753081</v>
      </c>
      <c r="O47" s="329">
        <f t="shared" si="11"/>
        <v>-556999.40038324217</v>
      </c>
      <c r="P47" s="329">
        <f>SUM(D47:O47)</f>
        <v>-7594370.6370092575</v>
      </c>
      <c r="Q47" s="116"/>
      <c r="R47" s="375"/>
    </row>
    <row r="48" spans="1:18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</row>
    <row r="49" spans="1:17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</row>
    <row r="50" spans="1:17">
      <c r="A50" s="116"/>
      <c r="B50" s="116" t="s">
        <v>535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</row>
    <row r="51" spans="1:17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329"/>
      <c r="Q51" s="116"/>
    </row>
    <row r="52" spans="1:17">
      <c r="A52" s="116"/>
      <c r="B52" s="116" t="s">
        <v>919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</row>
    <row r="53" spans="1:17">
      <c r="A53" s="116"/>
      <c r="B53" t="s">
        <v>1529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</row>
    <row r="54" spans="1:17">
      <c r="A54" s="116"/>
      <c r="B54" t="s">
        <v>1527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329"/>
    </row>
    <row r="55" spans="1:17">
      <c r="A55" s="116"/>
      <c r="B55" t="s">
        <v>1530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26"/>
      <c r="P55" s="116"/>
      <c r="Q55" s="461"/>
    </row>
    <row r="56" spans="1:17">
      <c r="A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226"/>
      <c r="P56" s="116"/>
      <c r="Q56" s="461"/>
    </row>
    <row r="57" spans="1:17">
      <c r="A57" s="116"/>
      <c r="B57" s="116"/>
      <c r="C57" s="116"/>
      <c r="D57" s="462"/>
      <c r="E57" s="462"/>
      <c r="F57" s="462"/>
      <c r="G57" s="462"/>
      <c r="H57" s="462"/>
      <c r="I57" s="462"/>
      <c r="J57" s="462"/>
      <c r="K57" s="463"/>
      <c r="L57" s="463"/>
      <c r="M57" s="463"/>
      <c r="N57" s="463"/>
      <c r="O57" s="84"/>
      <c r="P57" s="116"/>
      <c r="Q57" s="461"/>
    </row>
    <row r="58" spans="1:17">
      <c r="A58" s="116"/>
      <c r="B58" s="329"/>
      <c r="C58" s="329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461"/>
    </row>
    <row r="59" spans="1:17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461"/>
    </row>
    <row r="60" spans="1:17">
      <c r="A60" s="116"/>
      <c r="B60" s="116"/>
      <c r="C60" s="116"/>
      <c r="D60" s="782">
        <v>11531273.330000002</v>
      </c>
      <c r="E60" s="782">
        <v>14547396.200000005</v>
      </c>
      <c r="F60" s="782">
        <v>9749868.020000007</v>
      </c>
      <c r="G60" s="782">
        <v>11131732.710000001</v>
      </c>
      <c r="H60" s="782">
        <v>23056538.88000001</v>
      </c>
      <c r="I60" s="782">
        <v>4064711.9900000021</v>
      </c>
      <c r="J60" s="782">
        <v>19472281.629999999</v>
      </c>
      <c r="K60" s="782">
        <v>16319007.430000002</v>
      </c>
      <c r="L60" s="782">
        <v>17374781.259999998</v>
      </c>
      <c r="M60" s="782">
        <v>13171166.402942499</v>
      </c>
      <c r="N60" s="782">
        <v>11632019.894029101</v>
      </c>
      <c r="O60" s="782">
        <v>12208845.578612061</v>
      </c>
      <c r="P60" s="782">
        <v>164259623.3255837</v>
      </c>
      <c r="Q60" s="116"/>
    </row>
    <row r="61" spans="1:17">
      <c r="A61" s="116"/>
      <c r="B61" s="116"/>
      <c r="C61" s="116"/>
      <c r="D61" s="329">
        <f>SUM(D35:D42,D14:D33)</f>
        <v>11531273.340000004</v>
      </c>
      <c r="E61" s="329">
        <f t="shared" ref="E61:I61" si="12">SUM(E35:E42,E14:E33)</f>
        <v>14547396.200000003</v>
      </c>
      <c r="F61" s="329">
        <f t="shared" si="12"/>
        <v>9749868.0200000014</v>
      </c>
      <c r="G61" s="329">
        <f t="shared" si="12"/>
        <v>11131732.710000001</v>
      </c>
      <c r="H61" s="329">
        <f t="shared" si="12"/>
        <v>23056538.880000003</v>
      </c>
      <c r="I61" s="329">
        <f t="shared" si="12"/>
        <v>4064711.9900000012</v>
      </c>
      <c r="J61" s="329">
        <f t="shared" ref="J61:O61" si="13">-J45</f>
        <v>19472281.630000003</v>
      </c>
      <c r="K61" s="329">
        <f t="shared" si="13"/>
        <v>16319007.43</v>
      </c>
      <c r="L61" s="329">
        <f t="shared" si="13"/>
        <v>17374781.259999998</v>
      </c>
      <c r="M61" s="329">
        <f t="shared" si="13"/>
        <v>13171166.402942495</v>
      </c>
      <c r="N61" s="329">
        <f t="shared" si="13"/>
        <v>11632019.894029098</v>
      </c>
      <c r="O61" s="329">
        <f t="shared" si="13"/>
        <v>12208845.578612056</v>
      </c>
      <c r="P61" s="329">
        <f t="shared" ref="P61" si="14">SUM(P35:P42,P14:P33)</f>
        <v>164259623.33558366</v>
      </c>
      <c r="Q61" s="116"/>
    </row>
    <row r="62" spans="1:17">
      <c r="A62" s="116"/>
      <c r="B62" s="116"/>
      <c r="C62" s="329"/>
      <c r="D62" s="329">
        <f>D60-D61</f>
        <v>-1.0000001639127731E-2</v>
      </c>
      <c r="E62" s="329">
        <f t="shared" ref="E62:O62" si="15">E60-E61</f>
        <v>0</v>
      </c>
      <c r="F62" s="329">
        <f t="shared" si="15"/>
        <v>0</v>
      </c>
      <c r="G62" s="329">
        <f t="shared" si="15"/>
        <v>0</v>
      </c>
      <c r="H62" s="329">
        <f t="shared" si="15"/>
        <v>0</v>
      </c>
      <c r="I62" s="329">
        <f t="shared" si="15"/>
        <v>0</v>
      </c>
      <c r="J62" s="329">
        <f t="shared" si="15"/>
        <v>0</v>
      </c>
      <c r="K62" s="329">
        <f t="shared" si="15"/>
        <v>0</v>
      </c>
      <c r="L62" s="329">
        <f t="shared" si="15"/>
        <v>0</v>
      </c>
      <c r="M62" s="329">
        <f t="shared" si="15"/>
        <v>0</v>
      </c>
      <c r="N62" s="329">
        <f t="shared" si="15"/>
        <v>0</v>
      </c>
      <c r="O62" s="329">
        <f t="shared" si="15"/>
        <v>0</v>
      </c>
      <c r="P62" s="329">
        <f t="shared" ref="P62" si="16">P60-P61</f>
        <v>-9.9999606609344482E-3</v>
      </c>
      <c r="Q62" s="116"/>
    </row>
    <row r="63" spans="1:17">
      <c r="A63" s="116"/>
      <c r="B63" s="116"/>
      <c r="C63" s="329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</row>
    <row r="64" spans="1:17">
      <c r="O64" s="226"/>
    </row>
    <row r="65" spans="3:16">
      <c r="O65" s="84" t="s">
        <v>1496</v>
      </c>
      <c r="P65" s="694">
        <f>SUM(P15:P42)-P34+SUM('C.2.2 B 12'!P14:P32)-'C.2.2 B 12'!P25</f>
        <v>222972077.42031953</v>
      </c>
    </row>
    <row r="66" spans="3:16">
      <c r="O66" s="84" t="s">
        <v>1497</v>
      </c>
      <c r="P66">
        <v>222972077.41031951</v>
      </c>
    </row>
    <row r="67" spans="3:16">
      <c r="O67" s="476" t="s">
        <v>1610</v>
      </c>
      <c r="P67">
        <f>+P65-P66</f>
        <v>1.0000020265579224E-2</v>
      </c>
    </row>
    <row r="68" spans="3:16">
      <c r="C68" s="329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65" header="0.5" footer="0.25"/>
  <pageSetup scale="49" fitToHeight="2" orientation="landscape" verticalDpi="300" r:id="rId1"/>
  <headerFooter alignWithMargins="0">
    <oddFooter>&amp;RSchedule &amp;A
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rgb="FF92D050"/>
  </sheetPr>
  <dimension ref="A1:Q56"/>
  <sheetViews>
    <sheetView view="pageBreakPreview" topLeftCell="A9" zoomScale="80" zoomScaleNormal="100" zoomScaleSheetLayoutView="80" workbookViewId="0">
      <selection activeCell="B45" sqref="B45:B47"/>
    </sheetView>
  </sheetViews>
  <sheetFormatPr defaultColWidth="7.109375" defaultRowHeight="15"/>
  <cols>
    <col min="1" max="1" width="4.6640625" customWidth="1"/>
    <col min="2" max="2" width="7.21875" customWidth="1"/>
    <col min="3" max="3" width="45.5546875" customWidth="1"/>
    <col min="4" max="4" width="13.109375" bestFit="1" customWidth="1"/>
    <col min="5" max="6" width="11.109375" customWidth="1"/>
    <col min="7" max="8" width="13.109375" bestFit="1" customWidth="1"/>
    <col min="9" max="9" width="11.109375" customWidth="1"/>
    <col min="10" max="10" width="10.88671875" customWidth="1"/>
    <col min="11" max="14" width="13.109375" bestFit="1" customWidth="1"/>
    <col min="15" max="15" width="12.44140625" customWidth="1"/>
    <col min="16" max="16" width="12.44140625" bestFit="1" customWidth="1"/>
    <col min="17" max="17" width="12.44140625" customWidth="1"/>
    <col min="18" max="18" width="12.5546875" customWidth="1"/>
    <col min="19" max="19" width="11.33203125" bestFit="1" customWidth="1"/>
  </cols>
  <sheetData>
    <row r="1" spans="1:17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</row>
    <row r="2" spans="1:17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</row>
    <row r="3" spans="1:17" ht="15.75">
      <c r="A3" s="1072" t="s">
        <v>181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</row>
    <row r="4" spans="1:17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30"/>
    </row>
    <row r="5" spans="1:17">
      <c r="A5" s="1"/>
      <c r="B5" s="25"/>
      <c r="C5" s="25"/>
      <c r="D5" s="25"/>
      <c r="E5" s="25"/>
      <c r="F5" s="25"/>
      <c r="G5" s="456"/>
      <c r="H5" s="110"/>
      <c r="I5" s="110"/>
      <c r="J5" s="110"/>
      <c r="K5" s="110"/>
      <c r="L5" s="110"/>
      <c r="M5" s="110"/>
      <c r="N5" s="110"/>
      <c r="O5" s="110"/>
      <c r="P5" s="30"/>
      <c r="Q5" s="30"/>
    </row>
    <row r="6" spans="1:17" ht="15.75">
      <c r="A6" s="699" t="str">
        <f>'C.2.2 B 09'!A6</f>
        <v>Data:___X____Base Period________Forecasted Period</v>
      </c>
      <c r="B6" s="30"/>
      <c r="C6" s="98"/>
      <c r="D6" s="457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91" t="s">
        <v>1343</v>
      </c>
      <c r="Q6" s="30"/>
    </row>
    <row r="7" spans="1:17">
      <c r="A7" s="699" t="str">
        <f>'C.2.2 B 09'!A7</f>
        <v>Type of Filing:___X____Original________Updated ________Revised</v>
      </c>
      <c r="B7" s="30"/>
      <c r="C7" s="98"/>
      <c r="D7" s="30"/>
      <c r="E7" s="30"/>
      <c r="F7" s="30"/>
      <c r="G7" s="30"/>
      <c r="H7" s="30"/>
      <c r="I7" s="30"/>
      <c r="P7" s="292" t="s">
        <v>35</v>
      </c>
      <c r="Q7" s="30"/>
    </row>
    <row r="8" spans="1:17">
      <c r="A8" s="717" t="str">
        <f>'C.2.2 B 09'!A8</f>
        <v>Workpaper Reference No(s).____________________</v>
      </c>
      <c r="B8" s="43"/>
      <c r="C8" s="111"/>
      <c r="D8" s="106"/>
      <c r="E8" s="106"/>
      <c r="F8" s="106"/>
      <c r="G8" s="106"/>
      <c r="H8" s="106"/>
      <c r="I8" s="106"/>
      <c r="J8" s="106"/>
      <c r="K8" s="106"/>
      <c r="L8" s="106"/>
      <c r="M8" s="43"/>
      <c r="N8" s="43"/>
      <c r="O8" s="43"/>
      <c r="P8" s="801" t="str">
        <f>C.1!J9</f>
        <v>Witness: Waller, Wiebe, Troup</v>
      </c>
      <c r="Q8" s="30"/>
    </row>
    <row r="9" spans="1:17">
      <c r="A9" s="450" t="s">
        <v>88</v>
      </c>
      <c r="B9" s="451" t="s">
        <v>95</v>
      </c>
      <c r="C9" s="452"/>
      <c r="D9" s="793" t="str">
        <f>'C.2.2 B 09'!D9</f>
        <v>actual</v>
      </c>
      <c r="E9" s="793" t="str">
        <f>'C.2.2 B 09'!F9</f>
        <v>actual</v>
      </c>
      <c r="F9" s="793" t="str">
        <f>'C.2.2 B 09'!F9</f>
        <v>actual</v>
      </c>
      <c r="G9" s="793" t="str">
        <f>'C.2.2 B 09'!G9</f>
        <v>actual</v>
      </c>
      <c r="H9" s="793" t="str">
        <f>'C.2.2 B 09'!H9</f>
        <v>actual</v>
      </c>
      <c r="I9" s="793" t="str">
        <f>'C.2.2 B 09'!I9</f>
        <v>actual</v>
      </c>
      <c r="J9" s="793" t="str">
        <f>'C.2.2 B 09'!J9</f>
        <v>Budgeted</v>
      </c>
      <c r="K9" s="793" t="str">
        <f>'C.2.2 B 09'!K9</f>
        <v>Budgeted</v>
      </c>
      <c r="L9" s="793" t="str">
        <f>'C.2.2 B 09'!L9</f>
        <v>Budgeted</v>
      </c>
      <c r="M9" s="793" t="str">
        <f>'C.2.2 B 09'!M9</f>
        <v>Budgeted</v>
      </c>
      <c r="N9" s="793" t="str">
        <f>'C.2.2 B 09'!N9</f>
        <v>Budgeted</v>
      </c>
      <c r="O9" s="793" t="str">
        <f>'C.2.2 B 09'!O9</f>
        <v>Budgeted</v>
      </c>
      <c r="P9" s="459"/>
      <c r="Q9" s="50"/>
    </row>
    <row r="10" spans="1:17">
      <c r="A10" s="453" t="s">
        <v>94</v>
      </c>
      <c r="B10" s="121" t="s">
        <v>94</v>
      </c>
      <c r="C10" s="454" t="s">
        <v>918</v>
      </c>
      <c r="D10" s="828">
        <f>'C.2.2 B 09'!D10</f>
        <v>45292</v>
      </c>
      <c r="E10" s="828">
        <f>'C.2.2 B 09'!F10</f>
        <v>45352</v>
      </c>
      <c r="F10" s="828">
        <f>'C.2.2 B 09'!F10</f>
        <v>45352</v>
      </c>
      <c r="G10" s="828">
        <f>'C.2.2 B 09'!G10</f>
        <v>45383</v>
      </c>
      <c r="H10" s="828">
        <f>'C.2.2 B 09'!H10</f>
        <v>45413</v>
      </c>
      <c r="I10" s="828">
        <f>'C.2.2 B 09'!I10</f>
        <v>45444</v>
      </c>
      <c r="J10" s="828">
        <f>'C.2.2 B 09'!J10</f>
        <v>45474</v>
      </c>
      <c r="K10" s="828">
        <f>'C.2.2 B 09'!K10</f>
        <v>45505</v>
      </c>
      <c r="L10" s="828">
        <f>'C.2.2 B 09'!L10</f>
        <v>45536</v>
      </c>
      <c r="M10" s="828">
        <f>'C.2.2 B 09'!M10</f>
        <v>45566</v>
      </c>
      <c r="N10" s="828">
        <f>'C.2.2 B 09'!N10</f>
        <v>45597</v>
      </c>
      <c r="O10" s="828">
        <f>'C.2.2 B 09'!O10</f>
        <v>45627</v>
      </c>
      <c r="P10" s="828" t="str">
        <f>'C.2.2 B 09'!P10</f>
        <v>Total</v>
      </c>
      <c r="Q10" s="50"/>
    </row>
    <row r="11" spans="1:17">
      <c r="A11" s="30"/>
      <c r="B11" s="30"/>
      <c r="C11" s="30"/>
      <c r="D11" s="104" t="s">
        <v>140</v>
      </c>
      <c r="E11" s="104" t="s">
        <v>140</v>
      </c>
      <c r="F11" s="104" t="s">
        <v>140</v>
      </c>
      <c r="G11" s="104" t="s">
        <v>140</v>
      </c>
      <c r="H11" s="104" t="s">
        <v>140</v>
      </c>
      <c r="I11" s="104" t="s">
        <v>140</v>
      </c>
      <c r="J11" s="104" t="s">
        <v>140</v>
      </c>
      <c r="K11" s="104" t="s">
        <v>140</v>
      </c>
      <c r="L11" s="104" t="s">
        <v>140</v>
      </c>
      <c r="M11" s="104" t="s">
        <v>140</v>
      </c>
      <c r="N11" s="104" t="s">
        <v>140</v>
      </c>
      <c r="O11" s="104" t="s">
        <v>140</v>
      </c>
      <c r="P11" s="104" t="s">
        <v>140</v>
      </c>
      <c r="Q11" s="104"/>
    </row>
    <row r="12" spans="1:17">
      <c r="A12" s="50">
        <v>1</v>
      </c>
      <c r="B12" s="178">
        <v>4030</v>
      </c>
      <c r="C12" s="30" t="s">
        <v>86</v>
      </c>
      <c r="D12" s="824">
        <v>0</v>
      </c>
      <c r="E12" s="824">
        <v>0</v>
      </c>
      <c r="F12" s="824">
        <v>0</v>
      </c>
      <c r="G12" s="824">
        <v>0</v>
      </c>
      <c r="H12" s="824">
        <v>0</v>
      </c>
      <c r="I12" s="824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329">
        <f t="shared" ref="P12:P28" si="0">SUM(D12:O12)</f>
        <v>0</v>
      </c>
      <c r="Q12" s="329"/>
    </row>
    <row r="13" spans="1:17">
      <c r="A13" s="389">
        <f>A12+1</f>
        <v>2</v>
      </c>
      <c r="B13" s="212">
        <v>4081</v>
      </c>
      <c r="C13" s="81" t="s">
        <v>831</v>
      </c>
      <c r="D13" s="824">
        <v>0</v>
      </c>
      <c r="E13" s="824">
        <v>9.9999999511055648E-3</v>
      </c>
      <c r="F13" s="824">
        <v>0</v>
      </c>
      <c r="G13" s="824">
        <v>0</v>
      </c>
      <c r="H13" s="824">
        <v>-9.9999999511055648E-3</v>
      </c>
      <c r="I13" s="824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329">
        <f t="shared" si="0"/>
        <v>0</v>
      </c>
      <c r="Q13" s="81"/>
    </row>
    <row r="14" spans="1:17">
      <c r="A14" s="389">
        <f t="shared" ref="A14:A38" si="1">A13+1</f>
        <v>3</v>
      </c>
      <c r="B14" s="212">
        <v>8700</v>
      </c>
      <c r="C14" s="81" t="s">
        <v>880</v>
      </c>
      <c r="D14" s="824">
        <v>0</v>
      </c>
      <c r="E14" s="824">
        <v>0</v>
      </c>
      <c r="F14" s="824">
        <v>0</v>
      </c>
      <c r="G14" s="824">
        <v>0</v>
      </c>
      <c r="H14" s="824">
        <v>0</v>
      </c>
      <c r="I14" s="824">
        <v>0</v>
      </c>
      <c r="J14" s="608">
        <v>0</v>
      </c>
      <c r="K14" s="608">
        <v>0</v>
      </c>
      <c r="L14" s="608">
        <v>0</v>
      </c>
      <c r="M14" s="608">
        <v>0</v>
      </c>
      <c r="N14" s="608">
        <v>0</v>
      </c>
      <c r="O14" s="608">
        <v>0</v>
      </c>
      <c r="P14" s="329">
        <f t="shared" si="0"/>
        <v>0</v>
      </c>
      <c r="Q14" s="81"/>
    </row>
    <row r="15" spans="1:17">
      <c r="A15" s="389">
        <f t="shared" si="1"/>
        <v>4</v>
      </c>
      <c r="B15" s="212">
        <v>8740</v>
      </c>
      <c r="C15" s="81" t="s">
        <v>882</v>
      </c>
      <c r="D15" s="824">
        <v>612.25</v>
      </c>
      <c r="E15" s="824">
        <v>569.67999999999995</v>
      </c>
      <c r="F15" s="824">
        <v>810.04</v>
      </c>
      <c r="G15" s="824">
        <v>918.4</v>
      </c>
      <c r="H15" s="824">
        <v>460.3</v>
      </c>
      <c r="I15" s="824">
        <v>891.39</v>
      </c>
      <c r="J15" s="608">
        <v>1500.0000000000002</v>
      </c>
      <c r="K15" s="608">
        <v>1500.0000000000002</v>
      </c>
      <c r="L15" s="608">
        <v>1500.0000000000002</v>
      </c>
      <c r="M15" s="608">
        <v>1500.0000000000002</v>
      </c>
      <c r="N15" s="608">
        <v>1500.0000000000002</v>
      </c>
      <c r="O15" s="608">
        <v>1500.0000000000002</v>
      </c>
      <c r="P15" s="329">
        <f t="shared" si="0"/>
        <v>13262.060000000001</v>
      </c>
      <c r="Q15" s="81"/>
    </row>
    <row r="16" spans="1:17">
      <c r="A16" s="389">
        <f t="shared" si="1"/>
        <v>5</v>
      </c>
      <c r="B16" s="212">
        <v>8780</v>
      </c>
      <c r="C16" t="s">
        <v>1591</v>
      </c>
      <c r="D16" s="824">
        <v>0</v>
      </c>
      <c r="E16" s="824">
        <v>0</v>
      </c>
      <c r="F16" s="824">
        <v>25.95</v>
      </c>
      <c r="G16" s="824">
        <v>0</v>
      </c>
      <c r="H16" s="824">
        <v>0</v>
      </c>
      <c r="I16" s="824">
        <v>0</v>
      </c>
      <c r="J16" s="608">
        <v>4.8807733138971674</v>
      </c>
      <c r="K16" s="608">
        <v>4.8807733138971674</v>
      </c>
      <c r="L16" s="608">
        <v>4.8829649498710772</v>
      </c>
      <c r="M16" s="608">
        <v>4.9815885686970187</v>
      </c>
      <c r="N16" s="608">
        <v>4.9815885686970187</v>
      </c>
      <c r="O16" s="608">
        <v>4.9815885686970187</v>
      </c>
      <c r="P16" s="329">
        <f t="shared" si="0"/>
        <v>55.539277283756476</v>
      </c>
      <c r="Q16" s="81"/>
    </row>
    <row r="17" spans="1:17">
      <c r="A17" s="389">
        <f t="shared" si="1"/>
        <v>6</v>
      </c>
      <c r="B17" s="212">
        <v>8800</v>
      </c>
      <c r="C17" s="81" t="s">
        <v>888</v>
      </c>
      <c r="D17" s="825">
        <f>0</f>
        <v>0</v>
      </c>
      <c r="E17" s="825">
        <f>0</f>
        <v>0</v>
      </c>
      <c r="F17" s="825">
        <f>0</f>
        <v>0</v>
      </c>
      <c r="G17" s="825">
        <f>0</f>
        <v>0</v>
      </c>
      <c r="H17" s="825">
        <f>0</f>
        <v>0</v>
      </c>
      <c r="I17" s="825">
        <f>0</f>
        <v>0</v>
      </c>
      <c r="J17" s="608">
        <v>0</v>
      </c>
      <c r="K17" s="608">
        <v>0</v>
      </c>
      <c r="L17" s="608">
        <v>0</v>
      </c>
      <c r="M17" s="608">
        <v>0</v>
      </c>
      <c r="N17" s="608">
        <v>0</v>
      </c>
      <c r="O17" s="608">
        <v>0</v>
      </c>
      <c r="P17" s="329">
        <f t="shared" si="0"/>
        <v>0</v>
      </c>
      <c r="Q17" s="81"/>
    </row>
    <row r="18" spans="1:17">
      <c r="A18" s="389">
        <f t="shared" si="1"/>
        <v>7</v>
      </c>
      <c r="B18" s="212">
        <v>8810</v>
      </c>
      <c r="C18" t="s">
        <v>889</v>
      </c>
      <c r="D18" s="824">
        <v>0</v>
      </c>
      <c r="E18" s="824">
        <v>0</v>
      </c>
      <c r="F18" s="824">
        <v>0</v>
      </c>
      <c r="G18" s="824">
        <v>3203.72</v>
      </c>
      <c r="H18" s="824">
        <v>11058.07</v>
      </c>
      <c r="I18" s="824">
        <v>0</v>
      </c>
      <c r="J18" s="608">
        <v>2180.1710595937075</v>
      </c>
      <c r="K18" s="608">
        <v>2117.4785266694948</v>
      </c>
      <c r="L18" s="608">
        <v>2117.4785266694948</v>
      </c>
      <c r="M18" s="608">
        <v>2223.3891510710228</v>
      </c>
      <c r="N18" s="608">
        <v>2219.4135270319266</v>
      </c>
      <c r="O18" s="608">
        <v>2219.4135270319266</v>
      </c>
      <c r="P18" s="329">
        <f t="shared" si="0"/>
        <v>27339.134318067576</v>
      </c>
      <c r="Q18" s="81"/>
    </row>
    <row r="19" spans="1:17">
      <c r="A19" s="389">
        <f t="shared" si="1"/>
        <v>8</v>
      </c>
      <c r="B19" s="212">
        <v>9100</v>
      </c>
      <c r="C19" t="s">
        <v>1606</v>
      </c>
      <c r="D19" s="824">
        <v>0</v>
      </c>
      <c r="E19" s="824">
        <v>-1539.38</v>
      </c>
      <c r="F19" s="824">
        <v>1539.38</v>
      </c>
      <c r="G19" s="824">
        <v>0</v>
      </c>
      <c r="H19" s="824">
        <v>0</v>
      </c>
      <c r="I19" s="824">
        <v>0</v>
      </c>
      <c r="J19" s="608">
        <v>0</v>
      </c>
      <c r="K19" s="608">
        <v>0</v>
      </c>
      <c r="L19" s="608">
        <v>0</v>
      </c>
      <c r="M19" s="608">
        <v>0</v>
      </c>
      <c r="N19" s="608">
        <v>0</v>
      </c>
      <c r="O19" s="608">
        <v>0</v>
      </c>
      <c r="P19" s="329">
        <f t="shared" si="0"/>
        <v>0</v>
      </c>
      <c r="Q19" s="81"/>
    </row>
    <row r="20" spans="1:17">
      <c r="A20" s="389">
        <f t="shared" si="1"/>
        <v>9</v>
      </c>
      <c r="B20" s="212">
        <v>9010</v>
      </c>
      <c r="C20" s="81" t="s">
        <v>175</v>
      </c>
      <c r="D20" s="824">
        <v>281689.63</v>
      </c>
      <c r="E20" s="824">
        <v>261042.87</v>
      </c>
      <c r="F20" s="824">
        <v>264394.17</v>
      </c>
      <c r="G20" s="824">
        <v>265275.82</v>
      </c>
      <c r="H20" s="824">
        <v>247984.72999999998</v>
      </c>
      <c r="I20" s="824">
        <v>210482.68</v>
      </c>
      <c r="J20" s="608">
        <v>285852.96252951009</v>
      </c>
      <c r="K20" s="608">
        <v>272781.5161851208</v>
      </c>
      <c r="L20" s="608">
        <v>260568.98641968699</v>
      </c>
      <c r="M20" s="608">
        <v>292759.42144634144</v>
      </c>
      <c r="N20" s="608">
        <v>266491.64871725399</v>
      </c>
      <c r="O20" s="608">
        <v>285899.30807007069</v>
      </c>
      <c r="P20" s="329">
        <f t="shared" si="0"/>
        <v>3195223.743367984</v>
      </c>
      <c r="Q20" s="81"/>
    </row>
    <row r="21" spans="1:17">
      <c r="A21" s="389">
        <f t="shared" si="1"/>
        <v>10</v>
      </c>
      <c r="B21" s="212">
        <v>9020</v>
      </c>
      <c r="C21" s="81" t="s">
        <v>899</v>
      </c>
      <c r="D21" s="824">
        <v>-793.69</v>
      </c>
      <c r="E21" s="824">
        <v>0</v>
      </c>
      <c r="F21" s="824">
        <v>0</v>
      </c>
      <c r="G21" s="824">
        <v>0</v>
      </c>
      <c r="H21" s="824">
        <v>0</v>
      </c>
      <c r="I21" s="824">
        <v>0</v>
      </c>
      <c r="J21" s="608">
        <v>-148.85247797046387</v>
      </c>
      <c r="K21" s="608">
        <v>-142.89384628330282</v>
      </c>
      <c r="L21" s="608">
        <v>-136.49759945511957</v>
      </c>
      <c r="M21" s="608">
        <v>-151.46860920205367</v>
      </c>
      <c r="N21" s="608">
        <v>-138.30169113736636</v>
      </c>
      <c r="O21" s="608">
        <v>-148.64116353853643</v>
      </c>
      <c r="P21" s="329">
        <f t="shared" si="0"/>
        <v>-1660.3453875868427</v>
      </c>
      <c r="Q21" s="81"/>
    </row>
    <row r="22" spans="1:17">
      <c r="A22" s="389">
        <f t="shared" si="1"/>
        <v>11</v>
      </c>
      <c r="B22" s="212">
        <v>9030</v>
      </c>
      <c r="C22" s="81" t="s">
        <v>903</v>
      </c>
      <c r="D22" s="824">
        <v>2730006.66</v>
      </c>
      <c r="E22" s="824">
        <v>2218548.8699999996</v>
      </c>
      <c r="F22" s="824">
        <v>2139807.85</v>
      </c>
      <c r="G22" s="824">
        <v>2253102.29</v>
      </c>
      <c r="H22" s="824">
        <v>2179183.7600000002</v>
      </c>
      <c r="I22" s="824">
        <v>1904682.32</v>
      </c>
      <c r="J22" s="608">
        <v>2538028.3217294514</v>
      </c>
      <c r="K22" s="608">
        <v>2390667.3611120558</v>
      </c>
      <c r="L22" s="608">
        <v>2285037.1232663714</v>
      </c>
      <c r="M22" s="608">
        <v>2589352.5764774447</v>
      </c>
      <c r="N22" s="608">
        <v>2323794.6740428433</v>
      </c>
      <c r="O22" s="608">
        <v>2495299.9775546165</v>
      </c>
      <c r="P22" s="329">
        <f t="shared" si="0"/>
        <v>28047511.784182783</v>
      </c>
      <c r="Q22" s="81"/>
    </row>
    <row r="23" spans="1:17">
      <c r="A23" s="389">
        <f t="shared" si="1"/>
        <v>12</v>
      </c>
      <c r="B23" s="212">
        <v>9200</v>
      </c>
      <c r="C23" s="81" t="s">
        <v>176</v>
      </c>
      <c r="D23" s="824">
        <v>299736.38</v>
      </c>
      <c r="E23" s="824">
        <v>227416.36</v>
      </c>
      <c r="F23" s="824">
        <v>348266.43000000005</v>
      </c>
      <c r="G23" s="824">
        <v>421978.9</v>
      </c>
      <c r="H23" s="824">
        <v>632422.08000000007</v>
      </c>
      <c r="I23" s="824">
        <v>360485.97</v>
      </c>
      <c r="J23" s="608">
        <v>429535.13496820984</v>
      </c>
      <c r="K23" s="608">
        <v>412340.65019464487</v>
      </c>
      <c r="L23" s="608">
        <v>393883.36428248935</v>
      </c>
      <c r="M23" s="608">
        <v>437084.35616342875</v>
      </c>
      <c r="N23" s="608">
        <v>399089.32910614967</v>
      </c>
      <c r="O23" s="608">
        <v>428925.35692301876</v>
      </c>
      <c r="P23" s="329">
        <f t="shared" si="0"/>
        <v>4791164.3116379408</v>
      </c>
      <c r="Q23" s="81"/>
    </row>
    <row r="24" spans="1:17">
      <c r="A24" s="389">
        <f t="shared" si="1"/>
        <v>13</v>
      </c>
      <c r="B24" s="212">
        <v>9210</v>
      </c>
      <c r="C24" s="81" t="s">
        <v>910</v>
      </c>
      <c r="D24" s="824">
        <v>896087.37</v>
      </c>
      <c r="E24" s="824">
        <v>1075335.8399999999</v>
      </c>
      <c r="F24" s="824">
        <v>958046.69000000006</v>
      </c>
      <c r="G24" s="824">
        <v>1100712.0499999998</v>
      </c>
      <c r="H24" s="824">
        <v>1148787.7300000002</v>
      </c>
      <c r="I24" s="824">
        <v>1159463.5999999996</v>
      </c>
      <c r="J24" s="608">
        <v>270932.7367156088</v>
      </c>
      <c r="K24" s="608">
        <v>246085.22564649372</v>
      </c>
      <c r="L24" s="608">
        <v>244691.12669076002</v>
      </c>
      <c r="M24" s="608">
        <v>710379.95047561871</v>
      </c>
      <c r="N24" s="608">
        <v>688759.85376555589</v>
      </c>
      <c r="O24" s="608">
        <v>709551.19983445969</v>
      </c>
      <c r="P24" s="329">
        <f t="shared" si="0"/>
        <v>9208833.373128498</v>
      </c>
      <c r="Q24" s="81"/>
    </row>
    <row r="25" spans="1:17">
      <c r="A25" s="389">
        <f t="shared" si="1"/>
        <v>14</v>
      </c>
      <c r="B25" s="212">
        <v>9220</v>
      </c>
      <c r="C25" s="81" t="s">
        <v>911</v>
      </c>
      <c r="D25" s="824">
        <v>-5518126.3299999991</v>
      </c>
      <c r="E25" s="824">
        <v>-4953330.0199999996</v>
      </c>
      <c r="F25" s="824">
        <v>-4747445.959999999</v>
      </c>
      <c r="G25" s="824">
        <v>-5206149.16</v>
      </c>
      <c r="H25" s="824">
        <v>-5544998.4199999999</v>
      </c>
      <c r="I25" s="824">
        <v>-4584404.9600000009</v>
      </c>
      <c r="J25" s="332">
        <f>-(SUM(J12:J24)+SUM(J26:J32))</f>
        <v>-4551308.75</v>
      </c>
      <c r="K25" s="332">
        <f t="shared" ref="K25:O25" si="2">-(SUM(K12:K24)+SUM(K26:K32))</f>
        <v>-4267010.3499999996</v>
      </c>
      <c r="L25" s="332">
        <f t="shared" si="2"/>
        <v>-4088246.2500000014</v>
      </c>
      <c r="M25" s="332">
        <f t="shared" si="2"/>
        <v>-5205494.0943390885</v>
      </c>
      <c r="N25" s="332">
        <f t="shared" si="2"/>
        <v>-4851146.5448093927</v>
      </c>
      <c r="O25" s="332">
        <f t="shared" si="2"/>
        <v>-5191292.9655873906</v>
      </c>
      <c r="P25" s="329">
        <f t="shared" si="0"/>
        <v>-58708953.804735877</v>
      </c>
      <c r="Q25" s="329"/>
    </row>
    <row r="26" spans="1:17">
      <c r="A26" s="389">
        <f t="shared" si="1"/>
        <v>15</v>
      </c>
      <c r="B26" s="212">
        <v>9230</v>
      </c>
      <c r="C26" s="81" t="s">
        <v>912</v>
      </c>
      <c r="D26" s="824">
        <v>60626.02</v>
      </c>
      <c r="E26" s="824">
        <v>62466.1</v>
      </c>
      <c r="F26" s="824">
        <v>9033.630000000001</v>
      </c>
      <c r="G26" s="824">
        <v>82012.87999999999</v>
      </c>
      <c r="H26" s="824">
        <v>193635.58000000002</v>
      </c>
      <c r="I26" s="824">
        <v>-96275.68</v>
      </c>
      <c r="J26" s="608">
        <v>30594.978744751199</v>
      </c>
      <c r="K26" s="608">
        <v>30594.978744751199</v>
      </c>
      <c r="L26" s="608">
        <v>31252.845640094896</v>
      </c>
      <c r="M26" s="608">
        <v>57564.017114293034</v>
      </c>
      <c r="N26" s="608">
        <v>57493.660438094441</v>
      </c>
      <c r="O26" s="608">
        <v>57516.051531833327</v>
      </c>
      <c r="P26" s="329">
        <f t="shared" si="0"/>
        <v>576515.06221381808</v>
      </c>
      <c r="Q26" s="81"/>
    </row>
    <row r="27" spans="1:17">
      <c r="A27" s="389">
        <f t="shared" si="1"/>
        <v>16</v>
      </c>
      <c r="B27" s="212">
        <v>9240</v>
      </c>
      <c r="C27" s="81" t="s">
        <v>913</v>
      </c>
      <c r="D27" s="824">
        <v>6316.47</v>
      </c>
      <c r="E27" s="824">
        <v>6316.47</v>
      </c>
      <c r="F27" s="824">
        <v>6100.58</v>
      </c>
      <c r="G27" s="824">
        <v>6100.58</v>
      </c>
      <c r="H27" s="824">
        <v>6100.58</v>
      </c>
      <c r="I27" s="824">
        <v>6100.58</v>
      </c>
      <c r="J27" s="608">
        <v>0</v>
      </c>
      <c r="K27" s="608">
        <v>0</v>
      </c>
      <c r="L27" s="608">
        <v>0</v>
      </c>
      <c r="M27" s="608">
        <v>0</v>
      </c>
      <c r="N27" s="608">
        <v>0</v>
      </c>
      <c r="O27" s="608">
        <v>0</v>
      </c>
      <c r="P27" s="329">
        <f t="shared" si="0"/>
        <v>37035.26</v>
      </c>
      <c r="Q27" s="81"/>
    </row>
    <row r="28" spans="1:17">
      <c r="A28" s="389">
        <f t="shared" si="1"/>
        <v>17</v>
      </c>
      <c r="B28" s="212">
        <v>9250</v>
      </c>
      <c r="C28" t="s">
        <v>914</v>
      </c>
      <c r="D28" s="824">
        <v>47.67</v>
      </c>
      <c r="E28" s="824">
        <v>47.67</v>
      </c>
      <c r="F28" s="824">
        <v>47.67</v>
      </c>
      <c r="G28" s="824">
        <v>38.409999999999997</v>
      </c>
      <c r="H28" s="824">
        <v>38.4</v>
      </c>
      <c r="I28" s="824">
        <v>38.4</v>
      </c>
      <c r="J28" s="608">
        <v>0</v>
      </c>
      <c r="K28" s="608">
        <v>0</v>
      </c>
      <c r="L28" s="608">
        <v>0</v>
      </c>
      <c r="M28" s="608">
        <v>0</v>
      </c>
      <c r="N28" s="608">
        <v>0</v>
      </c>
      <c r="O28" s="608">
        <v>0</v>
      </c>
      <c r="P28" s="329">
        <f t="shared" si="0"/>
        <v>258.21999999999997</v>
      </c>
      <c r="Q28" s="81"/>
    </row>
    <row r="29" spans="1:17">
      <c r="A29" s="389">
        <f t="shared" si="1"/>
        <v>18</v>
      </c>
      <c r="B29" s="212">
        <v>9260</v>
      </c>
      <c r="C29" s="81" t="s">
        <v>915</v>
      </c>
      <c r="D29" s="824">
        <v>1128721.5899999999</v>
      </c>
      <c r="E29" s="824">
        <v>963227.0199999999</v>
      </c>
      <c r="F29" s="824">
        <v>922625.00999999989</v>
      </c>
      <c r="G29" s="824">
        <v>940287.6</v>
      </c>
      <c r="H29" s="824">
        <v>1106148.05</v>
      </c>
      <c r="I29" s="824">
        <v>825980.24</v>
      </c>
      <c r="J29" s="608">
        <v>882197.80933474551</v>
      </c>
      <c r="K29" s="608">
        <v>803714.28742536192</v>
      </c>
      <c r="L29" s="608">
        <v>761982.07636357308</v>
      </c>
      <c r="M29" s="608">
        <v>1001868.3355627197</v>
      </c>
      <c r="N29" s="608">
        <v>999348.98600645026</v>
      </c>
      <c r="O29" s="608">
        <v>1097936.9426256672</v>
      </c>
      <c r="P29" s="329">
        <f>SUM(D29:O29)</f>
        <v>11434037.947318517</v>
      </c>
      <c r="Q29" s="81"/>
    </row>
    <row r="30" spans="1:17">
      <c r="A30" s="389">
        <f t="shared" si="1"/>
        <v>19</v>
      </c>
      <c r="B30" s="212">
        <v>9302</v>
      </c>
      <c r="C30" t="s">
        <v>1607</v>
      </c>
      <c r="D30" s="825">
        <f>0</f>
        <v>0</v>
      </c>
      <c r="E30" s="825">
        <f>0</f>
        <v>0</v>
      </c>
      <c r="F30" s="825">
        <f>0</f>
        <v>0</v>
      </c>
      <c r="G30" s="825">
        <f>0</f>
        <v>0</v>
      </c>
      <c r="H30" s="825">
        <f>0</f>
        <v>0</v>
      </c>
      <c r="I30" s="825">
        <f>0</f>
        <v>0</v>
      </c>
      <c r="J30" s="608">
        <v>791</v>
      </c>
      <c r="K30" s="608">
        <v>666</v>
      </c>
      <c r="L30" s="608">
        <v>664</v>
      </c>
      <c r="M30" s="608">
        <v>791</v>
      </c>
      <c r="N30" s="608">
        <v>666</v>
      </c>
      <c r="O30" s="608">
        <v>666</v>
      </c>
      <c r="P30" s="329">
        <f>SUM(D30:O30)</f>
        <v>4244</v>
      </c>
      <c r="Q30" s="81"/>
    </row>
    <row r="31" spans="1:17">
      <c r="A31" s="389">
        <f t="shared" si="1"/>
        <v>20</v>
      </c>
      <c r="B31" s="212">
        <v>9310</v>
      </c>
      <c r="C31" s="81" t="s">
        <v>178</v>
      </c>
      <c r="D31" s="824">
        <v>115008.77000000002</v>
      </c>
      <c r="E31" s="824">
        <v>139627.37</v>
      </c>
      <c r="F31" s="824">
        <v>96748.54</v>
      </c>
      <c r="G31" s="824">
        <v>132518.51</v>
      </c>
      <c r="H31" s="824">
        <v>137847.57</v>
      </c>
      <c r="I31" s="824">
        <v>96770.76</v>
      </c>
      <c r="J31" s="608">
        <v>109838.93491625394</v>
      </c>
      <c r="K31" s="608">
        <v>106680.42998459002</v>
      </c>
      <c r="L31" s="608">
        <v>106680.42998459002</v>
      </c>
      <c r="M31" s="608">
        <v>112016.30036475514</v>
      </c>
      <c r="N31" s="608">
        <v>111816.00493006426</v>
      </c>
      <c r="O31" s="608">
        <v>111816.00493006426</v>
      </c>
      <c r="P31" s="329">
        <f>SUM(D31:O31)</f>
        <v>1377369.6251103177</v>
      </c>
      <c r="Q31" s="81"/>
    </row>
    <row r="32" spans="1:17">
      <c r="A32" s="389">
        <f t="shared" si="1"/>
        <v>21</v>
      </c>
      <c r="B32" s="212">
        <v>9320</v>
      </c>
      <c r="C32" s="81" t="s">
        <v>179</v>
      </c>
      <c r="D32" s="824">
        <v>67.2</v>
      </c>
      <c r="E32" s="824">
        <v>271.17</v>
      </c>
      <c r="F32" s="824">
        <v>0</v>
      </c>
      <c r="G32" s="824">
        <v>0</v>
      </c>
      <c r="H32" s="824">
        <v>205.52</v>
      </c>
      <c r="I32" s="824">
        <v>411.04</v>
      </c>
      <c r="J32" s="608">
        <v>0.67170653205553832</v>
      </c>
      <c r="K32" s="608">
        <v>0.43525328169898408</v>
      </c>
      <c r="L32" s="608">
        <v>0.43346027126974007</v>
      </c>
      <c r="M32" s="608">
        <v>101.23460404981975</v>
      </c>
      <c r="N32" s="608">
        <v>100.29437851714366</v>
      </c>
      <c r="O32" s="608">
        <v>106.37016559818858</v>
      </c>
      <c r="P32" s="329">
        <f>SUM(D32:O32)</f>
        <v>1264.3695682501764</v>
      </c>
      <c r="Q32" s="81"/>
    </row>
    <row r="33" spans="1:17">
      <c r="A33" s="389">
        <f t="shared" si="1"/>
        <v>22</v>
      </c>
      <c r="B33" s="81"/>
      <c r="C33" s="460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16"/>
      <c r="Q33" s="116"/>
    </row>
    <row r="34" spans="1:17" ht="15.75" thickBot="1">
      <c r="A34" s="389">
        <f t="shared" si="1"/>
        <v>23</v>
      </c>
      <c r="B34" s="116" t="s">
        <v>706</v>
      </c>
      <c r="C34" s="460"/>
      <c r="D34" s="827">
        <f>SUM(D12:D32)</f>
        <v>-9.9999997299136112E-3</v>
      </c>
      <c r="E34" s="827">
        <f t="shared" ref="E34:I34" si="3">SUM(E12:E32)</f>
        <v>2.9999999869630756E-2</v>
      </c>
      <c r="F34" s="827">
        <f t="shared" si="3"/>
        <v>-1.9999998898128979E-2</v>
      </c>
      <c r="G34" s="827">
        <f t="shared" si="3"/>
        <v>-5.8207660913467407E-10</v>
      </c>
      <c r="H34" s="827">
        <f t="shared" si="3"/>
        <v>118873.94000000034</v>
      </c>
      <c r="I34" s="827">
        <f t="shared" si="3"/>
        <v>-115373.66000000091</v>
      </c>
      <c r="J34" s="827">
        <f t="shared" ref="J34:P34" si="4">SUM(J12:J33)</f>
        <v>-2.8961166798069371E-11</v>
      </c>
      <c r="K34" s="827">
        <f t="shared" si="4"/>
        <v>3.0531360772911853E-10</v>
      </c>
      <c r="L34" s="827">
        <f t="shared" si="4"/>
        <v>3.6396552438588969E-11</v>
      </c>
      <c r="M34" s="827">
        <f t="shared" si="4"/>
        <v>3.8940584090596531E-10</v>
      </c>
      <c r="N34" s="827">
        <f t="shared" si="4"/>
        <v>-2.2654944586975034E-10</v>
      </c>
      <c r="O34" s="827">
        <f t="shared" si="4"/>
        <v>-2.1555024432018399E-10</v>
      </c>
      <c r="P34" s="827">
        <f t="shared" si="4"/>
        <v>3500.2799999954059</v>
      </c>
      <c r="Q34" s="118"/>
    </row>
    <row r="35" spans="1:17" ht="15.75" thickTop="1">
      <c r="A35" s="389">
        <f t="shared" si="1"/>
        <v>24</v>
      </c>
      <c r="B35" s="116"/>
      <c r="C35" s="460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</row>
    <row r="36" spans="1:17">
      <c r="A36" s="389">
        <f t="shared" si="1"/>
        <v>25</v>
      </c>
      <c r="B36" s="829">
        <f>B25</f>
        <v>9220</v>
      </c>
      <c r="C36" s="833" t="str">
        <f>C25</f>
        <v>A&amp;G-Administrative expense transferred-Credit</v>
      </c>
      <c r="D36" s="830">
        <f>D25</f>
        <v>-5518126.3299999991</v>
      </c>
      <c r="E36" s="830">
        <f t="shared" ref="E36:I36" si="5">E25</f>
        <v>-4953330.0199999996</v>
      </c>
      <c r="F36" s="830">
        <f t="shared" si="5"/>
        <v>-4747445.959999999</v>
      </c>
      <c r="G36" s="830">
        <f t="shared" si="5"/>
        <v>-5206149.16</v>
      </c>
      <c r="H36" s="830">
        <f t="shared" si="5"/>
        <v>-5544998.4199999999</v>
      </c>
      <c r="I36" s="830">
        <f t="shared" si="5"/>
        <v>-4584404.9600000009</v>
      </c>
      <c r="J36" s="830">
        <f t="shared" ref="J36:K36" si="6">-(J34-J25)</f>
        <v>-4551308.75</v>
      </c>
      <c r="K36" s="830">
        <f t="shared" si="6"/>
        <v>-4267010.3499999996</v>
      </c>
      <c r="L36" s="834">
        <f>L25</f>
        <v>-4088246.2500000014</v>
      </c>
      <c r="M36" s="834">
        <f>M25</f>
        <v>-5205494.0943390885</v>
      </c>
      <c r="N36" s="834">
        <f>N25</f>
        <v>-4851146.5448093927</v>
      </c>
      <c r="O36" s="834">
        <f>O25</f>
        <v>-5191292.9655873906</v>
      </c>
      <c r="P36" s="329">
        <f t="shared" ref="P36" si="7">SUM(D36:O36)</f>
        <v>-58708953.804735877</v>
      </c>
      <c r="Q36" s="116"/>
    </row>
    <row r="37" spans="1:17">
      <c r="A37" s="389">
        <f t="shared" si="1"/>
        <v>26</v>
      </c>
      <c r="B37" s="116"/>
      <c r="C37" s="213" t="s">
        <v>189</v>
      </c>
      <c r="D37" s="831">
        <f>D38/D36</f>
        <v>4.0551699366404327E-2</v>
      </c>
      <c r="E37" s="831">
        <f t="shared" ref="E37:I37" si="8">E38/E36</f>
        <v>3.9196245599642084E-2</v>
      </c>
      <c r="F37" s="831">
        <f t="shared" si="8"/>
        <v>3.9802909099359192E-2</v>
      </c>
      <c r="G37" s="831">
        <f t="shared" si="8"/>
        <v>3.9196082119168481E-2</v>
      </c>
      <c r="H37" s="831">
        <f t="shared" si="8"/>
        <v>3.8173190318059637E-2</v>
      </c>
      <c r="I37" s="831">
        <f t="shared" si="8"/>
        <v>4.006848470035683E-2</v>
      </c>
      <c r="J37" s="832">
        <f>Allocation!$I$15</f>
        <v>5.3911399999999998E-2</v>
      </c>
      <c r="K37" s="832">
        <f>Allocation!$I$15</f>
        <v>5.3911399999999998E-2</v>
      </c>
      <c r="L37" s="832">
        <f>Allocation!$I$15</f>
        <v>5.3911399999999998E-2</v>
      </c>
      <c r="M37" s="832">
        <f>Allocation!$I$15</f>
        <v>5.3911399999999998E-2</v>
      </c>
      <c r="N37" s="832">
        <f>Allocation!$I$15</f>
        <v>5.3911399999999998E-2</v>
      </c>
      <c r="O37" s="832">
        <f>Allocation!$I$15</f>
        <v>5.3911399999999998E-2</v>
      </c>
      <c r="P37" s="831">
        <f>P38/P36</f>
        <v>4.6400980913555274E-2</v>
      </c>
      <c r="Q37" s="116"/>
    </row>
    <row r="38" spans="1:17">
      <c r="A38" s="389">
        <f t="shared" si="1"/>
        <v>27</v>
      </c>
      <c r="B38" s="116"/>
      <c r="C38" s="116" t="s">
        <v>202</v>
      </c>
      <c r="D38" s="782">
        <v>-223769.4</v>
      </c>
      <c r="E38" s="782">
        <v>-194151.94</v>
      </c>
      <c r="F38" s="782">
        <v>-188962.16</v>
      </c>
      <c r="G38" s="782">
        <v>-204060.65</v>
      </c>
      <c r="H38" s="782">
        <v>-211670.28</v>
      </c>
      <c r="I38" s="782">
        <v>-183690.16</v>
      </c>
      <c r="J38" s="329">
        <f t="shared" ref="J38:O38" si="9">J36*J37</f>
        <v>-245367.42654474999</v>
      </c>
      <c r="K38" s="329">
        <f t="shared" si="9"/>
        <v>-230040.50178298997</v>
      </c>
      <c r="L38" s="329">
        <f t="shared" si="9"/>
        <v>-220403.07888225006</v>
      </c>
      <c r="M38" s="329">
        <f t="shared" si="9"/>
        <v>-280635.47431755235</v>
      </c>
      <c r="N38" s="329">
        <f t="shared" si="9"/>
        <v>-261532.10183583709</v>
      </c>
      <c r="O38" s="329">
        <f t="shared" si="9"/>
        <v>-279869.87158496806</v>
      </c>
      <c r="P38" s="329">
        <f>SUM(D38:O38)</f>
        <v>-2724153.0449483478</v>
      </c>
      <c r="Q38" s="116"/>
    </row>
    <row r="39" spans="1:17">
      <c r="A39" s="389"/>
      <c r="B39" s="116"/>
      <c r="C39" s="460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464"/>
      <c r="Q39" s="116"/>
    </row>
    <row r="40" spans="1:17">
      <c r="A40" s="116"/>
      <c r="B40" s="116"/>
      <c r="C40" s="460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17">
      <c r="A41" s="116"/>
      <c r="B41" s="116" t="s">
        <v>535</v>
      </c>
      <c r="C41" s="460"/>
      <c r="D41" s="118"/>
      <c r="E41" s="118"/>
      <c r="F41" s="118"/>
      <c r="G41" s="118"/>
      <c r="H41" s="118"/>
      <c r="I41" s="118"/>
      <c r="J41" s="116"/>
      <c r="K41" s="116"/>
      <c r="L41" s="116"/>
      <c r="M41" s="116"/>
      <c r="N41" s="116"/>
      <c r="O41" s="116"/>
      <c r="P41" s="118"/>
      <c r="Q41" s="116"/>
    </row>
    <row r="42" spans="1:17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1:17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329"/>
      <c r="Q43" s="116"/>
    </row>
    <row r="44" spans="1:17">
      <c r="A44" s="116"/>
      <c r="B44" s="116" t="s">
        <v>919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</row>
    <row r="45" spans="1:17">
      <c r="A45" s="116"/>
      <c r="B45" t="s">
        <v>1672</v>
      </c>
      <c r="C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329"/>
      <c r="Q45" s="116"/>
    </row>
    <row r="46" spans="1:17">
      <c r="A46" s="116"/>
      <c r="B46" t="s">
        <v>1671</v>
      </c>
      <c r="C46" s="116"/>
      <c r="D46" s="329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</row>
    <row r="47" spans="1:17">
      <c r="A47" s="116"/>
      <c r="B47" t="s">
        <v>1673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</row>
    <row r="48" spans="1:17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Q48" s="116"/>
    </row>
    <row r="49" spans="1:17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</row>
    <row r="50" spans="1:17">
      <c r="A50" s="116"/>
      <c r="B50" s="116"/>
      <c r="C50" s="329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</row>
    <row r="51" spans="1:17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</row>
    <row r="52" spans="1:17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</row>
    <row r="53" spans="1:17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</row>
    <row r="54" spans="1:17">
      <c r="A54" s="116"/>
    </row>
    <row r="56" spans="1:17">
      <c r="C56" s="329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63" header="0.5" footer="0.25"/>
  <pageSetup scale="47" fitToHeight="2" orientation="landscape" verticalDpi="300" r:id="rId1"/>
  <headerFooter alignWithMargins="0">
    <oddFooter>&amp;RSchedule &amp;A
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rgb="FF92D050"/>
  </sheetPr>
  <dimension ref="A1:R77"/>
  <sheetViews>
    <sheetView view="pageBreakPreview" topLeftCell="A39" zoomScale="80" zoomScaleNormal="100" zoomScaleSheetLayoutView="80" workbookViewId="0">
      <selection activeCell="B70" sqref="B70:B72"/>
    </sheetView>
  </sheetViews>
  <sheetFormatPr defaultColWidth="7.109375" defaultRowHeight="15"/>
  <cols>
    <col min="1" max="1" width="6.21875" customWidth="1"/>
    <col min="2" max="2" width="7.21875" customWidth="1"/>
    <col min="3" max="3" width="38.88671875" customWidth="1"/>
    <col min="4" max="5" width="11.109375" customWidth="1"/>
    <col min="6" max="6" width="11.77734375" bestFit="1" customWidth="1"/>
    <col min="7" max="7" width="11.33203125" bestFit="1" customWidth="1"/>
    <col min="8" max="8" width="11.109375" customWidth="1"/>
    <col min="9" max="9" width="12" bestFit="1" customWidth="1"/>
    <col min="10" max="13" width="11.33203125" bestFit="1" customWidth="1"/>
    <col min="14" max="14" width="12.44140625" customWidth="1"/>
    <col min="15" max="15" width="10.5546875" bestFit="1" customWidth="1"/>
    <col min="16" max="16" width="12.44140625" customWidth="1"/>
    <col min="17" max="17" width="12.5546875" customWidth="1"/>
  </cols>
  <sheetData>
    <row r="1" spans="1:18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  <c r="R1" s="1"/>
    </row>
    <row r="2" spans="1:18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  <c r="R2" s="1"/>
    </row>
    <row r="3" spans="1:18" ht="15.75">
      <c r="A3" s="1072" t="s">
        <v>184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  <c r="R3" s="1"/>
    </row>
    <row r="4" spans="1:18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30"/>
      <c r="R4" s="30"/>
    </row>
    <row r="5" spans="1:18">
      <c r="A5" s="1"/>
      <c r="B5" s="25"/>
      <c r="C5" s="25"/>
      <c r="D5" s="25"/>
      <c r="E5" s="25"/>
      <c r="F5" s="25"/>
      <c r="G5" s="456"/>
      <c r="H5" s="110"/>
      <c r="I5" s="110"/>
      <c r="J5" s="110"/>
      <c r="K5" s="110"/>
      <c r="L5" s="110"/>
      <c r="M5" s="110"/>
      <c r="N5" s="110"/>
      <c r="O5" s="110"/>
      <c r="P5" s="30"/>
      <c r="Q5" s="30"/>
      <c r="R5" s="30"/>
    </row>
    <row r="6" spans="1:18" ht="15.75">
      <c r="A6" s="699" t="str">
        <f>'C.2.2 B 09'!A6</f>
        <v>Data:___X____Base Period________Forecasted Period</v>
      </c>
      <c r="B6" s="30"/>
      <c r="C6" s="98"/>
      <c r="D6" s="30"/>
      <c r="E6" s="30"/>
      <c r="F6" s="457"/>
      <c r="G6" s="30"/>
      <c r="H6" s="30"/>
      <c r="I6" s="30"/>
      <c r="J6" s="30"/>
      <c r="K6" s="30"/>
      <c r="L6" s="30"/>
      <c r="M6" s="30"/>
      <c r="N6" s="30"/>
      <c r="O6" s="30"/>
      <c r="P6" s="291" t="s">
        <v>1343</v>
      </c>
      <c r="Q6" s="30"/>
      <c r="R6" s="30"/>
    </row>
    <row r="7" spans="1:18">
      <c r="A7" s="699" t="str">
        <f>'C.2.2 B 09'!A7</f>
        <v>Type of Filing:___X____Original________Updated ________Revised</v>
      </c>
      <c r="B7" s="30"/>
      <c r="C7" s="98"/>
      <c r="D7" s="30"/>
      <c r="E7" s="30"/>
      <c r="F7" s="30"/>
      <c r="G7" s="30"/>
      <c r="H7" s="30"/>
      <c r="I7" s="30"/>
      <c r="P7" s="292" t="s">
        <v>35</v>
      </c>
      <c r="Q7" s="30"/>
      <c r="R7" s="30"/>
    </row>
    <row r="8" spans="1:18">
      <c r="A8" s="717" t="str">
        <f>'C.2.2 B 09'!A8</f>
        <v>Workpaper Reference No(s).____________________</v>
      </c>
      <c r="B8" s="43"/>
      <c r="C8" s="111"/>
      <c r="D8" s="106"/>
      <c r="E8" s="106"/>
      <c r="F8" s="106"/>
      <c r="G8" s="106"/>
      <c r="H8" s="106"/>
      <c r="I8" s="106"/>
      <c r="J8" s="106"/>
      <c r="K8" s="106"/>
      <c r="L8" s="106"/>
      <c r="M8" s="43"/>
      <c r="N8" s="43"/>
      <c r="O8" s="43"/>
      <c r="P8" s="801" t="str">
        <f>C.1!J9</f>
        <v>Witness: Waller, Wiebe, Troup</v>
      </c>
      <c r="Q8" s="30"/>
      <c r="R8" s="30"/>
    </row>
    <row r="9" spans="1:18">
      <c r="A9" s="450" t="s">
        <v>88</v>
      </c>
      <c r="B9" s="451" t="s">
        <v>95</v>
      </c>
      <c r="C9" s="452"/>
      <c r="D9" s="793" t="str">
        <f>'C.2.2 B 09'!D9</f>
        <v>actual</v>
      </c>
      <c r="E9" s="793" t="str">
        <f>'C.2.2 B 09'!F9</f>
        <v>actual</v>
      </c>
      <c r="F9" s="793" t="str">
        <f>'C.2.2 B 09'!F9</f>
        <v>actual</v>
      </c>
      <c r="G9" s="793" t="str">
        <f>'C.2.2 B 09'!G9</f>
        <v>actual</v>
      </c>
      <c r="H9" s="793" t="str">
        <f>'C.2.2 B 09'!H9</f>
        <v>actual</v>
      </c>
      <c r="I9" s="793" t="str">
        <f>'C.2.2 B 09'!I9</f>
        <v>actual</v>
      </c>
      <c r="J9" s="793" t="str">
        <f>'C.2.2 B 09'!J9</f>
        <v>Budgeted</v>
      </c>
      <c r="K9" s="793" t="str">
        <f>'C.2.2 B 09'!K9</f>
        <v>Budgeted</v>
      </c>
      <c r="L9" s="793" t="str">
        <f>'C.2.2 B 09'!L9</f>
        <v>Budgeted</v>
      </c>
      <c r="M9" s="793" t="str">
        <f>'C.2.2 B 09'!M9</f>
        <v>Budgeted</v>
      </c>
      <c r="N9" s="793" t="str">
        <f>'C.2.2 B 09'!N9</f>
        <v>Budgeted</v>
      </c>
      <c r="O9" s="793" t="str">
        <f>'C.2.2 B 09'!O9</f>
        <v>Budgeted</v>
      </c>
      <c r="P9" s="459"/>
      <c r="Q9" s="50"/>
      <c r="R9" s="50"/>
    </row>
    <row r="10" spans="1:18">
      <c r="A10" s="453" t="s">
        <v>94</v>
      </c>
      <c r="B10" s="121" t="s">
        <v>94</v>
      </c>
      <c r="C10" s="454" t="s">
        <v>918</v>
      </c>
      <c r="D10" s="828">
        <f>'C.2.2 B 09'!D10</f>
        <v>45292</v>
      </c>
      <c r="E10" s="828">
        <f>'C.2.2 B 09'!E10</f>
        <v>45323</v>
      </c>
      <c r="F10" s="828">
        <f>'C.2.2 B 09'!F10</f>
        <v>45352</v>
      </c>
      <c r="G10" s="828">
        <f>'C.2.2 B 09'!G10</f>
        <v>45383</v>
      </c>
      <c r="H10" s="828">
        <f>'C.2.2 B 09'!H10</f>
        <v>45413</v>
      </c>
      <c r="I10" s="828">
        <f>'C.2.2 B 09'!I10</f>
        <v>45444</v>
      </c>
      <c r="J10" s="828">
        <f>'C.2.2 B 09'!J10</f>
        <v>45474</v>
      </c>
      <c r="K10" s="828">
        <f>'C.2.2 B 09'!K10</f>
        <v>45505</v>
      </c>
      <c r="L10" s="828">
        <f>'C.2.2 B 09'!L10</f>
        <v>45536</v>
      </c>
      <c r="M10" s="828">
        <f>'C.2.2 B 09'!M10</f>
        <v>45566</v>
      </c>
      <c r="N10" s="828">
        <f>'C.2.2 B 09'!N10</f>
        <v>45597</v>
      </c>
      <c r="O10" s="828">
        <f>'C.2.2 B 09'!O10</f>
        <v>45627</v>
      </c>
      <c r="P10" s="828" t="str">
        <f>'C.2.2 B 09'!P10</f>
        <v>Total</v>
      </c>
      <c r="Q10" s="50"/>
      <c r="R10" s="50"/>
    </row>
    <row r="11" spans="1:18">
      <c r="A11" s="30"/>
      <c r="B11" s="30"/>
      <c r="C11" s="30"/>
      <c r="D11" s="104" t="s">
        <v>140</v>
      </c>
      <c r="E11" s="104" t="s">
        <v>140</v>
      </c>
      <c r="F11" s="104" t="s">
        <v>140</v>
      </c>
      <c r="G11" s="104" t="s">
        <v>140</v>
      </c>
      <c r="H11" s="104" t="s">
        <v>140</v>
      </c>
      <c r="I11" s="104" t="s">
        <v>140</v>
      </c>
      <c r="J11" s="104" t="s">
        <v>140</v>
      </c>
      <c r="K11" s="104" t="s">
        <v>140</v>
      </c>
      <c r="L11" s="104" t="s">
        <v>140</v>
      </c>
      <c r="M11" s="104" t="s">
        <v>140</v>
      </c>
      <c r="N11" s="104" t="s">
        <v>140</v>
      </c>
      <c r="O11" s="104" t="s">
        <v>140</v>
      </c>
      <c r="P11" s="104" t="s">
        <v>140</v>
      </c>
      <c r="Q11" s="104"/>
      <c r="R11" s="30"/>
    </row>
    <row r="12" spans="1:18">
      <c r="A12" s="50">
        <v>1</v>
      </c>
      <c r="B12" s="178">
        <v>4030</v>
      </c>
      <c r="C12" s="30" t="s">
        <v>86</v>
      </c>
      <c r="D12" s="824">
        <v>0</v>
      </c>
      <c r="E12" s="824">
        <v>0</v>
      </c>
      <c r="F12" s="824">
        <v>0</v>
      </c>
      <c r="G12" s="824">
        <v>0</v>
      </c>
      <c r="H12" s="824">
        <v>0</v>
      </c>
      <c r="I12" s="824">
        <v>0</v>
      </c>
      <c r="J12" s="825">
        <f>0</f>
        <v>0</v>
      </c>
      <c r="K12" s="825">
        <f>0</f>
        <v>0</v>
      </c>
      <c r="L12" s="825">
        <f>0</f>
        <v>0</v>
      </c>
      <c r="M12" s="825">
        <f>0</f>
        <v>0</v>
      </c>
      <c r="N12" s="825">
        <f>0</f>
        <v>0</v>
      </c>
      <c r="O12" s="825">
        <f>0</f>
        <v>0</v>
      </c>
      <c r="P12" s="329">
        <f t="shared" ref="P12:P13" si="0">SUM(D12:O12)</f>
        <v>0</v>
      </c>
      <c r="Q12" s="329"/>
      <c r="R12" s="81"/>
    </row>
    <row r="13" spans="1:18">
      <c r="A13" s="389">
        <f>A12+1</f>
        <v>2</v>
      </c>
      <c r="B13" s="178" t="s">
        <v>1309</v>
      </c>
      <c r="C13" s="30" t="s">
        <v>830</v>
      </c>
      <c r="D13" s="824">
        <v>0</v>
      </c>
      <c r="E13" s="824">
        <v>0</v>
      </c>
      <c r="F13" s="824">
        <v>0</v>
      </c>
      <c r="G13" s="824">
        <v>0</v>
      </c>
      <c r="H13" s="824">
        <v>0</v>
      </c>
      <c r="I13" s="824">
        <v>0</v>
      </c>
      <c r="J13" s="825">
        <f>0</f>
        <v>0</v>
      </c>
      <c r="K13" s="825">
        <f>0</f>
        <v>0</v>
      </c>
      <c r="L13" s="825">
        <f>0</f>
        <v>0</v>
      </c>
      <c r="M13" s="825">
        <f>0</f>
        <v>0</v>
      </c>
      <c r="N13" s="825">
        <f>0</f>
        <v>0</v>
      </c>
      <c r="O13" s="825">
        <f>0</f>
        <v>0</v>
      </c>
      <c r="P13" s="329">
        <f t="shared" si="0"/>
        <v>0</v>
      </c>
      <c r="Q13" s="329"/>
      <c r="R13" s="81"/>
    </row>
    <row r="14" spans="1:18">
      <c r="A14" s="389">
        <f t="shared" ref="A14:A63" si="1">A13+1</f>
        <v>3</v>
      </c>
      <c r="B14" s="212">
        <v>4081</v>
      </c>
      <c r="C14" s="30" t="s">
        <v>831</v>
      </c>
      <c r="D14" s="824">
        <v>-1.0000000002037268E-2</v>
      </c>
      <c r="E14" s="824">
        <v>1.0000000009313226E-2</v>
      </c>
      <c r="F14" s="824">
        <v>0</v>
      </c>
      <c r="G14" s="824">
        <v>0</v>
      </c>
      <c r="H14" s="824">
        <v>0</v>
      </c>
      <c r="I14" s="824">
        <v>1.9999999989522621E-2</v>
      </c>
      <c r="J14" s="825">
        <f>0</f>
        <v>0</v>
      </c>
      <c r="K14" s="825">
        <f>0</f>
        <v>0</v>
      </c>
      <c r="L14" s="825">
        <f>0</f>
        <v>0</v>
      </c>
      <c r="M14" s="825">
        <f>0</f>
        <v>0</v>
      </c>
      <c r="N14" s="825">
        <f>0</f>
        <v>0</v>
      </c>
      <c r="O14" s="825">
        <f>0</f>
        <v>0</v>
      </c>
      <c r="P14" s="329">
        <f t="shared" ref="P14:P57" si="2">SUM(D14:O14)</f>
        <v>1.9999999996798579E-2</v>
      </c>
      <c r="Q14" s="81"/>
      <c r="R14" s="81"/>
    </row>
    <row r="15" spans="1:18">
      <c r="A15" s="389">
        <f t="shared" si="1"/>
        <v>4</v>
      </c>
      <c r="B15" s="212">
        <v>8170</v>
      </c>
      <c r="C15" s="30" t="s">
        <v>854</v>
      </c>
      <c r="D15" s="824">
        <v>45.38</v>
      </c>
      <c r="E15" s="824">
        <v>0.94</v>
      </c>
      <c r="F15" s="824">
        <v>70.83</v>
      </c>
      <c r="G15" s="824">
        <v>25</v>
      </c>
      <c r="H15" s="824">
        <v>86.96</v>
      </c>
      <c r="I15" s="824">
        <v>47.2</v>
      </c>
      <c r="J15" s="608">
        <v>93.362025908503227</v>
      </c>
      <c r="K15" s="608">
        <v>98.536952968706913</v>
      </c>
      <c r="L15" s="608">
        <v>102.13447749017962</v>
      </c>
      <c r="M15" s="608">
        <v>107.57807261349424</v>
      </c>
      <c r="N15" s="608">
        <v>111.19197344437158</v>
      </c>
      <c r="O15" s="608">
        <v>114.24303119834447</v>
      </c>
      <c r="P15" s="329">
        <f t="shared" si="2"/>
        <v>903.35653362360006</v>
      </c>
      <c r="Q15" s="81"/>
      <c r="R15" s="81"/>
    </row>
    <row r="16" spans="1:18">
      <c r="A16" s="389">
        <f t="shared" si="1"/>
        <v>5</v>
      </c>
      <c r="B16" s="212">
        <v>8180</v>
      </c>
      <c r="C16" s="30" t="s">
        <v>855</v>
      </c>
      <c r="D16" s="824">
        <v>57.230000000000018</v>
      </c>
      <c r="E16" s="824">
        <v>1.1799999999999997</v>
      </c>
      <c r="F16" s="824">
        <v>89.29000000000002</v>
      </c>
      <c r="G16" s="824">
        <v>31.47999999999999</v>
      </c>
      <c r="H16" s="824">
        <v>109.46999999999997</v>
      </c>
      <c r="I16" s="824">
        <v>59.470000000000027</v>
      </c>
      <c r="J16" s="608">
        <v>117.62581325058125</v>
      </c>
      <c r="K16" s="608">
        <v>124.14564824822196</v>
      </c>
      <c r="L16" s="608">
        <v>128.67813073678587</v>
      </c>
      <c r="M16" s="608">
        <v>135.53645774025404</v>
      </c>
      <c r="N16" s="608">
        <v>140.08957256507051</v>
      </c>
      <c r="O16" s="608">
        <v>143.93356744514369</v>
      </c>
      <c r="P16" s="329">
        <f t="shared" si="2"/>
        <v>1138.1291899860573</v>
      </c>
      <c r="Q16" s="81"/>
      <c r="R16" s="81"/>
    </row>
    <row r="17" spans="1:18">
      <c r="A17" s="389">
        <f t="shared" si="1"/>
        <v>6</v>
      </c>
      <c r="B17" s="212">
        <v>8190</v>
      </c>
      <c r="C17" s="30" t="s">
        <v>856</v>
      </c>
      <c r="D17" s="824">
        <v>0</v>
      </c>
      <c r="E17" s="824">
        <v>0</v>
      </c>
      <c r="F17" s="824">
        <v>0</v>
      </c>
      <c r="G17" s="824">
        <v>0</v>
      </c>
      <c r="H17" s="824">
        <v>0</v>
      </c>
      <c r="I17" s="824">
        <v>0</v>
      </c>
      <c r="J17" s="608">
        <v>0</v>
      </c>
      <c r="K17" s="608">
        <v>0</v>
      </c>
      <c r="L17" s="608">
        <v>0</v>
      </c>
      <c r="M17" s="608">
        <v>0</v>
      </c>
      <c r="N17" s="608">
        <v>0</v>
      </c>
      <c r="O17" s="608">
        <v>0</v>
      </c>
      <c r="P17" s="329">
        <f t="shared" si="2"/>
        <v>0</v>
      </c>
      <c r="Q17" s="81"/>
      <c r="R17" s="81"/>
    </row>
    <row r="18" spans="1:18">
      <c r="A18" s="389">
        <f t="shared" si="1"/>
        <v>7</v>
      </c>
      <c r="B18" s="212">
        <v>8210</v>
      </c>
      <c r="C18" s="30" t="s">
        <v>858</v>
      </c>
      <c r="D18" s="824">
        <v>99.58</v>
      </c>
      <c r="E18" s="824">
        <v>154.44999999999999</v>
      </c>
      <c r="F18" s="824">
        <v>115.3</v>
      </c>
      <c r="G18" s="824">
        <v>89.93</v>
      </c>
      <c r="H18" s="824">
        <v>85.01</v>
      </c>
      <c r="I18" s="824">
        <v>80.34</v>
      </c>
      <c r="J18" s="608">
        <v>211.04865912457097</v>
      </c>
      <c r="K18" s="608">
        <v>222.74679234839141</v>
      </c>
      <c r="L18" s="608">
        <v>230.87914293779124</v>
      </c>
      <c r="M18" s="608">
        <v>243.18461125226969</v>
      </c>
      <c r="N18" s="608">
        <v>251.35398115554608</v>
      </c>
      <c r="O18" s="608">
        <v>258.2510213774309</v>
      </c>
      <c r="P18" s="329">
        <f t="shared" si="2"/>
        <v>2042.0742081960002</v>
      </c>
      <c r="Q18" s="81"/>
      <c r="R18" s="81"/>
    </row>
    <row r="19" spans="1:18">
      <c r="A19" s="389">
        <f t="shared" si="1"/>
        <v>8</v>
      </c>
      <c r="B19" s="212">
        <v>8240</v>
      </c>
      <c r="C19" s="30" t="s">
        <v>859</v>
      </c>
      <c r="D19" s="824">
        <v>0</v>
      </c>
      <c r="E19" s="824">
        <v>0</v>
      </c>
      <c r="F19" s="824">
        <v>0</v>
      </c>
      <c r="G19" s="824">
        <v>0</v>
      </c>
      <c r="H19" s="824">
        <v>0</v>
      </c>
      <c r="I19" s="824">
        <v>0</v>
      </c>
      <c r="J19" s="608">
        <v>0</v>
      </c>
      <c r="K19" s="608">
        <v>0</v>
      </c>
      <c r="L19" s="608">
        <v>0</v>
      </c>
      <c r="M19" s="608">
        <v>0</v>
      </c>
      <c r="N19" s="608">
        <v>0</v>
      </c>
      <c r="O19" s="608">
        <v>0</v>
      </c>
      <c r="P19" s="329">
        <f t="shared" si="2"/>
        <v>0</v>
      </c>
      <c r="Q19" s="81"/>
      <c r="R19" s="81"/>
    </row>
    <row r="20" spans="1:18">
      <c r="A20" s="389">
        <f t="shared" si="1"/>
        <v>9</v>
      </c>
      <c r="B20" s="212">
        <v>8250</v>
      </c>
      <c r="C20" s="30" t="s">
        <v>870</v>
      </c>
      <c r="D20" s="824">
        <v>735.15000000000009</v>
      </c>
      <c r="E20" s="824">
        <v>525.28000000000009</v>
      </c>
      <c r="F20" s="824">
        <v>506.4</v>
      </c>
      <c r="G20" s="824">
        <v>649.79000000000042</v>
      </c>
      <c r="H20" s="824">
        <v>178.09</v>
      </c>
      <c r="I20" s="824">
        <v>129.95000000000005</v>
      </c>
      <c r="J20" s="608">
        <v>920.63181756672759</v>
      </c>
      <c r="K20" s="608">
        <v>971.66115694588336</v>
      </c>
      <c r="L20" s="608">
        <v>1007.1359177676989</v>
      </c>
      <c r="M20" s="608">
        <v>1060.8145609173871</v>
      </c>
      <c r="N20" s="608">
        <v>1096.4508065757359</v>
      </c>
      <c r="O20" s="608">
        <v>1126.5369236903525</v>
      </c>
      <c r="P20" s="329">
        <f t="shared" si="2"/>
        <v>8907.8911834637875</v>
      </c>
      <c r="Q20" s="81"/>
      <c r="R20" s="81"/>
    </row>
    <row r="21" spans="1:18">
      <c r="A21" s="389">
        <f t="shared" si="1"/>
        <v>10</v>
      </c>
      <c r="B21" s="212">
        <v>8500</v>
      </c>
      <c r="C21" s="30" t="s">
        <v>875</v>
      </c>
      <c r="D21" s="825">
        <f>0</f>
        <v>0</v>
      </c>
      <c r="E21" s="825">
        <f>0</f>
        <v>0</v>
      </c>
      <c r="F21" s="825">
        <f>0</f>
        <v>0</v>
      </c>
      <c r="G21" s="825">
        <f>0</f>
        <v>0</v>
      </c>
      <c r="H21" s="825">
        <f>0</f>
        <v>0</v>
      </c>
      <c r="I21" s="825">
        <f>0</f>
        <v>0</v>
      </c>
      <c r="J21" s="608">
        <v>0</v>
      </c>
      <c r="K21" s="608">
        <v>0</v>
      </c>
      <c r="L21" s="608">
        <v>0</v>
      </c>
      <c r="M21" s="608">
        <v>0</v>
      </c>
      <c r="N21" s="608">
        <v>0</v>
      </c>
      <c r="O21" s="608">
        <v>0</v>
      </c>
      <c r="P21" s="329">
        <f t="shared" si="2"/>
        <v>0</v>
      </c>
      <c r="Q21" s="81"/>
      <c r="R21" s="81"/>
    </row>
    <row r="22" spans="1:18">
      <c r="A22" s="389">
        <f t="shared" si="1"/>
        <v>11</v>
      </c>
      <c r="B22" s="212">
        <v>8560</v>
      </c>
      <c r="C22" s="30" t="s">
        <v>876</v>
      </c>
      <c r="D22" s="824">
        <v>73.56</v>
      </c>
      <c r="E22" s="824">
        <v>1.5099999999999998</v>
      </c>
      <c r="F22" s="824">
        <v>114.81999999999994</v>
      </c>
      <c r="G22" s="824">
        <v>40.460000000000008</v>
      </c>
      <c r="H22" s="824">
        <v>140.70000000000005</v>
      </c>
      <c r="I22" s="824">
        <v>76.430000000000007</v>
      </c>
      <c r="J22" s="608">
        <v>151.19843419904112</v>
      </c>
      <c r="K22" s="608">
        <v>159.57915281545002</v>
      </c>
      <c r="L22" s="608">
        <v>165.40529111253898</v>
      </c>
      <c r="M22" s="608">
        <v>174.22111372402901</v>
      </c>
      <c r="N22" s="608">
        <v>180.07377321445995</v>
      </c>
      <c r="O22" s="608">
        <v>185.01491658150348</v>
      </c>
      <c r="P22" s="329">
        <f t="shared" si="2"/>
        <v>1462.9726816470222</v>
      </c>
      <c r="Q22" s="81"/>
      <c r="R22" s="81"/>
    </row>
    <row r="23" spans="1:18">
      <c r="A23" s="389">
        <f t="shared" si="1"/>
        <v>12</v>
      </c>
      <c r="B23" s="212">
        <v>8570</v>
      </c>
      <c r="C23" s="1" t="s">
        <v>877</v>
      </c>
      <c r="D23" s="824">
        <v>90.9</v>
      </c>
      <c r="E23" s="824">
        <v>1.88</v>
      </c>
      <c r="F23" s="824">
        <v>141.83000000000001</v>
      </c>
      <c r="G23" s="824">
        <v>49.96</v>
      </c>
      <c r="H23" s="824">
        <v>173.72</v>
      </c>
      <c r="I23" s="824">
        <v>94.38</v>
      </c>
      <c r="J23" s="608">
        <v>186.74094625186376</v>
      </c>
      <c r="K23" s="608">
        <v>197.09173680726448</v>
      </c>
      <c r="L23" s="608">
        <v>204.28743684447747</v>
      </c>
      <c r="M23" s="608">
        <v>215.17561214324436</v>
      </c>
      <c r="N23" s="608">
        <v>222.4040677626609</v>
      </c>
      <c r="O23" s="608">
        <v>228.50673537833964</v>
      </c>
      <c r="P23" s="329">
        <f>SUM(D23:O23)</f>
        <v>1806.8765351878505</v>
      </c>
      <c r="Q23" s="81"/>
      <c r="R23" s="81"/>
    </row>
    <row r="24" spans="1:18">
      <c r="A24" s="389">
        <f t="shared" si="1"/>
        <v>13</v>
      </c>
      <c r="B24" s="212">
        <v>8600</v>
      </c>
      <c r="C24" s="30" t="s">
        <v>877</v>
      </c>
      <c r="D24" s="824">
        <v>0</v>
      </c>
      <c r="E24" s="824">
        <v>0</v>
      </c>
      <c r="F24" s="824">
        <v>0</v>
      </c>
      <c r="G24" s="824">
        <v>0</v>
      </c>
      <c r="H24" s="824">
        <v>554.5</v>
      </c>
      <c r="I24" s="824">
        <v>0</v>
      </c>
      <c r="J24" s="608">
        <v>2528.6939414980843</v>
      </c>
      <c r="K24" s="608">
        <v>2528.6939414980843</v>
      </c>
      <c r="L24" s="608">
        <v>2528.6939414980843</v>
      </c>
      <c r="M24" s="608">
        <v>2419.8381132950599</v>
      </c>
      <c r="N24" s="608">
        <v>2419.8381132950599</v>
      </c>
      <c r="O24" s="608">
        <v>2419.8381132950599</v>
      </c>
      <c r="P24" s="329">
        <f t="shared" si="2"/>
        <v>15400.096164379433</v>
      </c>
      <c r="Q24" s="81"/>
      <c r="R24" s="115"/>
    </row>
    <row r="25" spans="1:18">
      <c r="A25" s="389">
        <f t="shared" si="1"/>
        <v>14</v>
      </c>
      <c r="B25" s="212">
        <v>8650</v>
      </c>
      <c r="C25" s="353" t="s">
        <v>1317</v>
      </c>
      <c r="D25" s="825">
        <f>0</f>
        <v>0</v>
      </c>
      <c r="E25" s="825">
        <f>0</f>
        <v>0</v>
      </c>
      <c r="F25" s="825">
        <f>0</f>
        <v>0</v>
      </c>
      <c r="G25" s="825">
        <f>0</f>
        <v>0</v>
      </c>
      <c r="H25" s="825">
        <f>0</f>
        <v>0</v>
      </c>
      <c r="I25" s="825">
        <f>0</f>
        <v>0</v>
      </c>
      <c r="J25" s="608">
        <v>0</v>
      </c>
      <c r="K25" s="608">
        <v>0</v>
      </c>
      <c r="L25" s="608">
        <v>0</v>
      </c>
      <c r="M25" s="608">
        <v>0</v>
      </c>
      <c r="N25" s="608">
        <v>0</v>
      </c>
      <c r="O25" s="608">
        <v>0</v>
      </c>
      <c r="P25" s="329">
        <f t="shared" si="2"/>
        <v>0</v>
      </c>
      <c r="Q25" s="81"/>
      <c r="R25" s="115"/>
    </row>
    <row r="26" spans="1:18">
      <c r="A26" s="389">
        <f t="shared" si="1"/>
        <v>15</v>
      </c>
      <c r="B26" s="212">
        <v>8700</v>
      </c>
      <c r="C26" s="30" t="s">
        <v>880</v>
      </c>
      <c r="D26" s="824">
        <v>117489.05000000005</v>
      </c>
      <c r="E26" s="824">
        <v>461667.75</v>
      </c>
      <c r="F26" s="824">
        <v>246379.26999999993</v>
      </c>
      <c r="G26" s="824">
        <v>263989.18999999994</v>
      </c>
      <c r="H26" s="824">
        <v>244730.02000000008</v>
      </c>
      <c r="I26" s="824">
        <v>189577.01000000007</v>
      </c>
      <c r="J26" s="608">
        <v>107158.55469573625</v>
      </c>
      <c r="K26" s="608">
        <v>164744.68903106189</v>
      </c>
      <c r="L26" s="608">
        <v>170692.47684395962</v>
      </c>
      <c r="M26" s="608">
        <v>224460.17601845635</v>
      </c>
      <c r="N26" s="608">
        <v>211310.29866443598</v>
      </c>
      <c r="O26" s="608">
        <v>234668.53002282712</v>
      </c>
      <c r="P26" s="329">
        <f t="shared" si="2"/>
        <v>2636867.0152764767</v>
      </c>
      <c r="Q26" s="81"/>
      <c r="R26" s="115"/>
    </row>
    <row r="27" spans="1:18">
      <c r="A27" s="389">
        <f t="shared" si="1"/>
        <v>16</v>
      </c>
      <c r="B27" s="212">
        <v>8711</v>
      </c>
      <c r="C27" s="30" t="s">
        <v>183</v>
      </c>
      <c r="D27" s="825">
        <f>0</f>
        <v>0</v>
      </c>
      <c r="E27" s="825">
        <f>0</f>
        <v>0</v>
      </c>
      <c r="F27" s="825">
        <f>0</f>
        <v>0</v>
      </c>
      <c r="G27" s="825">
        <f>0</f>
        <v>0</v>
      </c>
      <c r="H27" s="825">
        <f>0</f>
        <v>0</v>
      </c>
      <c r="I27" s="825">
        <f>0</f>
        <v>0</v>
      </c>
      <c r="J27" s="608">
        <v>0</v>
      </c>
      <c r="K27" s="608">
        <v>0</v>
      </c>
      <c r="L27" s="608">
        <v>0</v>
      </c>
      <c r="M27" s="608">
        <v>0</v>
      </c>
      <c r="N27" s="608">
        <v>0</v>
      </c>
      <c r="O27" s="608">
        <v>0</v>
      </c>
      <c r="P27" s="329">
        <f t="shared" si="2"/>
        <v>0</v>
      </c>
      <c r="Q27" s="81"/>
      <c r="R27" s="115"/>
    </row>
    <row r="28" spans="1:18">
      <c r="A28" s="389">
        <f t="shared" si="1"/>
        <v>17</v>
      </c>
      <c r="B28" s="212">
        <v>8740</v>
      </c>
      <c r="C28" s="30" t="s">
        <v>882</v>
      </c>
      <c r="D28" s="824">
        <v>42428.5</v>
      </c>
      <c r="E28" s="824">
        <v>22466.33</v>
      </c>
      <c r="F28" s="824">
        <v>23206.039999999997</v>
      </c>
      <c r="G28" s="824">
        <v>47854.8</v>
      </c>
      <c r="H28" s="824">
        <v>28568.860000000008</v>
      </c>
      <c r="I28" s="824">
        <v>19727.329999999998</v>
      </c>
      <c r="J28" s="608">
        <v>20964.913747103863</v>
      </c>
      <c r="K28" s="608">
        <v>20498.333970490374</v>
      </c>
      <c r="L28" s="608">
        <v>21209.699017285049</v>
      </c>
      <c r="M28" s="608">
        <v>34791.54356362066</v>
      </c>
      <c r="N28" s="608">
        <v>32899.907065162064</v>
      </c>
      <c r="O28" s="608">
        <v>36343.741372177967</v>
      </c>
      <c r="P28" s="329">
        <f t="shared" si="2"/>
        <v>350959.99873583997</v>
      </c>
      <c r="Q28" s="81"/>
      <c r="R28" s="115"/>
    </row>
    <row r="29" spans="1:18">
      <c r="A29" s="389">
        <f t="shared" si="1"/>
        <v>18</v>
      </c>
      <c r="B29" s="212">
        <v>8750</v>
      </c>
      <c r="C29" s="30" t="s">
        <v>883</v>
      </c>
      <c r="D29" s="824">
        <v>11712.34</v>
      </c>
      <c r="E29" s="824">
        <v>12050.61</v>
      </c>
      <c r="F29" s="824">
        <v>8770.82</v>
      </c>
      <c r="G29" s="824">
        <v>10427.85</v>
      </c>
      <c r="H29" s="824">
        <v>9549.23</v>
      </c>
      <c r="I29" s="824">
        <v>10510.539999999999</v>
      </c>
      <c r="J29" s="608">
        <v>7070.7712295331648</v>
      </c>
      <c r="K29" s="608">
        <v>8788.3766008408475</v>
      </c>
      <c r="L29" s="608">
        <v>7690.1176503356583</v>
      </c>
      <c r="M29" s="608">
        <v>10695.904157299343</v>
      </c>
      <c r="N29" s="608">
        <v>9864.1769989341556</v>
      </c>
      <c r="O29" s="608">
        <v>10444.853303073927</v>
      </c>
      <c r="P29" s="329">
        <f t="shared" si="2"/>
        <v>117575.58994001709</v>
      </c>
      <c r="Q29" s="81"/>
      <c r="R29" s="115"/>
    </row>
    <row r="30" spans="1:18">
      <c r="A30" s="389">
        <f t="shared" si="1"/>
        <v>19</v>
      </c>
      <c r="B30" s="212">
        <v>8760</v>
      </c>
      <c r="C30" t="s">
        <v>884</v>
      </c>
      <c r="D30" s="825">
        <f>0</f>
        <v>0</v>
      </c>
      <c r="E30" s="825">
        <f>0</f>
        <v>0</v>
      </c>
      <c r="F30" s="825">
        <f>0</f>
        <v>0</v>
      </c>
      <c r="G30" s="825">
        <f>0</f>
        <v>0</v>
      </c>
      <c r="H30" s="825">
        <f>0</f>
        <v>0</v>
      </c>
      <c r="I30" s="825">
        <f>0</f>
        <v>0</v>
      </c>
      <c r="J30" s="608">
        <v>0</v>
      </c>
      <c r="K30" s="608">
        <v>0</v>
      </c>
      <c r="L30" s="608">
        <v>0</v>
      </c>
      <c r="M30" s="608">
        <v>0</v>
      </c>
      <c r="N30" s="608">
        <v>0</v>
      </c>
      <c r="O30" s="608">
        <v>0</v>
      </c>
      <c r="P30" s="329">
        <f t="shared" si="2"/>
        <v>0</v>
      </c>
      <c r="Q30" s="81"/>
      <c r="R30" s="115"/>
    </row>
    <row r="31" spans="1:18">
      <c r="A31" s="389">
        <f t="shared" si="1"/>
        <v>20</v>
      </c>
      <c r="B31" s="212">
        <v>8770</v>
      </c>
      <c r="C31" s="30" t="s">
        <v>885</v>
      </c>
      <c r="D31" s="825">
        <f>0</f>
        <v>0</v>
      </c>
      <c r="E31" s="825">
        <f>0</f>
        <v>0</v>
      </c>
      <c r="F31" s="825">
        <f>0</f>
        <v>0</v>
      </c>
      <c r="G31" s="825">
        <f>0</f>
        <v>0</v>
      </c>
      <c r="H31" s="825">
        <f>0</f>
        <v>0</v>
      </c>
      <c r="I31" s="825">
        <f>0</f>
        <v>0</v>
      </c>
      <c r="J31" s="608">
        <v>0</v>
      </c>
      <c r="K31" s="608">
        <v>0</v>
      </c>
      <c r="L31" s="608">
        <v>0</v>
      </c>
      <c r="M31" s="608">
        <v>0</v>
      </c>
      <c r="N31" s="608">
        <v>0</v>
      </c>
      <c r="O31" s="608">
        <v>0</v>
      </c>
      <c r="P31" s="329">
        <f t="shared" si="2"/>
        <v>0</v>
      </c>
      <c r="Q31" s="81"/>
      <c r="R31" s="115"/>
    </row>
    <row r="32" spans="1:18">
      <c r="A32" s="389">
        <f t="shared" si="1"/>
        <v>21</v>
      </c>
      <c r="B32" s="212">
        <v>8780</v>
      </c>
      <c r="C32" s="30" t="s">
        <v>886</v>
      </c>
      <c r="D32" s="824">
        <v>11616.41</v>
      </c>
      <c r="E32" s="824">
        <v>6453.11</v>
      </c>
      <c r="F32" s="824">
        <v>6742.4799999999987</v>
      </c>
      <c r="G32" s="824">
        <v>8200</v>
      </c>
      <c r="H32" s="824">
        <v>10987.470000000001</v>
      </c>
      <c r="I32" s="824">
        <v>11138.109999999999</v>
      </c>
      <c r="J32" s="608">
        <v>5427.1051797188047</v>
      </c>
      <c r="K32" s="608">
        <v>5162.745351571114</v>
      </c>
      <c r="L32" s="608">
        <v>4903.9583494393828</v>
      </c>
      <c r="M32" s="608">
        <v>9224.2567405651644</v>
      </c>
      <c r="N32" s="608">
        <v>8388.050343463814</v>
      </c>
      <c r="O32" s="608">
        <v>8914.1753157165949</v>
      </c>
      <c r="P32" s="329">
        <f t="shared" ref="P32" si="3">SUM(D32:O32)</f>
        <v>97157.871280474879</v>
      </c>
      <c r="Q32" s="81"/>
      <c r="R32" s="115"/>
    </row>
    <row r="33" spans="1:18">
      <c r="A33" s="389">
        <f t="shared" si="1"/>
        <v>22</v>
      </c>
      <c r="B33" s="212">
        <v>8800</v>
      </c>
      <c r="C33" s="30" t="s">
        <v>888</v>
      </c>
      <c r="D33" s="824">
        <v>36028.21</v>
      </c>
      <c r="E33" s="824">
        <v>36794.639999999999</v>
      </c>
      <c r="F33" s="824">
        <v>42386.2</v>
      </c>
      <c r="G33" s="824">
        <v>40149.43</v>
      </c>
      <c r="H33" s="824">
        <v>61569.120000000003</v>
      </c>
      <c r="I33" s="824">
        <v>15458.35</v>
      </c>
      <c r="J33" s="608">
        <v>131140.51205261846</v>
      </c>
      <c r="K33" s="608">
        <v>130452.12942251448</v>
      </c>
      <c r="L33" s="608">
        <v>137770.78098296572</v>
      </c>
      <c r="M33" s="608">
        <v>135490.54174455453</v>
      </c>
      <c r="N33" s="608">
        <v>138515.80091220574</v>
      </c>
      <c r="O33" s="608">
        <v>165073.76176079561</v>
      </c>
      <c r="P33" s="329">
        <f t="shared" si="2"/>
        <v>1070829.4768756544</v>
      </c>
      <c r="Q33" s="81"/>
      <c r="R33" s="115"/>
    </row>
    <row r="34" spans="1:18">
      <c r="A34" s="389">
        <f t="shared" si="1"/>
        <v>23</v>
      </c>
      <c r="B34" s="212">
        <v>8810</v>
      </c>
      <c r="C34" s="30" t="s">
        <v>889</v>
      </c>
      <c r="D34" s="824">
        <v>19885.530000000021</v>
      </c>
      <c r="E34" s="824">
        <v>16643.790000000037</v>
      </c>
      <c r="F34" s="824">
        <v>16151.230000000016</v>
      </c>
      <c r="G34" s="824">
        <v>18128.080000000016</v>
      </c>
      <c r="H34" s="824">
        <v>17182.71</v>
      </c>
      <c r="I34" s="824">
        <v>14391.140000000014</v>
      </c>
      <c r="J34" s="608">
        <v>34593.882777810461</v>
      </c>
      <c r="K34" s="608">
        <v>36511.373517352127</v>
      </c>
      <c r="L34" s="608">
        <v>37844.381668954287</v>
      </c>
      <c r="M34" s="608">
        <v>39861.423284678858</v>
      </c>
      <c r="N34" s="608">
        <v>41200.499429368792</v>
      </c>
      <c r="O34" s="608">
        <v>42331.022607954379</v>
      </c>
      <c r="P34" s="329">
        <f t="shared" si="2"/>
        <v>334725.06328611902</v>
      </c>
      <c r="Q34" s="81"/>
      <c r="R34" s="115"/>
    </row>
    <row r="35" spans="1:18">
      <c r="A35" s="389">
        <f t="shared" si="1"/>
        <v>24</v>
      </c>
      <c r="B35" s="212">
        <v>8870</v>
      </c>
      <c r="C35" s="30" t="s">
        <v>892</v>
      </c>
      <c r="D35" s="824">
        <v>0</v>
      </c>
      <c r="E35" s="824">
        <v>0</v>
      </c>
      <c r="F35" s="824">
        <v>0</v>
      </c>
      <c r="G35" s="824">
        <v>560.64</v>
      </c>
      <c r="H35" s="824">
        <v>-210.24</v>
      </c>
      <c r="I35" s="824">
        <v>0</v>
      </c>
      <c r="J35" s="608">
        <v>34.48932025985669</v>
      </c>
      <c r="K35" s="608">
        <v>32.8093102959999</v>
      </c>
      <c r="L35" s="608">
        <v>31.164715710112045</v>
      </c>
      <c r="M35" s="608">
        <v>58.620265196514495</v>
      </c>
      <c r="N35" s="608">
        <v>53.306163243829715</v>
      </c>
      <c r="O35" s="608">
        <v>56.649693922495238</v>
      </c>
      <c r="P35" s="329">
        <f t="shared" si="2"/>
        <v>617.43946862880807</v>
      </c>
      <c r="Q35" s="81"/>
      <c r="R35" s="115"/>
    </row>
    <row r="36" spans="1:18">
      <c r="A36" s="389">
        <f t="shared" si="1"/>
        <v>25</v>
      </c>
      <c r="B36" s="212">
        <v>8890</v>
      </c>
      <c r="C36" s="30" t="s">
        <v>893</v>
      </c>
      <c r="D36" s="825">
        <f>0</f>
        <v>0</v>
      </c>
      <c r="E36" s="825">
        <f>0</f>
        <v>0</v>
      </c>
      <c r="F36" s="825">
        <f>0</f>
        <v>0</v>
      </c>
      <c r="G36" s="825">
        <f>0</f>
        <v>0</v>
      </c>
      <c r="H36" s="825">
        <f>0</f>
        <v>0</v>
      </c>
      <c r="I36" s="825">
        <f>0</f>
        <v>0</v>
      </c>
      <c r="J36" s="608">
        <v>0</v>
      </c>
      <c r="K36" s="608">
        <v>0</v>
      </c>
      <c r="L36" s="608">
        <v>0</v>
      </c>
      <c r="M36" s="608">
        <v>0</v>
      </c>
      <c r="N36" s="608">
        <v>0</v>
      </c>
      <c r="O36" s="608">
        <v>0</v>
      </c>
      <c r="P36" s="329">
        <f t="shared" si="2"/>
        <v>0</v>
      </c>
      <c r="Q36" s="81"/>
      <c r="R36" s="115"/>
    </row>
    <row r="37" spans="1:18">
      <c r="A37" s="389">
        <f t="shared" si="1"/>
        <v>26</v>
      </c>
      <c r="B37" s="212">
        <v>8900</v>
      </c>
      <c r="C37" s="30" t="s">
        <v>894</v>
      </c>
      <c r="D37" s="825">
        <f>0</f>
        <v>0</v>
      </c>
      <c r="E37" s="825">
        <f>0</f>
        <v>0</v>
      </c>
      <c r="F37" s="825">
        <f>0</f>
        <v>0</v>
      </c>
      <c r="G37" s="825">
        <f>0</f>
        <v>0</v>
      </c>
      <c r="H37" s="825">
        <f>0</f>
        <v>0</v>
      </c>
      <c r="I37" s="825">
        <f>0</f>
        <v>0</v>
      </c>
      <c r="J37" s="608">
        <v>0</v>
      </c>
      <c r="K37" s="608">
        <v>0</v>
      </c>
      <c r="L37" s="608">
        <v>0</v>
      </c>
      <c r="M37" s="608">
        <v>0</v>
      </c>
      <c r="N37" s="608">
        <v>0</v>
      </c>
      <c r="O37" s="608">
        <v>0</v>
      </c>
      <c r="P37" s="329">
        <f t="shared" si="2"/>
        <v>0</v>
      </c>
      <c r="Q37" s="81"/>
      <c r="R37" s="115"/>
    </row>
    <row r="38" spans="1:18">
      <c r="A38" s="389">
        <f t="shared" si="1"/>
        <v>27</v>
      </c>
      <c r="B38" s="212">
        <v>8910</v>
      </c>
      <c r="C38" s="30" t="s">
        <v>895</v>
      </c>
      <c r="D38" s="824">
        <v>0</v>
      </c>
      <c r="E38" s="824">
        <v>0</v>
      </c>
      <c r="F38" s="824">
        <v>0</v>
      </c>
      <c r="G38" s="824">
        <v>0</v>
      </c>
      <c r="H38" s="824">
        <v>0</v>
      </c>
      <c r="I38" s="824">
        <v>98.75</v>
      </c>
      <c r="J38" s="608">
        <v>9.7198070081645209</v>
      </c>
      <c r="K38" s="608">
        <v>9.246345296033077</v>
      </c>
      <c r="L38" s="608">
        <v>8.7828643732122273</v>
      </c>
      <c r="M38" s="608">
        <v>16.520408641997161</v>
      </c>
      <c r="N38" s="608">
        <v>15.022784304589567</v>
      </c>
      <c r="O38" s="608">
        <v>15.965060715885857</v>
      </c>
      <c r="P38" s="329">
        <f t="shared" si="2"/>
        <v>174.00727033988244</v>
      </c>
      <c r="Q38" s="81"/>
      <c r="R38" s="115"/>
    </row>
    <row r="39" spans="1:18">
      <c r="A39" s="389">
        <f t="shared" si="1"/>
        <v>28</v>
      </c>
      <c r="B39" s="212">
        <v>9010</v>
      </c>
      <c r="C39" t="s">
        <v>175</v>
      </c>
      <c r="D39" s="824">
        <v>9992.64</v>
      </c>
      <c r="E39" s="824">
        <v>10094.57</v>
      </c>
      <c r="F39" s="824">
        <v>9123.6999999999989</v>
      </c>
      <c r="G39" s="824">
        <v>9626.57</v>
      </c>
      <c r="H39" s="824">
        <v>9992.6400000000012</v>
      </c>
      <c r="I39" s="824">
        <v>9704.85</v>
      </c>
      <c r="J39" s="608">
        <v>5798.3920403601705</v>
      </c>
      <c r="K39" s="608">
        <v>6024.7118978046501</v>
      </c>
      <c r="L39" s="608">
        <v>5459.273048237641</v>
      </c>
      <c r="M39" s="608">
        <v>9752.9319821877689</v>
      </c>
      <c r="N39" s="608">
        <v>8882.103569125773</v>
      </c>
      <c r="O39" s="608">
        <v>9411.795714186137</v>
      </c>
      <c r="P39" s="329">
        <f t="shared" si="2"/>
        <v>103864.17825190214</v>
      </c>
      <c r="Q39" s="81"/>
      <c r="R39" s="115"/>
    </row>
    <row r="40" spans="1:18">
      <c r="A40" s="389">
        <f t="shared" si="1"/>
        <v>29</v>
      </c>
      <c r="B40" s="212">
        <v>9020</v>
      </c>
      <c r="C40" t="s">
        <v>899</v>
      </c>
      <c r="D40" s="824">
        <v>3595.47</v>
      </c>
      <c r="E40" s="824">
        <v>3400.6099999999997</v>
      </c>
      <c r="F40" s="824">
        <v>3938.01</v>
      </c>
      <c r="G40" s="824">
        <v>2398.4499999999998</v>
      </c>
      <c r="H40" s="824">
        <v>4390.21</v>
      </c>
      <c r="I40" s="824">
        <v>5251.2199999999993</v>
      </c>
      <c r="J40" s="608">
        <v>2261.2916922669519</v>
      </c>
      <c r="K40" s="608">
        <v>2151.141867753975</v>
      </c>
      <c r="L40" s="608">
        <v>2043.3140518911041</v>
      </c>
      <c r="M40" s="608">
        <v>3843.4366838378082</v>
      </c>
      <c r="N40" s="608">
        <v>3495.0176803049271</v>
      </c>
      <c r="O40" s="608">
        <v>3714.2362119993945</v>
      </c>
      <c r="P40" s="329">
        <f t="shared" si="2"/>
        <v>40482.408188054163</v>
      </c>
      <c r="Q40" s="81"/>
      <c r="R40" s="115"/>
    </row>
    <row r="41" spans="1:18">
      <c r="A41" s="389">
        <f t="shared" si="1"/>
        <v>30</v>
      </c>
      <c r="B41" s="212">
        <v>9030</v>
      </c>
      <c r="C41" s="30" t="s">
        <v>903</v>
      </c>
      <c r="D41" s="824">
        <v>211062.51</v>
      </c>
      <c r="E41" s="824">
        <v>208119.40999999997</v>
      </c>
      <c r="F41" s="824">
        <v>214604.5</v>
      </c>
      <c r="G41" s="824">
        <v>223553.59000000003</v>
      </c>
      <c r="H41" s="824">
        <v>218399.94999999998</v>
      </c>
      <c r="I41" s="824">
        <v>182796.95</v>
      </c>
      <c r="J41" s="608">
        <v>500112.77119031054</v>
      </c>
      <c r="K41" s="608">
        <v>496496.35634190688</v>
      </c>
      <c r="L41" s="608">
        <v>519258.48307101155</v>
      </c>
      <c r="M41" s="608">
        <v>546170.81597032689</v>
      </c>
      <c r="N41" s="608">
        <v>549869.31984652043</v>
      </c>
      <c r="O41" s="608">
        <v>646399.31926998205</v>
      </c>
      <c r="P41" s="329">
        <f t="shared" si="2"/>
        <v>4516843.9756900584</v>
      </c>
      <c r="Q41" s="81"/>
      <c r="R41" s="115"/>
    </row>
    <row r="42" spans="1:18">
      <c r="A42" s="389">
        <f t="shared" si="1"/>
        <v>31</v>
      </c>
      <c r="B42" s="212">
        <v>9040</v>
      </c>
      <c r="C42" s="30" t="s">
        <v>904</v>
      </c>
      <c r="D42" s="824">
        <v>0</v>
      </c>
      <c r="E42" s="824">
        <v>0</v>
      </c>
      <c r="F42" s="824">
        <v>0</v>
      </c>
      <c r="G42" s="824">
        <v>0</v>
      </c>
      <c r="H42" s="824">
        <v>0</v>
      </c>
      <c r="I42" s="824">
        <v>1358.48</v>
      </c>
      <c r="J42" s="608">
        <v>0</v>
      </c>
      <c r="K42" s="608">
        <v>0</v>
      </c>
      <c r="L42" s="608">
        <v>0</v>
      </c>
      <c r="M42" s="608">
        <v>0</v>
      </c>
      <c r="N42" s="608">
        <v>0</v>
      </c>
      <c r="O42" s="608">
        <v>0</v>
      </c>
      <c r="P42" s="329">
        <f t="shared" si="2"/>
        <v>1358.48</v>
      </c>
      <c r="Q42" s="81"/>
      <c r="R42" s="115"/>
    </row>
    <row r="43" spans="1:18">
      <c r="A43" s="389">
        <f t="shared" si="1"/>
        <v>32</v>
      </c>
      <c r="B43" s="212">
        <v>9090</v>
      </c>
      <c r="C43" s="30" t="s">
        <v>905</v>
      </c>
      <c r="D43" s="824">
        <v>16340.7</v>
      </c>
      <c r="E43" s="824">
        <v>14687.619999999999</v>
      </c>
      <c r="F43" s="824">
        <v>14949.97</v>
      </c>
      <c r="G43" s="824">
        <v>14852.66</v>
      </c>
      <c r="H43" s="824">
        <v>15742.59</v>
      </c>
      <c r="I43" s="824">
        <v>14368.910000000002</v>
      </c>
      <c r="J43" s="608">
        <v>9031.0280769471647</v>
      </c>
      <c r="K43" s="608">
        <v>9437.9861781331656</v>
      </c>
      <c r="L43" s="608">
        <v>8529.7563891089721</v>
      </c>
      <c r="M43" s="608">
        <v>15147.988754508797</v>
      </c>
      <c r="N43" s="608">
        <v>13800.689475416384</v>
      </c>
      <c r="O43" s="608">
        <v>14618.328996299055</v>
      </c>
      <c r="P43" s="329">
        <f t="shared" ref="P43" si="4">SUM(D43:O43)</f>
        <v>161508.22787041354</v>
      </c>
      <c r="Q43" s="81"/>
      <c r="R43" s="115"/>
    </row>
    <row r="44" spans="1:18">
      <c r="A44" s="389">
        <f t="shared" si="1"/>
        <v>33</v>
      </c>
      <c r="B44" s="212">
        <v>9100</v>
      </c>
      <c r="C44" s="30" t="s">
        <v>906</v>
      </c>
      <c r="D44" s="824">
        <v>1889.67</v>
      </c>
      <c r="E44" s="824">
        <v>32.65</v>
      </c>
      <c r="F44" s="824">
        <v>0</v>
      </c>
      <c r="G44" s="824">
        <v>27.6</v>
      </c>
      <c r="H44" s="824">
        <v>2.69</v>
      </c>
      <c r="I44" s="824">
        <v>0</v>
      </c>
      <c r="J44" s="608">
        <v>48.218878709945791</v>
      </c>
      <c r="K44" s="608">
        <v>43.588747714142407</v>
      </c>
      <c r="L44" s="608">
        <v>188.2812673591973</v>
      </c>
      <c r="M44" s="608">
        <v>361.3296199693188</v>
      </c>
      <c r="N44" s="608">
        <v>361.3296199693188</v>
      </c>
      <c r="O44" s="608">
        <v>375.22001295672897</v>
      </c>
      <c r="P44" s="329">
        <f t="shared" si="2"/>
        <v>3330.578146678652</v>
      </c>
      <c r="Q44" s="81"/>
      <c r="R44" s="115"/>
    </row>
    <row r="45" spans="1:18">
      <c r="A45" s="389">
        <f t="shared" si="1"/>
        <v>34</v>
      </c>
      <c r="B45" s="212">
        <v>9110</v>
      </c>
      <c r="C45" s="30" t="s">
        <v>907</v>
      </c>
      <c r="D45" s="824">
        <v>16069.41</v>
      </c>
      <c r="E45" s="824">
        <v>16525.45</v>
      </c>
      <c r="F45" s="824">
        <v>16630.419999999998</v>
      </c>
      <c r="G45" s="824">
        <v>20452.95</v>
      </c>
      <c r="H45" s="824">
        <v>17858.150000000001</v>
      </c>
      <c r="I45" s="824">
        <v>15352.52</v>
      </c>
      <c r="J45" s="608">
        <v>10331.952698512281</v>
      </c>
      <c r="K45" s="608">
        <v>13689.006996412734</v>
      </c>
      <c r="L45" s="608">
        <v>11023.279140706445</v>
      </c>
      <c r="M45" s="608">
        <v>16517.823268007101</v>
      </c>
      <c r="N45" s="608">
        <v>15143.548747395424</v>
      </c>
      <c r="O45" s="608">
        <v>15892.094005695817</v>
      </c>
      <c r="P45" s="329">
        <f t="shared" si="2"/>
        <v>185486.6048567298</v>
      </c>
      <c r="Q45" s="81"/>
      <c r="R45" s="115"/>
    </row>
    <row r="46" spans="1:18">
      <c r="A46" s="389">
        <f t="shared" si="1"/>
        <v>35</v>
      </c>
      <c r="B46" s="212">
        <v>9120</v>
      </c>
      <c r="C46" s="30" t="s">
        <v>908</v>
      </c>
      <c r="D46" s="824">
        <v>1797.92</v>
      </c>
      <c r="E46" s="824">
        <v>0</v>
      </c>
      <c r="F46" s="824">
        <v>569.82000000000005</v>
      </c>
      <c r="G46" s="824">
        <v>2600.62</v>
      </c>
      <c r="H46" s="824">
        <v>0</v>
      </c>
      <c r="I46" s="824">
        <v>0</v>
      </c>
      <c r="J46" s="608">
        <v>122.69155040041086</v>
      </c>
      <c r="K46" s="608">
        <v>110.91031521555075</v>
      </c>
      <c r="L46" s="608">
        <v>479.07627098946608</v>
      </c>
      <c r="M46" s="608">
        <v>919.39282840442536</v>
      </c>
      <c r="N46" s="608">
        <v>919.39282840442536</v>
      </c>
      <c r="O46" s="608">
        <v>954.73653395900567</v>
      </c>
      <c r="P46" s="329">
        <f t="shared" si="2"/>
        <v>8474.5603273732831</v>
      </c>
      <c r="Q46" s="81"/>
      <c r="R46" s="115"/>
    </row>
    <row r="47" spans="1:18">
      <c r="A47" s="389">
        <f t="shared" si="1"/>
        <v>36</v>
      </c>
      <c r="B47" s="212">
        <v>9130</v>
      </c>
      <c r="C47" s="30" t="s">
        <v>909</v>
      </c>
      <c r="D47" s="824">
        <v>0</v>
      </c>
      <c r="E47" s="824">
        <v>0</v>
      </c>
      <c r="F47" s="824">
        <v>0</v>
      </c>
      <c r="G47" s="824">
        <v>112.82</v>
      </c>
      <c r="H47" s="824">
        <v>0</v>
      </c>
      <c r="I47" s="824">
        <v>0</v>
      </c>
      <c r="J47" s="608">
        <v>2.7860422183928608</v>
      </c>
      <c r="K47" s="608">
        <v>2.5185175314627837</v>
      </c>
      <c r="L47" s="608">
        <v>10.878717502965076</v>
      </c>
      <c r="M47" s="608">
        <v>20.877291279333072</v>
      </c>
      <c r="N47" s="608">
        <v>20.877291279333072</v>
      </c>
      <c r="O47" s="608">
        <v>21.679865340123303</v>
      </c>
      <c r="P47" s="329">
        <f t="shared" si="2"/>
        <v>192.43772515161015</v>
      </c>
      <c r="Q47" s="81"/>
      <c r="R47" s="115"/>
    </row>
    <row r="48" spans="1:18">
      <c r="A48" s="389">
        <f t="shared" si="1"/>
        <v>37</v>
      </c>
      <c r="B48" s="212">
        <v>9200</v>
      </c>
      <c r="C48" s="30" t="s">
        <v>176</v>
      </c>
      <c r="D48" s="824">
        <v>-8201.84</v>
      </c>
      <c r="E48" s="824">
        <v>-28148.29</v>
      </c>
      <c r="F48" s="824">
        <v>-83718.84</v>
      </c>
      <c r="G48" s="824">
        <v>-5656.08</v>
      </c>
      <c r="H48" s="824">
        <v>-25190.09</v>
      </c>
      <c r="I48" s="824">
        <v>-6051.93</v>
      </c>
      <c r="J48" s="608">
        <v>11770.012283441529</v>
      </c>
      <c r="K48" s="608">
        <v>11670.003682171739</v>
      </c>
      <c r="L48" s="608">
        <v>11674.00402622253</v>
      </c>
      <c r="M48" s="608">
        <v>5375.1323099907277</v>
      </c>
      <c r="N48" s="608">
        <v>1374.7882591991465</v>
      </c>
      <c r="O48" s="608">
        <v>1474.7968604689361</v>
      </c>
      <c r="P48" s="329">
        <f t="shared" si="2"/>
        <v>-113628.33257850537</v>
      </c>
      <c r="Q48" s="81"/>
      <c r="R48" s="115"/>
    </row>
    <row r="49" spans="1:18">
      <c r="A49" s="389">
        <f t="shared" si="1"/>
        <v>38</v>
      </c>
      <c r="B49" s="212">
        <v>9210</v>
      </c>
      <c r="C49" s="30" t="s">
        <v>910</v>
      </c>
      <c r="D49" s="824">
        <v>57.1</v>
      </c>
      <c r="E49" s="824">
        <v>-515.30999999999995</v>
      </c>
      <c r="F49" s="824">
        <v>-172150.3</v>
      </c>
      <c r="G49" s="824">
        <v>44.86</v>
      </c>
      <c r="H49" s="824">
        <v>3492</v>
      </c>
      <c r="I49" s="824">
        <v>0</v>
      </c>
      <c r="J49" s="608">
        <v>-95866.560030906854</v>
      </c>
      <c r="K49" s="608">
        <v>-95297.69158185189</v>
      </c>
      <c r="L49" s="608">
        <v>-100654.15349592248</v>
      </c>
      <c r="M49" s="608">
        <v>-98947.16070208342</v>
      </c>
      <c r="N49" s="608">
        <v>-101156.24275074415</v>
      </c>
      <c r="O49" s="608">
        <v>-120769.11716800163</v>
      </c>
      <c r="P49" s="329">
        <f t="shared" si="2"/>
        <v>-781762.57572951028</v>
      </c>
      <c r="Q49" s="81"/>
      <c r="R49" s="81"/>
    </row>
    <row r="50" spans="1:18">
      <c r="A50" s="389">
        <f t="shared" si="1"/>
        <v>39</v>
      </c>
      <c r="B50" s="212">
        <v>9220</v>
      </c>
      <c r="C50" s="30" t="s">
        <v>911</v>
      </c>
      <c r="D50" s="824">
        <v>-647845.76</v>
      </c>
      <c r="E50" s="824">
        <v>-867131.62999999989</v>
      </c>
      <c r="F50" s="824">
        <v>-441297.27</v>
      </c>
      <c r="G50" s="824">
        <v>-726777.90000000026</v>
      </c>
      <c r="H50" s="824">
        <v>-826783.04999999958</v>
      </c>
      <c r="I50" s="824">
        <v>-545382.24000000022</v>
      </c>
      <c r="J50" s="332">
        <f t="shared" ref="J50:O50" si="5">-(SUM(J12:J49,J51:J57))</f>
        <v>-1087333.3200000003</v>
      </c>
      <c r="K50" s="332">
        <f t="shared" si="5"/>
        <v>-1017589.5599999999</v>
      </c>
      <c r="L50" s="332">
        <f t="shared" si="5"/>
        <v>-1053381.19</v>
      </c>
      <c r="M50" s="332">
        <f t="shared" si="5"/>
        <v>-1272268.9091313623</v>
      </c>
      <c r="N50" s="332">
        <f t="shared" si="5"/>
        <v>-1223136.8056544894</v>
      </c>
      <c r="O50" s="332">
        <f t="shared" si="5"/>
        <v>-1368326.8822555086</v>
      </c>
      <c r="P50" s="329">
        <f t="shared" si="2"/>
        <v>-11077254.517041363</v>
      </c>
      <c r="Q50" s="329"/>
      <c r="R50" s="81"/>
    </row>
    <row r="51" spans="1:18">
      <c r="A51" s="389">
        <f t="shared" si="1"/>
        <v>40</v>
      </c>
      <c r="B51" s="212">
        <v>9230</v>
      </c>
      <c r="C51" s="30" t="s">
        <v>912</v>
      </c>
      <c r="D51" s="824">
        <v>1891.26</v>
      </c>
      <c r="E51" s="824">
        <v>22862.97</v>
      </c>
      <c r="F51" s="824">
        <v>2195</v>
      </c>
      <c r="G51" s="824">
        <v>-3954.8500000000004</v>
      </c>
      <c r="H51" s="824">
        <v>-90018.920000000013</v>
      </c>
      <c r="I51" s="824">
        <v>5386.73</v>
      </c>
      <c r="J51" s="608">
        <v>-34790.085299152866</v>
      </c>
      <c r="K51" s="608">
        <v>-34607.449438752119</v>
      </c>
      <c r="L51" s="608">
        <v>-36547.574005310264</v>
      </c>
      <c r="M51" s="608">
        <v>-35945.192100993016</v>
      </c>
      <c r="N51" s="608">
        <v>-36747.828290310827</v>
      </c>
      <c r="O51" s="608">
        <v>-43793.961963583381</v>
      </c>
      <c r="P51" s="329">
        <f t="shared" si="2"/>
        <v>-284069.90109810251</v>
      </c>
      <c r="Q51" s="81"/>
      <c r="R51" s="81"/>
    </row>
    <row r="52" spans="1:18">
      <c r="A52" s="389">
        <f t="shared" si="1"/>
        <v>41</v>
      </c>
      <c r="B52" s="212">
        <v>9240</v>
      </c>
      <c r="C52" s="30" t="s">
        <v>913</v>
      </c>
      <c r="D52" s="824">
        <v>-294.71999999999997</v>
      </c>
      <c r="E52" s="824">
        <v>-294.71999999999997</v>
      </c>
      <c r="F52" s="824">
        <v>-291.78000000000003</v>
      </c>
      <c r="G52" s="824">
        <v>-346.72999999999996</v>
      </c>
      <c r="H52" s="824">
        <v>-346.61999999999995</v>
      </c>
      <c r="I52" s="824">
        <v>-346.61999999999995</v>
      </c>
      <c r="J52" s="608">
        <v>-8761.2290594530259</v>
      </c>
      <c r="K52" s="608">
        <v>-8761.2290594530259</v>
      </c>
      <c r="L52" s="608">
        <v>-8761.2290594530259</v>
      </c>
      <c r="M52" s="608">
        <v>-8384.0735525362215</v>
      </c>
      <c r="N52" s="608">
        <v>-8384.0735525362215</v>
      </c>
      <c r="O52" s="608">
        <v>-8384.0735525362215</v>
      </c>
      <c r="P52" s="329">
        <f t="shared" si="2"/>
        <v>-53357.097835967754</v>
      </c>
      <c r="Q52" s="81"/>
      <c r="R52" s="81"/>
    </row>
    <row r="53" spans="1:18">
      <c r="A53" s="389">
        <f t="shared" si="1"/>
        <v>42</v>
      </c>
      <c r="B53" s="212">
        <v>9250</v>
      </c>
      <c r="C53" s="30" t="s">
        <v>914</v>
      </c>
      <c r="D53" s="824">
        <v>7373.61</v>
      </c>
      <c r="E53" s="824">
        <v>7295.0300000000007</v>
      </c>
      <c r="F53" s="824">
        <v>9250.58</v>
      </c>
      <c r="G53" s="824">
        <v>7830.91</v>
      </c>
      <c r="H53" s="824">
        <v>8031.3399999999992</v>
      </c>
      <c r="I53" s="824">
        <v>8431.5199999999986</v>
      </c>
      <c r="J53" s="608">
        <v>73077.950829430178</v>
      </c>
      <c r="K53" s="608">
        <v>71327.047794004029</v>
      </c>
      <c r="L53" s="608">
        <v>68470.697378565077</v>
      </c>
      <c r="M53" s="608">
        <v>86175.034724074721</v>
      </c>
      <c r="N53" s="608">
        <v>81268.011512097728</v>
      </c>
      <c r="O53" s="608">
        <v>84618.456224513124</v>
      </c>
      <c r="P53" s="329">
        <f t="shared" si="2"/>
        <v>513150.18846268486</v>
      </c>
      <c r="Q53" s="81"/>
      <c r="R53" s="81"/>
    </row>
    <row r="54" spans="1:18">
      <c r="A54" s="389">
        <f t="shared" si="1"/>
        <v>43</v>
      </c>
      <c r="B54" s="465">
        <v>9260</v>
      </c>
      <c r="C54" s="30" t="s">
        <v>915</v>
      </c>
      <c r="D54" s="824">
        <v>145768.73999999996</v>
      </c>
      <c r="E54" s="824">
        <v>55830.159999999989</v>
      </c>
      <c r="F54" s="824">
        <v>81521.680000000008</v>
      </c>
      <c r="G54" s="824">
        <v>65037.939999999973</v>
      </c>
      <c r="H54" s="824">
        <v>283223.49</v>
      </c>
      <c r="I54" s="824">
        <v>47510.120000000017</v>
      </c>
      <c r="J54" s="608">
        <v>283340.64107930905</v>
      </c>
      <c r="K54" s="608">
        <v>164582.94971624602</v>
      </c>
      <c r="L54" s="608">
        <v>168153.91997027889</v>
      </c>
      <c r="M54" s="608">
        <v>243289.53399671239</v>
      </c>
      <c r="N54" s="608">
        <v>237548.35004961857</v>
      </c>
      <c r="O54" s="608">
        <v>251202.71294226678</v>
      </c>
      <c r="P54" s="329">
        <f t="shared" si="2"/>
        <v>2027010.2377544318</v>
      </c>
      <c r="Q54" s="81"/>
      <c r="R54" s="81"/>
    </row>
    <row r="55" spans="1:18">
      <c r="A55" s="389">
        <f t="shared" si="1"/>
        <v>44</v>
      </c>
      <c r="B55" s="465">
        <v>9280</v>
      </c>
      <c r="C55" t="s">
        <v>917</v>
      </c>
      <c r="D55" s="825">
        <f>0</f>
        <v>0</v>
      </c>
      <c r="E55" s="825">
        <f>0</f>
        <v>0</v>
      </c>
      <c r="F55" s="825">
        <f>0</f>
        <v>0</v>
      </c>
      <c r="G55" s="825">
        <f>0</f>
        <v>0</v>
      </c>
      <c r="H55" s="825">
        <f>0</f>
        <v>0</v>
      </c>
      <c r="I55" s="825">
        <f>0</f>
        <v>0</v>
      </c>
      <c r="J55" s="608">
        <v>0</v>
      </c>
      <c r="K55" s="608">
        <v>0</v>
      </c>
      <c r="L55" s="608">
        <v>0</v>
      </c>
      <c r="M55" s="608">
        <v>0</v>
      </c>
      <c r="N55" s="608">
        <v>0</v>
      </c>
      <c r="O55" s="608">
        <v>0</v>
      </c>
      <c r="P55" s="329">
        <f t="shared" si="2"/>
        <v>0</v>
      </c>
      <c r="Q55" s="81"/>
      <c r="R55" s="81"/>
    </row>
    <row r="56" spans="1:18">
      <c r="A56" s="389">
        <f t="shared" si="1"/>
        <v>45</v>
      </c>
      <c r="B56" s="212">
        <v>9302</v>
      </c>
      <c r="C56" s="30" t="s">
        <v>826</v>
      </c>
      <c r="D56" s="824">
        <v>241.45</v>
      </c>
      <c r="E56" s="824">
        <v>480</v>
      </c>
      <c r="F56" s="824">
        <v>0</v>
      </c>
      <c r="G56" s="824">
        <v>0</v>
      </c>
      <c r="H56" s="824">
        <v>7500</v>
      </c>
      <c r="I56" s="824">
        <v>230.48</v>
      </c>
      <c r="J56" s="608">
        <v>20244.210958904874</v>
      </c>
      <c r="K56" s="608">
        <v>10217.552660281788</v>
      </c>
      <c r="L56" s="608">
        <v>19534.610493774202</v>
      </c>
      <c r="M56" s="608">
        <v>29015.707226359667</v>
      </c>
      <c r="N56" s="608">
        <v>10073.060743791717</v>
      </c>
      <c r="O56" s="608">
        <v>10265.638990408639</v>
      </c>
      <c r="P56" s="329">
        <f t="shared" si="2"/>
        <v>107802.71107352088</v>
      </c>
      <c r="Q56" s="81"/>
      <c r="R56" s="81"/>
    </row>
    <row r="57" spans="1:18">
      <c r="A57" s="389">
        <f t="shared" si="1"/>
        <v>46</v>
      </c>
      <c r="B57" s="212">
        <v>9310</v>
      </c>
      <c r="C57" s="30" t="s">
        <v>178</v>
      </c>
      <c r="D57" s="824">
        <v>0</v>
      </c>
      <c r="E57" s="824">
        <v>0</v>
      </c>
      <c r="F57" s="824">
        <v>0</v>
      </c>
      <c r="G57" s="824">
        <v>-9.9999999999999985E-3</v>
      </c>
      <c r="H57" s="824">
        <v>0</v>
      </c>
      <c r="I57" s="824">
        <v>0</v>
      </c>
      <c r="J57" s="608">
        <v>-3.3788869714633284E-3</v>
      </c>
      <c r="K57" s="608">
        <v>-3.5661739701316232E-3</v>
      </c>
      <c r="L57" s="608">
        <v>-3.6963728236466152E-3</v>
      </c>
      <c r="M57" s="608">
        <v>-3.8933832511850539E-3</v>
      </c>
      <c r="N57" s="608">
        <v>-4.0241747835536735E-3</v>
      </c>
      <c r="O57" s="608">
        <v>-4.1345963301489055E-3</v>
      </c>
      <c r="P57" s="329">
        <f t="shared" si="2"/>
        <v>-3.2693588130129195E-2</v>
      </c>
      <c r="Q57" s="81"/>
      <c r="R57" s="81"/>
    </row>
    <row r="58" spans="1:18">
      <c r="A58" s="389">
        <f t="shared" si="1"/>
        <v>47</v>
      </c>
      <c r="B58" s="81"/>
      <c r="C58" s="460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116"/>
      <c r="P58" s="116"/>
      <c r="Q58" s="116"/>
      <c r="R58" s="116"/>
    </row>
    <row r="59" spans="1:18" ht="15.75" thickBot="1">
      <c r="A59" s="389">
        <f t="shared" si="1"/>
        <v>48</v>
      </c>
      <c r="B59" s="116" t="s">
        <v>706</v>
      </c>
      <c r="C59" s="460"/>
      <c r="D59" s="827">
        <f>SUM(D12:D58)</f>
        <v>-1.0000000079173788E-2</v>
      </c>
      <c r="E59" s="827">
        <f t="shared" ref="E59:I59" si="6">SUM(E12:E58)</f>
        <v>-1.8917489796876907E-10</v>
      </c>
      <c r="F59" s="827">
        <f t="shared" si="6"/>
        <v>-2.9103830456733704E-11</v>
      </c>
      <c r="G59" s="827">
        <f t="shared" si="6"/>
        <v>9.9999996257247419E-3</v>
      </c>
      <c r="H59" s="827">
        <f t="shared" si="6"/>
        <v>4.0745362639427185E-10</v>
      </c>
      <c r="I59" s="827">
        <f t="shared" si="6"/>
        <v>9.9999998023747594E-3</v>
      </c>
      <c r="J59" s="827">
        <f t="shared" ref="J59:P59" si="7">SUM(J12:J58)</f>
        <v>-1.279182749308605E-11</v>
      </c>
      <c r="K59" s="827">
        <f t="shared" si="7"/>
        <v>8.8373943579744818E-11</v>
      </c>
      <c r="L59" s="827">
        <f t="shared" si="7"/>
        <v>-3.6556829612066633E-11</v>
      </c>
      <c r="M59" s="827">
        <f t="shared" si="7"/>
        <v>-1.0919965799660591E-10</v>
      </c>
      <c r="N59" s="827">
        <f t="shared" si="7"/>
        <v>-1.6982106172680478E-10</v>
      </c>
      <c r="O59" s="827">
        <f t="shared" si="7"/>
        <v>-4.8347555126060371E-11</v>
      </c>
      <c r="P59" s="827">
        <f t="shared" si="7"/>
        <v>9.9999998794405992E-3</v>
      </c>
      <c r="Q59" s="116"/>
      <c r="R59" s="116"/>
    </row>
    <row r="60" spans="1:18" ht="15.75" thickTop="1">
      <c r="A60" s="389">
        <f t="shared" si="1"/>
        <v>49</v>
      </c>
      <c r="B60" s="116"/>
      <c r="C60" s="460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  <row r="61" spans="1:18">
      <c r="A61" s="389">
        <f t="shared" si="1"/>
        <v>50</v>
      </c>
      <c r="B61" s="829">
        <f>B50</f>
        <v>9220</v>
      </c>
      <c r="C61" s="345" t="str">
        <f>C50</f>
        <v>A&amp;G-Administrative expense transferred-Credit</v>
      </c>
      <c r="D61" s="830">
        <f t="shared" ref="D61:H61" si="8">-(D59-D50)</f>
        <v>-647845.74999999988</v>
      </c>
      <c r="E61" s="830">
        <f t="shared" si="8"/>
        <v>-867131.62999999966</v>
      </c>
      <c r="F61" s="830">
        <f t="shared" si="8"/>
        <v>-441297.27</v>
      </c>
      <c r="G61" s="830">
        <f t="shared" si="8"/>
        <v>-726777.90999999992</v>
      </c>
      <c r="H61" s="830">
        <f t="shared" si="8"/>
        <v>-826783.05</v>
      </c>
      <c r="I61" s="830">
        <f>I50</f>
        <v>-545382.24000000022</v>
      </c>
      <c r="J61" s="830">
        <f t="shared" ref="J61:O61" si="9">J50</f>
        <v>-1087333.3200000003</v>
      </c>
      <c r="K61" s="830">
        <f t="shared" si="9"/>
        <v>-1017589.5599999999</v>
      </c>
      <c r="L61" s="830">
        <f t="shared" si="9"/>
        <v>-1053381.19</v>
      </c>
      <c r="M61" s="830">
        <f t="shared" si="9"/>
        <v>-1272268.9091313623</v>
      </c>
      <c r="N61" s="830">
        <f t="shared" si="9"/>
        <v>-1223136.8056544894</v>
      </c>
      <c r="O61" s="830">
        <f t="shared" si="9"/>
        <v>-1368326.8822555086</v>
      </c>
      <c r="P61" s="329">
        <f t="shared" ref="P61" si="10">SUM(D61:O61)</f>
        <v>-11077254.517041363</v>
      </c>
      <c r="Q61" s="384"/>
      <c r="R61" s="116"/>
    </row>
    <row r="62" spans="1:18">
      <c r="A62" s="389">
        <f t="shared" si="1"/>
        <v>51</v>
      </c>
      <c r="B62" s="116"/>
      <c r="C62" s="213" t="s">
        <v>189</v>
      </c>
      <c r="D62" s="831">
        <f>D63/D61</f>
        <v>0.49970001346771215</v>
      </c>
      <c r="E62" s="831">
        <f t="shared" ref="E62:I62" si="11">E63/E61</f>
        <v>0.49969999364456369</v>
      </c>
      <c r="F62" s="831">
        <f t="shared" si="11"/>
        <v>0.49970000947433912</v>
      </c>
      <c r="G62" s="831">
        <f t="shared" si="11"/>
        <v>0.49969999776135193</v>
      </c>
      <c r="H62" s="831">
        <f t="shared" si="11"/>
        <v>0.49969999989719183</v>
      </c>
      <c r="I62" s="831">
        <f t="shared" si="11"/>
        <v>0.49969999023070477</v>
      </c>
      <c r="J62" s="832">
        <f>Allocation!$I$17</f>
        <v>0.49969999999999998</v>
      </c>
      <c r="K62" s="832">
        <f>Allocation!$I$17</f>
        <v>0.49969999999999998</v>
      </c>
      <c r="L62" s="832">
        <f>Allocation!$I$17</f>
        <v>0.49969999999999998</v>
      </c>
      <c r="M62" s="832">
        <f>Allocation!$I$17</f>
        <v>0.49969999999999998</v>
      </c>
      <c r="N62" s="832">
        <f>Allocation!$I$17</f>
        <v>0.49969999999999998</v>
      </c>
      <c r="O62" s="832">
        <f>Allocation!$I$17</f>
        <v>0.49969999999999998</v>
      </c>
      <c r="P62" s="831">
        <f t="shared" ref="P62" si="12">P63/P61</f>
        <v>0.49970000003204756</v>
      </c>
      <c r="Q62" s="116"/>
      <c r="R62" s="116"/>
    </row>
    <row r="63" spans="1:18">
      <c r="A63" s="389">
        <f t="shared" si="1"/>
        <v>52</v>
      </c>
      <c r="B63" s="116"/>
      <c r="C63" s="116" t="s">
        <v>202</v>
      </c>
      <c r="D63" s="782">
        <v>-323728.53000000003</v>
      </c>
      <c r="E63" s="782">
        <v>-433305.67</v>
      </c>
      <c r="F63" s="782">
        <v>-220516.25</v>
      </c>
      <c r="G63" s="782">
        <v>-363170.92</v>
      </c>
      <c r="H63" s="782">
        <v>-413143.49</v>
      </c>
      <c r="I63" s="782">
        <v>-272527.5</v>
      </c>
      <c r="J63" s="329">
        <f t="shared" ref="J63:O63" si="13">J61*J62</f>
        <v>-543340.46000400011</v>
      </c>
      <c r="K63" s="329">
        <f t="shared" si="13"/>
        <v>-508489.50313199993</v>
      </c>
      <c r="L63" s="329">
        <f t="shared" si="13"/>
        <v>-526374.58064299996</v>
      </c>
      <c r="M63" s="329">
        <f t="shared" si="13"/>
        <v>-635752.77389294177</v>
      </c>
      <c r="N63" s="329">
        <f t="shared" si="13"/>
        <v>-611201.46178554837</v>
      </c>
      <c r="O63" s="329">
        <f t="shared" si="13"/>
        <v>-683752.94306307763</v>
      </c>
      <c r="P63" s="329">
        <f>SUM(D63:O63)</f>
        <v>-5535304.0825205678</v>
      </c>
      <c r="Q63" s="116"/>
      <c r="R63" s="116"/>
    </row>
    <row r="64" spans="1:18">
      <c r="A64" s="116"/>
      <c r="B64" s="116"/>
      <c r="C64" s="460"/>
      <c r="D64" s="357"/>
      <c r="E64" s="357"/>
      <c r="F64" s="357"/>
      <c r="G64" s="357"/>
      <c r="H64" s="357"/>
      <c r="I64" s="357"/>
      <c r="J64" s="116"/>
      <c r="K64" s="116"/>
      <c r="L64" s="116"/>
      <c r="M64" s="116"/>
      <c r="N64" s="116"/>
      <c r="O64" s="116"/>
      <c r="P64" s="116"/>
      <c r="Q64" s="116"/>
      <c r="R64" s="116"/>
    </row>
    <row r="65" spans="1:18">
      <c r="A65" s="116"/>
      <c r="B65" s="116"/>
      <c r="C65" s="460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</row>
    <row r="66" spans="1:18">
      <c r="A66" s="116"/>
      <c r="B66" s="116" t="s">
        <v>535</v>
      </c>
      <c r="C66" s="460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</row>
    <row r="67" spans="1:18">
      <c r="A67" s="116"/>
      <c r="B67" s="116"/>
      <c r="C67" s="460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</row>
    <row r="68" spans="1:18">
      <c r="A68" s="116"/>
      <c r="B68" s="116"/>
      <c r="C68" s="460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</row>
    <row r="69" spans="1:18">
      <c r="A69" s="116"/>
      <c r="B69" s="116" t="s">
        <v>919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84"/>
      <c r="P69" s="116"/>
      <c r="Q69" s="116"/>
      <c r="R69" s="116"/>
    </row>
    <row r="70" spans="1:18">
      <c r="A70" s="116"/>
      <c r="B70" t="s">
        <v>1670</v>
      </c>
      <c r="C70" s="329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84"/>
      <c r="P70" s="116"/>
      <c r="Q70" s="329"/>
      <c r="R70" s="116"/>
    </row>
    <row r="71" spans="1:18">
      <c r="A71" s="116"/>
      <c r="B71" t="s">
        <v>1673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226"/>
      <c r="P71" s="116"/>
      <c r="Q71" s="116"/>
      <c r="R71" s="116"/>
    </row>
    <row r="72" spans="1:18">
      <c r="A72" s="116"/>
      <c r="B72" t="s">
        <v>1671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84"/>
      <c r="P72" s="116"/>
      <c r="Q72" s="116"/>
      <c r="R72" s="116"/>
    </row>
    <row r="73" spans="1:18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84"/>
      <c r="P73" s="116"/>
      <c r="Q73" s="116"/>
      <c r="R73" s="116"/>
    </row>
    <row r="74" spans="1:18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</row>
    <row r="75" spans="1:18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</row>
    <row r="77" spans="1:18">
      <c r="C77" s="329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59" header="0.5" footer="0.25"/>
  <pageSetup scale="50" fitToHeight="2" orientation="landscape" verticalDpi="300" r:id="rId1"/>
  <headerFooter alignWithMargins="0">
    <oddFooter>&amp;RSchedule &amp;A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2">
    <tabColor rgb="FF92D050"/>
    <pageSetUpPr fitToPage="1"/>
  </sheetPr>
  <dimension ref="A1:R60"/>
  <sheetViews>
    <sheetView tabSelected="1" view="pageBreakPreview" zoomScale="80" zoomScaleNormal="80" zoomScaleSheetLayoutView="80" workbookViewId="0">
      <selection activeCell="G38" sqref="G38"/>
    </sheetView>
  </sheetViews>
  <sheetFormatPr defaultColWidth="9.6640625" defaultRowHeight="15"/>
  <cols>
    <col min="1" max="1" width="4.6640625" style="30" customWidth="1"/>
    <col min="2" max="2" width="40" style="30" customWidth="1"/>
    <col min="3" max="3" width="20.5546875" style="30" customWidth="1"/>
    <col min="4" max="4" width="1.77734375" style="30" customWidth="1"/>
    <col min="5" max="5" width="16" style="30" bestFit="1" customWidth="1"/>
    <col min="6" max="6" width="3" style="30" customWidth="1"/>
    <col min="7" max="7" width="17.33203125" style="30" bestFit="1" customWidth="1"/>
    <col min="8" max="8" width="3" style="30" customWidth="1"/>
    <col min="9" max="9" width="2.109375" style="30" customWidth="1"/>
    <col min="10" max="10" width="11.77734375" style="30" customWidth="1"/>
    <col min="11" max="11" width="2.21875" style="30" customWidth="1"/>
    <col min="12" max="12" width="22.109375" style="30" bestFit="1" customWidth="1"/>
    <col min="13" max="13" width="27.77734375" style="30" bestFit="1" customWidth="1"/>
    <col min="14" max="14" width="11.44140625" style="30" customWidth="1"/>
    <col min="15" max="15" width="1.77734375" style="30" customWidth="1"/>
    <col min="16" max="16" width="12" style="30" customWidth="1"/>
    <col min="17" max="17" width="17.33203125" style="30" bestFit="1" customWidth="1"/>
    <col min="18" max="18" width="18.6640625" style="30" customWidth="1"/>
    <col min="19" max="19" width="11.6640625" style="30" customWidth="1"/>
    <col min="20" max="20" width="9.6640625" style="30"/>
    <col min="21" max="21" width="23.6640625" style="30" customWidth="1"/>
    <col min="22" max="22" width="14.6640625" style="30" customWidth="1"/>
    <col min="23" max="23" width="18.6640625" style="30" customWidth="1"/>
    <col min="24" max="24" width="13.6640625" style="30" customWidth="1"/>
    <col min="25" max="25" width="29.6640625" style="30" customWidth="1"/>
    <col min="26" max="26" width="9.6640625" style="30"/>
    <col min="27" max="27" width="14.6640625" style="30" customWidth="1"/>
    <col min="28" max="28" width="13.6640625" style="30" customWidth="1"/>
    <col min="29" max="29" width="11.6640625" style="30" customWidth="1"/>
    <col min="30" max="30" width="9.6640625" style="30"/>
    <col min="31" max="31" width="4.6640625" style="30" customWidth="1"/>
    <col min="32" max="32" width="48.6640625" style="30" customWidth="1"/>
    <col min="33" max="33" width="9.6640625" style="30"/>
    <col min="34" max="37" width="10.6640625" style="30" customWidth="1"/>
    <col min="38" max="39" width="9.6640625" style="30"/>
    <col min="40" max="40" width="4.6640625" style="30" customWidth="1"/>
    <col min="41" max="41" width="50.6640625" style="30" customWidth="1"/>
    <col min="42" max="42" width="9.6640625" style="30"/>
    <col min="43" max="43" width="11.6640625" style="30" customWidth="1"/>
    <col min="44" max="44" width="9.6640625" style="30"/>
    <col min="45" max="46" width="4.6640625" style="30" customWidth="1"/>
    <col min="47" max="47" width="40.6640625" style="30" customWidth="1"/>
    <col min="48" max="48" width="1.6640625" style="30" customWidth="1"/>
    <col min="49" max="52" width="11.6640625" style="30" customWidth="1"/>
    <col min="53" max="54" width="9.6640625" style="30"/>
    <col min="55" max="55" width="4.6640625" style="30" customWidth="1"/>
    <col min="56" max="56" width="30.6640625" style="30" customWidth="1"/>
    <col min="57" max="65" width="9.6640625" style="30"/>
    <col min="66" max="66" width="14.6640625" style="30" customWidth="1"/>
    <col min="67" max="68" width="9.6640625" style="30"/>
    <col min="69" max="69" width="12.6640625" style="30" customWidth="1"/>
    <col min="70" max="70" width="10.6640625" style="30" customWidth="1"/>
    <col min="71" max="16384" width="9.6640625" style="30"/>
  </cols>
  <sheetData>
    <row r="1" spans="1:18" s="1" customFormat="1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G1" s="1059"/>
      <c r="H1" s="25"/>
    </row>
    <row r="2" spans="1:18" s="1" customFormat="1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G2" s="1059"/>
      <c r="H2" s="25"/>
    </row>
    <row r="3" spans="1:18" s="1" customFormat="1">
      <c r="A3" s="1060" t="s">
        <v>964</v>
      </c>
      <c r="B3" s="1060"/>
      <c r="C3" s="1060"/>
      <c r="D3" s="1060"/>
      <c r="E3" s="1060"/>
      <c r="F3" s="1060"/>
      <c r="G3" s="1060"/>
      <c r="H3" s="25"/>
    </row>
    <row r="4" spans="1:18" s="1" customFormat="1">
      <c r="A4" s="1059" t="str">
        <f>'Table of Contents'!A4:C4</f>
        <v>Forecasted Test Period:  Twelve Months Ended March 31, 2026</v>
      </c>
      <c r="B4" s="1059"/>
      <c r="C4" s="1059"/>
      <c r="D4" s="1059"/>
      <c r="E4" s="1059"/>
      <c r="F4" s="1059"/>
      <c r="G4" s="1059"/>
      <c r="H4" s="25"/>
      <c r="Q4"/>
      <c r="R4"/>
    </row>
    <row r="5" spans="1:18" s="1" customFormat="1">
      <c r="A5" s="26"/>
      <c r="B5" s="25"/>
      <c r="C5" s="25"/>
      <c r="D5" s="25"/>
      <c r="E5" s="25"/>
      <c r="F5" s="25"/>
      <c r="G5" s="25"/>
      <c r="H5" s="25"/>
      <c r="Q5"/>
      <c r="R5"/>
    </row>
    <row r="6" spans="1:18" s="1" customFormat="1">
      <c r="D6" s="3"/>
      <c r="E6" s="3"/>
      <c r="F6" s="3"/>
      <c r="Q6"/>
      <c r="R6"/>
    </row>
    <row r="7" spans="1:18" s="1" customFormat="1">
      <c r="A7" s="4" t="s">
        <v>389</v>
      </c>
      <c r="G7" s="84" t="s">
        <v>1318</v>
      </c>
      <c r="H7" s="4"/>
      <c r="I7" s="420"/>
      <c r="Q7"/>
      <c r="R7"/>
    </row>
    <row r="8" spans="1:18" s="1" customFormat="1">
      <c r="A8" s="4" t="s">
        <v>588</v>
      </c>
      <c r="G8" s="17" t="s">
        <v>55</v>
      </c>
      <c r="H8" s="4"/>
      <c r="I8" s="420"/>
      <c r="Q8"/>
      <c r="R8"/>
    </row>
    <row r="9" spans="1:18" s="1" customFormat="1">
      <c r="A9" s="5" t="s">
        <v>356</v>
      </c>
      <c r="B9" s="6"/>
      <c r="C9" s="6"/>
      <c r="D9" s="7"/>
      <c r="E9" s="7"/>
      <c r="F9" s="7"/>
      <c r="G9" s="635" t="s">
        <v>1646</v>
      </c>
      <c r="H9" s="4"/>
      <c r="I9" s="420"/>
      <c r="Q9"/>
      <c r="R9"/>
    </row>
    <row r="10" spans="1:18" s="1" customFormat="1">
      <c r="D10" s="8"/>
      <c r="E10" s="2" t="s">
        <v>42</v>
      </c>
      <c r="F10" s="8"/>
      <c r="G10" s="2" t="s">
        <v>41</v>
      </c>
      <c r="I10" s="420"/>
      <c r="Q10"/>
      <c r="R10"/>
    </row>
    <row r="11" spans="1:18" s="1" customFormat="1">
      <c r="C11" s="2" t="s">
        <v>1143</v>
      </c>
      <c r="D11" s="8"/>
      <c r="E11" s="2" t="s">
        <v>92</v>
      </c>
      <c r="F11" s="8"/>
      <c r="G11" s="2" t="s">
        <v>92</v>
      </c>
      <c r="I11" s="420"/>
      <c r="Q11"/>
      <c r="R11"/>
    </row>
    <row r="12" spans="1:18" s="1" customFormat="1">
      <c r="A12" s="2" t="s">
        <v>88</v>
      </c>
      <c r="C12" s="2" t="s">
        <v>56</v>
      </c>
      <c r="D12" s="8"/>
      <c r="E12" s="2" t="s">
        <v>568</v>
      </c>
      <c r="F12" s="8"/>
      <c r="G12" s="2" t="s">
        <v>568</v>
      </c>
      <c r="I12" s="420"/>
      <c r="J12" s="397"/>
      <c r="K12" s="398"/>
      <c r="L12" s="397"/>
      <c r="M12" s="397"/>
      <c r="N12" s="397"/>
      <c r="O12" s="397"/>
      <c r="P12" s="397"/>
      <c r="Q12"/>
      <c r="R12"/>
    </row>
    <row r="13" spans="1:18" s="1" customFormat="1">
      <c r="A13" s="9" t="s">
        <v>94</v>
      </c>
      <c r="B13" s="9" t="s">
        <v>949</v>
      </c>
      <c r="C13" s="9" t="s">
        <v>96</v>
      </c>
      <c r="D13" s="7"/>
      <c r="E13" s="9" t="s">
        <v>955</v>
      </c>
      <c r="F13" s="7"/>
      <c r="G13" s="9" t="s">
        <v>955</v>
      </c>
      <c r="I13" s="420"/>
      <c r="J13" s="397"/>
      <c r="K13" s="397"/>
      <c r="L13" s="397"/>
      <c r="M13" s="397"/>
      <c r="N13" s="397"/>
      <c r="O13" s="397"/>
      <c r="P13" s="397"/>
      <c r="Q13"/>
      <c r="R13"/>
    </row>
    <row r="14" spans="1:18" s="1" customFormat="1">
      <c r="B14" s="537" t="s">
        <v>721</v>
      </c>
      <c r="C14" s="537" t="s">
        <v>722</v>
      </c>
      <c r="D14" s="8"/>
      <c r="E14" s="537" t="s">
        <v>390</v>
      </c>
      <c r="F14" s="8"/>
      <c r="G14" s="537" t="s">
        <v>723</v>
      </c>
      <c r="I14" s="420"/>
      <c r="J14" s="399"/>
      <c r="K14" s="400"/>
      <c r="L14" s="399"/>
      <c r="M14" s="397"/>
      <c r="N14" s="399"/>
      <c r="O14" s="400"/>
      <c r="P14" s="399"/>
      <c r="Q14"/>
      <c r="R14"/>
    </row>
    <row r="15" spans="1:18" s="1" customFormat="1">
      <c r="D15" s="8"/>
      <c r="E15" s="8"/>
      <c r="F15" s="8"/>
      <c r="G15" s="10"/>
      <c r="H15" s="10"/>
      <c r="I15" s="421"/>
      <c r="J15" s="397"/>
      <c r="K15" s="397"/>
      <c r="L15" s="397"/>
      <c r="M15" s="397"/>
      <c r="N15" s="397"/>
      <c r="O15" s="397"/>
      <c r="P15" s="397"/>
      <c r="Q15"/>
      <c r="R15"/>
    </row>
    <row r="16" spans="1:18" s="1" customFormat="1">
      <c r="A16" s="2">
        <v>1</v>
      </c>
      <c r="B16" s="4" t="s">
        <v>262</v>
      </c>
      <c r="C16" s="2" t="s">
        <v>358</v>
      </c>
      <c r="E16" s="687">
        <f>'B.1 B'!F27</f>
        <v>625170076.1927433</v>
      </c>
      <c r="G16" s="688">
        <f>'B.1 F '!F27</f>
        <v>628286275.63234186</v>
      </c>
      <c r="H16" s="10"/>
      <c r="I16" s="420"/>
      <c r="J16" s="397"/>
      <c r="K16" s="397"/>
      <c r="L16" s="397"/>
      <c r="M16" s="397"/>
      <c r="N16" s="397"/>
      <c r="O16" s="397"/>
      <c r="P16" s="397"/>
      <c r="Q16"/>
      <c r="R16"/>
    </row>
    <row r="17" spans="1:18" s="1" customFormat="1">
      <c r="G17" s="10"/>
      <c r="H17" s="10"/>
      <c r="I17" s="420"/>
      <c r="J17" s="397"/>
      <c r="K17" s="397"/>
      <c r="L17" s="397"/>
      <c r="M17" s="397"/>
      <c r="N17" s="397"/>
      <c r="O17" s="397"/>
      <c r="P17" s="397"/>
      <c r="Q17"/>
      <c r="R17"/>
    </row>
    <row r="18" spans="1:18" s="1" customFormat="1">
      <c r="A18" s="2">
        <v>2</v>
      </c>
      <c r="B18" s="4" t="s">
        <v>119</v>
      </c>
      <c r="C18" s="2" t="s">
        <v>359</v>
      </c>
      <c r="E18" s="688">
        <f>C.1!D26</f>
        <v>29122460.117827296</v>
      </c>
      <c r="G18" s="688">
        <f>C.1!F26</f>
        <v>26292062.584406286</v>
      </c>
      <c r="H18" s="10"/>
      <c r="I18" s="421"/>
      <c r="J18" s="397"/>
      <c r="K18" s="397"/>
      <c r="L18" s="397"/>
      <c r="M18" s="397"/>
      <c r="N18" s="397"/>
      <c r="O18" s="397"/>
      <c r="P18" s="397"/>
      <c r="Q18"/>
      <c r="R18"/>
    </row>
    <row r="19" spans="1:18" s="1" customFormat="1">
      <c r="G19" s="10"/>
      <c r="H19" s="10"/>
      <c r="I19" s="420"/>
      <c r="J19" s="397"/>
      <c r="K19" s="397"/>
      <c r="L19" s="397"/>
      <c r="M19" s="397"/>
      <c r="N19" s="397"/>
      <c r="O19" s="397"/>
      <c r="P19" s="397"/>
      <c r="Q19"/>
      <c r="R19"/>
    </row>
    <row r="20" spans="1:18" s="1" customFormat="1">
      <c r="A20" s="2">
        <v>3</v>
      </c>
      <c r="B20" s="4" t="s">
        <v>391</v>
      </c>
      <c r="C20" s="38" t="s">
        <v>136</v>
      </c>
      <c r="E20" s="372">
        <f>ROUND(E18/E16,4)</f>
        <v>4.6600000000000003E-2</v>
      </c>
      <c r="G20" s="372">
        <f>ROUND(G18/G16,4)</f>
        <v>4.1799999999999997E-2</v>
      </c>
      <c r="H20" s="11"/>
      <c r="I20" s="422"/>
      <c r="J20" s="397"/>
      <c r="K20" s="397"/>
      <c r="L20" s="397"/>
      <c r="M20" s="397"/>
      <c r="N20" s="397"/>
      <c r="O20" s="397"/>
      <c r="P20" s="397"/>
      <c r="Q20"/>
      <c r="R20"/>
    </row>
    <row r="21" spans="1:18" s="1" customFormat="1">
      <c r="G21" s="10"/>
      <c r="H21" s="10"/>
      <c r="I21" s="420"/>
      <c r="J21" s="397"/>
      <c r="K21" s="397"/>
      <c r="L21" s="397"/>
      <c r="M21" s="397"/>
      <c r="N21" s="397"/>
      <c r="O21" s="397"/>
      <c r="P21" s="397"/>
      <c r="Q21"/>
      <c r="R21"/>
    </row>
    <row r="22" spans="1:18" s="1" customFormat="1">
      <c r="A22" s="2">
        <v>4</v>
      </c>
      <c r="B22" s="4" t="s">
        <v>278</v>
      </c>
      <c r="C22" s="2" t="s">
        <v>1092</v>
      </c>
      <c r="E22" s="689">
        <f>'J-1 Base'!M27</f>
        <v>8.2400000000000001E-2</v>
      </c>
      <c r="G22" s="690">
        <f>'J-1 F'!M28</f>
        <v>8.299999999999999E-2</v>
      </c>
      <c r="H22" s="11"/>
      <c r="I22" s="423"/>
      <c r="J22" s="1013"/>
      <c r="K22" s="397"/>
      <c r="L22" s="401"/>
      <c r="M22" s="397"/>
      <c r="N22" s="401"/>
      <c r="O22" s="397"/>
      <c r="P22" s="401"/>
      <c r="Q22"/>
      <c r="R22"/>
    </row>
    <row r="23" spans="1:18" s="1" customFormat="1">
      <c r="G23" s="10"/>
      <c r="H23" s="10"/>
      <c r="I23" s="420"/>
      <c r="J23" s="397"/>
      <c r="K23" s="397"/>
      <c r="L23" s="397"/>
      <c r="M23" s="397"/>
      <c r="N23" s="397"/>
      <c r="O23" s="397"/>
      <c r="P23" s="397"/>
      <c r="Q23"/>
      <c r="R23"/>
    </row>
    <row r="24" spans="1:18" s="1" customFormat="1">
      <c r="A24" s="2">
        <v>5</v>
      </c>
      <c r="B24" s="4" t="s">
        <v>392</v>
      </c>
      <c r="C24" s="38" t="s">
        <v>359</v>
      </c>
      <c r="E24" s="691">
        <f>ROUND(E16*E22,0)</f>
        <v>51514014</v>
      </c>
      <c r="G24" s="691">
        <f>ROUND(G16*G22,0)</f>
        <v>52147761</v>
      </c>
      <c r="H24" s="10"/>
      <c r="I24" s="421"/>
      <c r="J24" s="397"/>
      <c r="K24" s="397"/>
      <c r="L24" s="397"/>
      <c r="M24" s="397"/>
      <c r="N24" s="397"/>
      <c r="O24" s="397"/>
      <c r="P24" s="397"/>
      <c r="Q24"/>
      <c r="R24"/>
    </row>
    <row r="25" spans="1:18" s="1" customFormat="1">
      <c r="G25" s="10"/>
      <c r="H25" s="10"/>
      <c r="I25" s="420"/>
      <c r="J25" s="397"/>
      <c r="K25" s="397"/>
      <c r="L25" s="397"/>
      <c r="M25" s="397"/>
      <c r="N25" s="397"/>
      <c r="O25" s="397"/>
      <c r="P25" s="397"/>
      <c r="Q25"/>
      <c r="R25"/>
    </row>
    <row r="26" spans="1:18" s="1" customFormat="1">
      <c r="A26" s="2">
        <v>6</v>
      </c>
      <c r="B26" s="4" t="s">
        <v>393</v>
      </c>
      <c r="C26" s="38" t="s">
        <v>359</v>
      </c>
      <c r="E26" s="691">
        <f>(E24-E18)</f>
        <v>22391553.882172704</v>
      </c>
      <c r="G26" s="691">
        <f>(G24-G18)</f>
        <v>25855698.415593714</v>
      </c>
      <c r="H26" s="10"/>
      <c r="I26" s="421"/>
      <c r="J26" s="397"/>
      <c r="K26" s="397"/>
      <c r="L26" s="397"/>
      <c r="M26" s="397"/>
      <c r="N26" s="397"/>
      <c r="O26" s="397"/>
      <c r="P26" s="397"/>
      <c r="Q26"/>
      <c r="R26"/>
    </row>
    <row r="27" spans="1:18" s="1" customFormat="1">
      <c r="G27" s="10"/>
      <c r="H27" s="10"/>
      <c r="I27" s="420"/>
      <c r="J27" s="397"/>
      <c r="K27" s="397"/>
      <c r="L27" s="397"/>
      <c r="M27" s="397"/>
      <c r="N27" s="397"/>
      <c r="O27" s="397"/>
      <c r="P27" s="397"/>
      <c r="Q27"/>
      <c r="R27"/>
    </row>
    <row r="28" spans="1:18" s="1" customFormat="1">
      <c r="A28" s="2">
        <v>7</v>
      </c>
      <c r="B28" s="4" t="s">
        <v>121</v>
      </c>
      <c r="C28" s="2" t="s">
        <v>360</v>
      </c>
      <c r="E28" s="692">
        <f>H.1!D34</f>
        <v>1.34802</v>
      </c>
      <c r="G28" s="692">
        <f>H.1!E34</f>
        <v>1.34802</v>
      </c>
      <c r="H28" s="10"/>
      <c r="I28" s="424"/>
      <c r="J28" s="397"/>
      <c r="K28" s="397"/>
      <c r="L28" s="397"/>
      <c r="M28" s="397"/>
      <c r="N28" s="397"/>
      <c r="O28" s="397"/>
      <c r="P28" s="397"/>
      <c r="Q28"/>
      <c r="R28"/>
    </row>
    <row r="29" spans="1:18" s="1" customFormat="1">
      <c r="G29" s="10"/>
      <c r="H29" s="10"/>
      <c r="I29" s="420"/>
      <c r="J29" s="397"/>
      <c r="K29" s="397"/>
      <c r="L29" s="397"/>
      <c r="M29" s="397"/>
      <c r="N29" s="397"/>
      <c r="O29" s="397"/>
      <c r="P29" s="397"/>
      <c r="Q29"/>
      <c r="R29"/>
    </row>
    <row r="30" spans="1:18" ht="15.75">
      <c r="A30" s="2">
        <v>8</v>
      </c>
      <c r="B30" s="22" t="s">
        <v>394</v>
      </c>
      <c r="C30" s="50" t="s">
        <v>359</v>
      </c>
      <c r="E30" s="693">
        <f>ROUND(E26*E28,0)</f>
        <v>30184262</v>
      </c>
      <c r="G30" s="693">
        <f>ROUND(G26*G28,0)</f>
        <v>34853999</v>
      </c>
      <c r="I30" s="425"/>
      <c r="J30" s="15"/>
      <c r="K30" s="397"/>
      <c r="L30" s="397"/>
      <c r="M30" s="1036"/>
      <c r="N30" s="397"/>
      <c r="O30" s="397"/>
      <c r="P30" s="397"/>
      <c r="Q30"/>
      <c r="R30"/>
    </row>
    <row r="31" spans="1:18">
      <c r="H31" s="103"/>
      <c r="I31" s="426"/>
      <c r="K31" s="397"/>
      <c r="L31" s="476"/>
      <c r="N31" s="397"/>
      <c r="O31" s="397"/>
      <c r="P31" s="397"/>
      <c r="Q31"/>
      <c r="R31"/>
    </row>
    <row r="32" spans="1:18">
      <c r="A32" s="2">
        <v>9</v>
      </c>
      <c r="B32" s="30" t="s">
        <v>1587</v>
      </c>
      <c r="G32" s="103">
        <v>-140</v>
      </c>
      <c r="H32" s="103"/>
      <c r="I32" s="426"/>
      <c r="J32" s="103"/>
      <c r="K32" s="397"/>
      <c r="L32" s="359"/>
      <c r="N32" s="397"/>
      <c r="O32" s="397"/>
      <c r="P32" s="397"/>
      <c r="Q32"/>
      <c r="R32"/>
    </row>
    <row r="33" spans="1:18">
      <c r="G33" s="103"/>
      <c r="H33" s="103"/>
      <c r="I33" s="426"/>
      <c r="J33" s="397"/>
      <c r="K33" s="397"/>
      <c r="L33" s="397"/>
      <c r="M33" s="397"/>
      <c r="N33" s="397"/>
      <c r="O33" s="397"/>
      <c r="P33" s="397"/>
      <c r="Q33"/>
      <c r="R33"/>
    </row>
    <row r="34" spans="1:18">
      <c r="A34" s="50">
        <v>10</v>
      </c>
      <c r="B34" s="30" t="s">
        <v>1492</v>
      </c>
      <c r="C34" s="50" t="s">
        <v>1560</v>
      </c>
      <c r="E34" s="694">
        <f>-'WP B.5 B1'!E23</f>
        <v>-8674414.4364032019</v>
      </c>
      <c r="G34" s="695">
        <f>-'WP B.5 F1'!E13</f>
        <v>-189997.85724863189</v>
      </c>
      <c r="H34" s="103"/>
      <c r="I34" s="426"/>
      <c r="J34" s="397"/>
      <c r="K34" s="397"/>
      <c r="L34" s="397"/>
      <c r="M34" s="397"/>
      <c r="N34" s="397"/>
      <c r="O34" s="397"/>
      <c r="P34" s="397"/>
      <c r="Q34"/>
      <c r="R34"/>
    </row>
    <row r="35" spans="1:18">
      <c r="G35" s="103"/>
      <c r="H35" s="103"/>
      <c r="I35" s="426"/>
      <c r="J35" s="397"/>
      <c r="K35" s="397"/>
      <c r="L35" s="397"/>
      <c r="M35" s="397"/>
      <c r="N35" s="397"/>
      <c r="O35" s="397"/>
      <c r="P35" s="397"/>
      <c r="Q35"/>
      <c r="R35"/>
    </row>
    <row r="36" spans="1:18" ht="15.75">
      <c r="A36" s="50">
        <v>11</v>
      </c>
      <c r="B36" s="676" t="s">
        <v>1588</v>
      </c>
      <c r="E36" s="696">
        <f>E30+E34</f>
        <v>21509847.5635968</v>
      </c>
      <c r="F36" s="675"/>
      <c r="G36" s="696">
        <f>G30+G34+G32</f>
        <v>34663861.142751366</v>
      </c>
      <c r="H36" s="103"/>
      <c r="I36" s="426"/>
      <c r="J36" s="397"/>
      <c r="K36" s="397"/>
      <c r="L36" s="397"/>
      <c r="M36" s="397"/>
      <c r="N36" s="397"/>
      <c r="O36" s="397"/>
      <c r="P36" s="397"/>
      <c r="Q36"/>
      <c r="R36"/>
    </row>
    <row r="37" spans="1:18">
      <c r="G37" s="103"/>
      <c r="H37" s="103"/>
      <c r="I37" s="426"/>
      <c r="J37" s="397"/>
      <c r="K37" s="397"/>
      <c r="L37" s="397"/>
      <c r="M37" s="397"/>
      <c r="N37" s="397"/>
      <c r="O37" s="397"/>
      <c r="P37" s="397"/>
      <c r="Q37"/>
      <c r="R37"/>
    </row>
    <row r="38" spans="1:18">
      <c r="A38" s="50">
        <v>12</v>
      </c>
      <c r="B38" s="30" t="s">
        <v>1556</v>
      </c>
      <c r="C38" s="50" t="s">
        <v>1544</v>
      </c>
      <c r="G38" s="695">
        <f>-F.12!I39</f>
        <v>-2188517.4233333329</v>
      </c>
      <c r="H38" s="103"/>
      <c r="I38" s="426"/>
      <c r="J38" s="15"/>
      <c r="K38" s="397"/>
      <c r="L38" s="397"/>
      <c r="M38" s="397"/>
      <c r="N38" s="397"/>
      <c r="O38" s="397"/>
      <c r="P38" s="397"/>
      <c r="Q38"/>
      <c r="R38"/>
    </row>
    <row r="39" spans="1:18">
      <c r="G39" s="103"/>
      <c r="H39" s="103"/>
      <c r="I39" s="426"/>
      <c r="J39" s="1037"/>
      <c r="K39" s="1038"/>
      <c r="L39" s="1037"/>
      <c r="M39" s="397"/>
      <c r="N39" s="397"/>
      <c r="O39" s="397"/>
      <c r="P39" s="397"/>
      <c r="Q39"/>
      <c r="R39"/>
    </row>
    <row r="40" spans="1:18" ht="15.75">
      <c r="A40" s="104">
        <v>13</v>
      </c>
      <c r="B40" s="295" t="s">
        <v>1071</v>
      </c>
      <c r="C40" s="131" t="s">
        <v>359</v>
      </c>
      <c r="D40" s="59"/>
      <c r="E40" s="59"/>
      <c r="F40" s="59"/>
      <c r="G40" s="696">
        <f>G36+G38</f>
        <v>32475343.719418034</v>
      </c>
      <c r="H40" s="103"/>
      <c r="I40" s="426"/>
      <c r="J40" s="185"/>
      <c r="K40" s="397"/>
      <c r="L40" s="920"/>
      <c r="M40" s="397"/>
      <c r="N40" s="397"/>
      <c r="O40" s="397"/>
      <c r="P40" s="397"/>
      <c r="Q40"/>
      <c r="R40"/>
    </row>
    <row r="41" spans="1:18">
      <c r="G41" s="103"/>
      <c r="H41" s="103"/>
      <c r="I41" s="426"/>
      <c r="J41" s="397"/>
      <c r="K41" s="397"/>
      <c r="L41" s="397"/>
      <c r="M41" s="397"/>
      <c r="N41" s="397"/>
      <c r="O41" s="397"/>
      <c r="P41" s="397"/>
      <c r="Q41"/>
      <c r="R41"/>
    </row>
    <row r="42" spans="1:18">
      <c r="A42" s="104">
        <v>14</v>
      </c>
      <c r="B42" s="98" t="s">
        <v>1144</v>
      </c>
      <c r="C42" s="104" t="s">
        <v>359</v>
      </c>
      <c r="G42" s="688">
        <f>C.1!F15</f>
        <v>187822013.2190111</v>
      </c>
      <c r="H42" s="103"/>
      <c r="I42" s="426"/>
      <c r="J42" s="397"/>
      <c r="K42" s="397"/>
      <c r="L42" s="397"/>
      <c r="M42" s="397"/>
      <c r="N42" s="397"/>
      <c r="O42" s="397"/>
      <c r="P42" s="397"/>
      <c r="Q42"/>
      <c r="R42"/>
    </row>
    <row r="43" spans="1:18">
      <c r="E43"/>
      <c r="G43" s="103"/>
      <c r="H43" s="103"/>
      <c r="I43" s="426"/>
      <c r="J43" s="397"/>
      <c r="K43" s="397"/>
      <c r="L43" s="397"/>
      <c r="M43" s="397"/>
      <c r="N43" s="397"/>
      <c r="O43" s="397"/>
      <c r="P43" s="397"/>
      <c r="Q43"/>
      <c r="R43"/>
    </row>
    <row r="44" spans="1:18" ht="15.75">
      <c r="A44" s="104">
        <v>15</v>
      </c>
      <c r="B44" s="295" t="s">
        <v>1559</v>
      </c>
      <c r="C44" s="104" t="s">
        <v>359</v>
      </c>
      <c r="E44"/>
      <c r="G44" s="696">
        <f>G40+G42</f>
        <v>220297356.93842912</v>
      </c>
      <c r="H44" s="103"/>
      <c r="I44" s="426"/>
      <c r="J44" s="397"/>
      <c r="K44" s="397"/>
      <c r="L44" s="397"/>
      <c r="M44" s="397"/>
      <c r="N44" s="397"/>
      <c r="O44" s="397"/>
      <c r="P44" s="397"/>
      <c r="Q44"/>
      <c r="R44"/>
    </row>
    <row r="45" spans="1:18">
      <c r="K45" s="103"/>
      <c r="Q45"/>
      <c r="R45"/>
    </row>
    <row r="46" spans="1:18">
      <c r="Q46"/>
      <c r="R46"/>
    </row>
    <row r="47" spans="1:18" ht="15.75">
      <c r="B47" s="122"/>
      <c r="C47" s="123"/>
      <c r="E47" s="84"/>
      <c r="G47" s="675"/>
      <c r="Q47"/>
      <c r="R47"/>
    </row>
    <row r="48" spans="1:18">
      <c r="G48" s="397"/>
      <c r="H48" s="397"/>
      <c r="Q48"/>
      <c r="R48"/>
    </row>
    <row r="49" spans="5:18">
      <c r="E49" s="291"/>
      <c r="G49"/>
      <c r="H49" s="397"/>
      <c r="J49" s="329"/>
      <c r="Q49"/>
      <c r="R49"/>
    </row>
    <row r="50" spans="5:18">
      <c r="G50" s="397"/>
      <c r="Q50"/>
      <c r="R50"/>
    </row>
    <row r="51" spans="5:18">
      <c r="E51" s="291"/>
      <c r="G51"/>
      <c r="J51" s="329"/>
      <c r="Q51"/>
      <c r="R51"/>
    </row>
    <row r="52" spans="5:18">
      <c r="L52" s="291"/>
      <c r="M52" s="291"/>
      <c r="Q52"/>
      <c r="R52"/>
    </row>
    <row r="53" spans="5:18">
      <c r="E53" s="291"/>
      <c r="J53" s="329"/>
      <c r="M53" s="329"/>
      <c r="Q53"/>
      <c r="R53"/>
    </row>
    <row r="54" spans="5:18">
      <c r="Q54"/>
      <c r="R54"/>
    </row>
    <row r="55" spans="5:18">
      <c r="E55" s="291"/>
      <c r="J55" s="329"/>
      <c r="Q55"/>
      <c r="R55"/>
    </row>
    <row r="56" spans="5:18">
      <c r="Q56"/>
      <c r="R56"/>
    </row>
    <row r="57" spans="5:18">
      <c r="G57" s="291"/>
      <c r="J57" s="697"/>
      <c r="Q57"/>
      <c r="R57"/>
    </row>
    <row r="59" spans="5:18">
      <c r="G59" s="680"/>
      <c r="H59" s="681"/>
      <c r="I59" s="681"/>
      <c r="J59" s="680"/>
      <c r="Q59" s="680"/>
    </row>
    <row r="60" spans="5:18">
      <c r="J60" s="375"/>
    </row>
  </sheetData>
  <mergeCells count="4">
    <mergeCell ref="A4:G4"/>
    <mergeCell ref="A3:G3"/>
    <mergeCell ref="A2:G2"/>
    <mergeCell ref="A1:G1"/>
  </mergeCells>
  <phoneticPr fontId="20" type="noConversion"/>
  <printOptions horizontalCentered="1"/>
  <pageMargins left="0.8" right="0.6" top="0.75" bottom="0.94" header="0.5" footer="0.37"/>
  <pageSetup scale="73" orientation="portrait" verticalDpi="300" r:id="rId1"/>
  <headerFooter alignWithMargins="0">
    <oddFooter>&amp;RSchedule &amp;A
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</sheetPr>
  <dimension ref="A1:Y132"/>
  <sheetViews>
    <sheetView view="pageBreakPreview" zoomScale="80" zoomScaleNormal="100" zoomScaleSheetLayoutView="80" workbookViewId="0">
      <selection activeCell="D17" sqref="D17"/>
    </sheetView>
  </sheetViews>
  <sheetFormatPr defaultColWidth="7.109375" defaultRowHeight="15"/>
  <cols>
    <col min="1" max="1" width="4.6640625" customWidth="1"/>
    <col min="2" max="2" width="9.109375" customWidth="1"/>
    <col min="3" max="3" width="38.77734375" customWidth="1"/>
    <col min="4" max="4" width="12.44140625" customWidth="1"/>
    <col min="5" max="6" width="11.109375" customWidth="1"/>
    <col min="7" max="7" width="11.77734375" bestFit="1" customWidth="1"/>
    <col min="8" max="8" width="11.33203125" bestFit="1" customWidth="1"/>
    <col min="9" max="9" width="12.44140625" customWidth="1"/>
    <col min="10" max="10" width="12.5546875" customWidth="1"/>
    <col min="11" max="11" width="11.33203125" bestFit="1" customWidth="1"/>
    <col min="12" max="13" width="12.44140625" bestFit="1" customWidth="1"/>
    <col min="14" max="14" width="11.33203125" bestFit="1" customWidth="1"/>
    <col min="15" max="15" width="12.44140625" customWidth="1"/>
    <col min="16" max="16" width="13.44140625" bestFit="1" customWidth="1"/>
    <col min="17" max="17" width="12.44140625" customWidth="1"/>
    <col min="18" max="18" width="10" customWidth="1"/>
    <col min="19" max="19" width="13.109375" customWidth="1"/>
    <col min="20" max="20" width="11.21875" customWidth="1"/>
  </cols>
  <sheetData>
    <row r="1" spans="1:19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  <c r="R1" s="1"/>
      <c r="S1" s="1"/>
    </row>
    <row r="2" spans="1:19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R2" s="617"/>
      <c r="S2" s="617"/>
    </row>
    <row r="3" spans="1:19">
      <c r="A3" s="1072" t="s">
        <v>397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  <c r="R3" s="617"/>
      <c r="S3" s="617"/>
    </row>
    <row r="4" spans="1:19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"/>
      <c r="R4" s="617"/>
      <c r="S4" s="617"/>
    </row>
    <row r="5" spans="1:19">
      <c r="A5" s="38"/>
      <c r="B5" s="38"/>
      <c r="C5" s="38"/>
      <c r="D5" s="466"/>
      <c r="E5" s="51"/>
      <c r="F5" s="466"/>
      <c r="G5" s="467"/>
      <c r="H5" s="467"/>
      <c r="I5" s="467"/>
      <c r="J5" s="467"/>
      <c r="K5" s="467"/>
      <c r="L5" s="466"/>
      <c r="M5" s="376"/>
      <c r="N5" s="466"/>
      <c r="O5" s="51"/>
      <c r="P5" s="38"/>
      <c r="Q5" s="1"/>
      <c r="R5" s="617"/>
      <c r="S5" s="617"/>
    </row>
    <row r="6" spans="1:19">
      <c r="A6" s="699" t="str">
        <f>'C.2.1 F'!A6</f>
        <v>Data:________Base Period___X____Forecasted Period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4" t="s">
        <v>1343</v>
      </c>
      <c r="Q6" s="1"/>
      <c r="R6" s="617"/>
      <c r="S6" s="617"/>
    </row>
    <row r="7" spans="1:19">
      <c r="A7" s="699" t="str">
        <f>'C.2.1 F'!A7</f>
        <v>Type of Filing:___X____Original________Updated ________Revised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83" t="s">
        <v>35</v>
      </c>
      <c r="Q7" s="1"/>
      <c r="R7" s="617"/>
      <c r="S7" s="617"/>
    </row>
    <row r="8" spans="1:19">
      <c r="A8" s="717" t="str">
        <f>'C.2.1 F'!A8</f>
        <v>Workpaper Reference No(s).____________________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01" t="str">
        <f>'C.2.2 B 09'!P8</f>
        <v>Witness: Waller, Wiebe, Troup</v>
      </c>
      <c r="Q8" s="1"/>
      <c r="R8" s="617"/>
      <c r="S8" s="617"/>
    </row>
    <row r="9" spans="1:19">
      <c r="A9" s="277" t="s">
        <v>88</v>
      </c>
      <c r="B9" s="196" t="s">
        <v>95</v>
      </c>
      <c r="C9" s="468"/>
      <c r="D9" s="469" t="s">
        <v>41</v>
      </c>
      <c r="E9" s="37" t="s">
        <v>41</v>
      </c>
      <c r="F9" s="37" t="s">
        <v>41</v>
      </c>
      <c r="G9" s="37" t="s">
        <v>41</v>
      </c>
      <c r="H9" s="37" t="s">
        <v>41</v>
      </c>
      <c r="I9" s="37" t="s">
        <v>41</v>
      </c>
      <c r="J9" s="37" t="s">
        <v>41</v>
      </c>
      <c r="K9" s="37" t="s">
        <v>41</v>
      </c>
      <c r="L9" s="37" t="s">
        <v>41</v>
      </c>
      <c r="M9" s="37" t="s">
        <v>41</v>
      </c>
      <c r="N9" s="37" t="s">
        <v>41</v>
      </c>
      <c r="O9" s="37" t="s">
        <v>41</v>
      </c>
      <c r="P9" s="470"/>
      <c r="Q9" s="38"/>
      <c r="R9" s="617"/>
      <c r="S9" s="617"/>
    </row>
    <row r="10" spans="1:19">
      <c r="A10" s="279" t="s">
        <v>94</v>
      </c>
      <c r="B10" s="40" t="s">
        <v>94</v>
      </c>
      <c r="C10" s="471" t="s">
        <v>918</v>
      </c>
      <c r="D10" s="335">
        <v>45748</v>
      </c>
      <c r="E10" s="773">
        <f>EOMONTH(D10,0)+1</f>
        <v>45778</v>
      </c>
      <c r="F10" s="773">
        <f t="shared" ref="F10:O10" si="0">EOMONTH(E10,0)+1</f>
        <v>45809</v>
      </c>
      <c r="G10" s="773">
        <f t="shared" si="0"/>
        <v>45839</v>
      </c>
      <c r="H10" s="773">
        <f t="shared" si="0"/>
        <v>45870</v>
      </c>
      <c r="I10" s="773">
        <f t="shared" si="0"/>
        <v>45901</v>
      </c>
      <c r="J10" s="773">
        <f t="shared" si="0"/>
        <v>45931</v>
      </c>
      <c r="K10" s="773">
        <f t="shared" si="0"/>
        <v>45962</v>
      </c>
      <c r="L10" s="773">
        <f t="shared" si="0"/>
        <v>45992</v>
      </c>
      <c r="M10" s="773">
        <f t="shared" si="0"/>
        <v>46023</v>
      </c>
      <c r="N10" s="773">
        <f t="shared" si="0"/>
        <v>46054</v>
      </c>
      <c r="O10" s="773">
        <f t="shared" si="0"/>
        <v>46082</v>
      </c>
      <c r="P10" s="472" t="s">
        <v>91</v>
      </c>
      <c r="Q10" s="38"/>
      <c r="R10" s="38"/>
      <c r="S10" s="38"/>
    </row>
    <row r="11" spans="1:19">
      <c r="A11" s="1"/>
      <c r="B11" s="1"/>
      <c r="C11" s="1"/>
      <c r="D11" s="2" t="s">
        <v>140</v>
      </c>
      <c r="E11" s="2" t="s">
        <v>140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140</v>
      </c>
      <c r="K11" s="2" t="s">
        <v>140</v>
      </c>
      <c r="L11" s="2" t="s">
        <v>140</v>
      </c>
      <c r="M11" s="2" t="s">
        <v>140</v>
      </c>
      <c r="N11" s="2" t="s">
        <v>140</v>
      </c>
      <c r="O11" s="2" t="s">
        <v>140</v>
      </c>
      <c r="P11" s="2" t="s">
        <v>140</v>
      </c>
      <c r="Q11" s="2"/>
      <c r="R11" s="1"/>
      <c r="S11" s="1"/>
    </row>
    <row r="12" spans="1:19">
      <c r="A12" s="38">
        <v>1</v>
      </c>
      <c r="B12" s="382">
        <v>4091</v>
      </c>
      <c r="C12" s="113" t="s">
        <v>641</v>
      </c>
      <c r="D12" s="607">
        <f>E!$G$23/12</f>
        <v>444668.83417122456</v>
      </c>
      <c r="E12" s="607">
        <f>E!$G$23/12</f>
        <v>444668.83417122456</v>
      </c>
      <c r="F12" s="607">
        <f>E!$G$23/12</f>
        <v>444668.83417122456</v>
      </c>
      <c r="G12" s="607">
        <f>E!$G$23/12</f>
        <v>444668.83417122456</v>
      </c>
      <c r="H12" s="607">
        <f>E!$G$23/12</f>
        <v>444668.83417122456</v>
      </c>
      <c r="I12" s="607">
        <f>E!$G$23/12</f>
        <v>444668.83417122456</v>
      </c>
      <c r="J12" s="607">
        <f>E!$G$23/12</f>
        <v>444668.83417122456</v>
      </c>
      <c r="K12" s="607">
        <f>E!$G$23/12</f>
        <v>444668.83417122456</v>
      </c>
      <c r="L12" s="607">
        <f>E!$G$23/12</f>
        <v>444668.83417122456</v>
      </c>
      <c r="M12" s="607">
        <f>E!$G$23/12</f>
        <v>444668.83417122456</v>
      </c>
      <c r="N12" s="607">
        <f>E!$G$23/12</f>
        <v>444668.83417122456</v>
      </c>
      <c r="O12" s="607">
        <f>E!$G$23/12</f>
        <v>444668.83417122456</v>
      </c>
      <c r="P12" s="329">
        <f>SUM(D12:O12)</f>
        <v>5336026.0100546936</v>
      </c>
      <c r="Q12" s="329"/>
      <c r="S12" s="329"/>
    </row>
    <row r="13" spans="1:19">
      <c r="A13" s="389">
        <f>A12+1</f>
        <v>2</v>
      </c>
      <c r="B13" s="382"/>
      <c r="C13" s="113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1"/>
      <c r="Q13" s="1"/>
      <c r="S13" s="1"/>
    </row>
    <row r="14" spans="1:19">
      <c r="A14" s="389">
        <f t="shared" ref="A14:A79" si="1">A13+1</f>
        <v>3</v>
      </c>
      <c r="B14" s="382">
        <v>4030</v>
      </c>
      <c r="C14" s="1" t="s">
        <v>86</v>
      </c>
      <c r="D14" s="814">
        <v>1800717.4980324502</v>
      </c>
      <c r="E14" s="814">
        <v>1793546.8226818223</v>
      </c>
      <c r="F14" s="814">
        <v>1801437.7585772944</v>
      </c>
      <c r="G14" s="814">
        <v>1805346.4163844755</v>
      </c>
      <c r="H14" s="814">
        <v>1811695.688274957</v>
      </c>
      <c r="I14" s="814">
        <v>1842066.7300508693</v>
      </c>
      <c r="J14" s="814">
        <v>1845194.2550665631</v>
      </c>
      <c r="K14" s="814">
        <v>1848611.7502433585</v>
      </c>
      <c r="L14" s="814">
        <v>1851950.9033438631</v>
      </c>
      <c r="M14" s="814">
        <v>1855800.5832719903</v>
      </c>
      <c r="N14" s="814">
        <v>1859508.1448704656</v>
      </c>
      <c r="O14" s="814">
        <v>1863193.5845583656</v>
      </c>
      <c r="P14" s="329">
        <f t="shared" ref="P14:P23" si="2">SUM(D14:O14)</f>
        <v>21979070.135356475</v>
      </c>
      <c r="Q14" s="329"/>
      <c r="S14" s="329"/>
    </row>
    <row r="15" spans="1:19">
      <c r="A15" s="389">
        <f t="shared" si="1"/>
        <v>4</v>
      </c>
      <c r="B15" s="382">
        <v>4060</v>
      </c>
      <c r="C15" s="1" t="s">
        <v>830</v>
      </c>
      <c r="D15" s="814">
        <f>'C.2.2 B 09'!O15</f>
        <v>4108.7299999999996</v>
      </c>
      <c r="E15" s="332">
        <f>D15</f>
        <v>4108.7299999999996</v>
      </c>
      <c r="F15" s="332">
        <f t="shared" ref="F15:O15" si="3">E15</f>
        <v>4108.7299999999996</v>
      </c>
      <c r="G15" s="332">
        <f t="shared" si="3"/>
        <v>4108.7299999999996</v>
      </c>
      <c r="H15" s="332">
        <f t="shared" si="3"/>
        <v>4108.7299999999996</v>
      </c>
      <c r="I15" s="332">
        <f t="shared" si="3"/>
        <v>4108.7299999999996</v>
      </c>
      <c r="J15" s="332">
        <f t="shared" si="3"/>
        <v>4108.7299999999996</v>
      </c>
      <c r="K15" s="332">
        <f t="shared" si="3"/>
        <v>4108.7299999999996</v>
      </c>
      <c r="L15" s="332">
        <f t="shared" si="3"/>
        <v>4108.7299999999996</v>
      </c>
      <c r="M15" s="332">
        <f t="shared" si="3"/>
        <v>4108.7299999999996</v>
      </c>
      <c r="N15" s="332">
        <f t="shared" si="3"/>
        <v>4108.7299999999996</v>
      </c>
      <c r="O15" s="332">
        <f t="shared" si="3"/>
        <v>4108.7299999999996</v>
      </c>
      <c r="P15" s="329">
        <f t="shared" si="2"/>
        <v>49304.75999999998</v>
      </c>
      <c r="Q15" s="1"/>
      <c r="S15" s="1"/>
    </row>
    <row r="16" spans="1:19">
      <c r="A16" s="389">
        <f t="shared" si="1"/>
        <v>5</v>
      </c>
      <c r="B16" s="382">
        <v>4081</v>
      </c>
      <c r="C16" s="81" t="s">
        <v>831</v>
      </c>
      <c r="D16" s="814">
        <f>'C.2.3 F'!C24</f>
        <v>1153487.9356844095</v>
      </c>
      <c r="E16" s="814">
        <f>'C.2.3 F'!D24</f>
        <v>1134256.9356844095</v>
      </c>
      <c r="F16" s="814">
        <f>'C.2.3 F'!E24</f>
        <v>1134206.9356844095</v>
      </c>
      <c r="G16" s="814">
        <f>'C.2.3 F'!F24</f>
        <v>1208396.9356844095</v>
      </c>
      <c r="H16" s="814">
        <f>'C.2.3 F'!G24</f>
        <v>1134424.9356844095</v>
      </c>
      <c r="I16" s="814">
        <f>'C.2.3 F'!H24</f>
        <v>1134308.9356844095</v>
      </c>
      <c r="J16" s="814">
        <f>'C.2.3 F'!I24</f>
        <v>1135076.9465005316</v>
      </c>
      <c r="K16" s="814">
        <f>'C.2.3 F'!J24</f>
        <v>1157579.3465005315</v>
      </c>
      <c r="L16" s="814">
        <f>'C.2.3 F'!K24</f>
        <v>1135463.9465005316</v>
      </c>
      <c r="M16" s="814">
        <f>'C.2.3 F'!L24</f>
        <v>1135578.9065005316</v>
      </c>
      <c r="N16" s="814">
        <f>'C.2.3 F'!M24</f>
        <v>1135491.9065005316</v>
      </c>
      <c r="O16" s="814">
        <f>'C.2.3 F'!N24</f>
        <v>1205268.9065005316</v>
      </c>
      <c r="P16" s="329">
        <f t="shared" si="2"/>
        <v>13803542.573109645</v>
      </c>
      <c r="Q16" s="329"/>
      <c r="S16" s="329"/>
    </row>
    <row r="17" spans="1:18">
      <c r="A17" s="389">
        <f t="shared" si="1"/>
        <v>6</v>
      </c>
      <c r="B17" s="382">
        <v>4800</v>
      </c>
      <c r="C17" s="210" t="s">
        <v>832</v>
      </c>
      <c r="D17" s="608">
        <v>-8538618.3919688705</v>
      </c>
      <c r="E17" s="608">
        <v>-5934429.0411818093</v>
      </c>
      <c r="F17" s="608">
        <v>-4292695.357756936</v>
      </c>
      <c r="G17" s="608">
        <v>-4063744.3259086246</v>
      </c>
      <c r="H17" s="608">
        <v>-4114450.8999801613</v>
      </c>
      <c r="I17" s="608">
        <v>-4113391.3245159043</v>
      </c>
      <c r="J17" s="608">
        <v>-5114451.1981932959</v>
      </c>
      <c r="K17" s="608">
        <v>-9311834.6008788608</v>
      </c>
      <c r="L17" s="608">
        <v>-13607654.429036487</v>
      </c>
      <c r="M17" s="608">
        <v>-15837596.794330386</v>
      </c>
      <c r="N17" s="608">
        <v>-16032940.521572027</v>
      </c>
      <c r="O17" s="608">
        <v>-12089948.515114415</v>
      </c>
      <c r="P17" s="332">
        <f t="shared" si="2"/>
        <v>-103051755.40043777</v>
      </c>
    </row>
    <row r="18" spans="1:18">
      <c r="A18" s="389">
        <f t="shared" si="1"/>
        <v>7</v>
      </c>
      <c r="B18" s="382">
        <v>4805</v>
      </c>
      <c r="C18" s="210" t="s">
        <v>1241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8">
      <c r="A19" s="389">
        <f t="shared" si="1"/>
        <v>8</v>
      </c>
      <c r="B19" s="382">
        <v>4811</v>
      </c>
      <c r="C19" s="210" t="s">
        <v>1307</v>
      </c>
      <c r="D19" s="608">
        <v>-4271267.0598839633</v>
      </c>
      <c r="E19" s="608">
        <v>-3061246.5196948908</v>
      </c>
      <c r="F19" s="608">
        <v>-2273715.0112157352</v>
      </c>
      <c r="G19" s="608">
        <v>-2150099.1898706001</v>
      </c>
      <c r="H19" s="608">
        <v>-2200779.2252973286</v>
      </c>
      <c r="I19" s="608">
        <v>-2188343.7497986248</v>
      </c>
      <c r="J19" s="608">
        <v>-2638127.7950633024</v>
      </c>
      <c r="K19" s="608">
        <v>-4615856.0679500345</v>
      </c>
      <c r="L19" s="608">
        <v>-6633460.0328641133</v>
      </c>
      <c r="M19" s="608">
        <v>-7709055.9460917469</v>
      </c>
      <c r="N19" s="608">
        <v>-7751955.211258404</v>
      </c>
      <c r="O19" s="608">
        <v>-5949916.2813429879</v>
      </c>
      <c r="P19" s="332">
        <f t="shared" si="2"/>
        <v>-51443822.090331733</v>
      </c>
    </row>
    <row r="20" spans="1:18">
      <c r="A20" s="389">
        <f t="shared" si="1"/>
        <v>9</v>
      </c>
      <c r="B20" s="382">
        <v>4812</v>
      </c>
      <c r="C20" s="1" t="s">
        <v>1308</v>
      </c>
      <c r="D20" s="608">
        <v>-398734.0562752682</v>
      </c>
      <c r="E20" s="608">
        <v>-434239.92035322788</v>
      </c>
      <c r="F20" s="608">
        <v>-214018.24013641232</v>
      </c>
      <c r="G20" s="608">
        <v>-156849.16043032488</v>
      </c>
      <c r="H20" s="608">
        <v>-209344.87904652458</v>
      </c>
      <c r="I20" s="608">
        <v>-211452.45708092599</v>
      </c>
      <c r="J20" s="608">
        <v>-229724.52537608048</v>
      </c>
      <c r="K20" s="608">
        <v>-386089.61645008845</v>
      </c>
      <c r="L20" s="608">
        <v>-609267.2365059834</v>
      </c>
      <c r="M20" s="608">
        <v>-931775.83748187381</v>
      </c>
      <c r="N20" s="608">
        <v>-800144.01077890326</v>
      </c>
      <c r="O20" s="608">
        <v>-548992.10211124248</v>
      </c>
      <c r="P20" s="332">
        <f t="shared" si="2"/>
        <v>-5130632.042026856</v>
      </c>
      <c r="Q20" s="1"/>
      <c r="R20" s="329"/>
    </row>
    <row r="21" spans="1:18">
      <c r="A21" s="389">
        <f t="shared" si="1"/>
        <v>10</v>
      </c>
      <c r="B21" s="178">
        <v>4815</v>
      </c>
      <c r="C21" s="81" t="s">
        <v>1242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"/>
      <c r="R21" s="329"/>
    </row>
    <row r="22" spans="1:18">
      <c r="A22" s="389">
        <f t="shared" si="1"/>
        <v>11</v>
      </c>
      <c r="B22" s="178">
        <v>4816</v>
      </c>
      <c r="C22" s="81" t="s">
        <v>1272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"/>
      <c r="R22" s="329"/>
    </row>
    <row r="23" spans="1:18" ht="15.75">
      <c r="A23" s="389">
        <f t="shared" si="1"/>
        <v>12</v>
      </c>
      <c r="B23" s="382">
        <v>4820</v>
      </c>
      <c r="C23" s="1" t="s">
        <v>833</v>
      </c>
      <c r="D23" s="608">
        <v>-586216.14950195607</v>
      </c>
      <c r="E23" s="608">
        <v>-395282.61200473981</v>
      </c>
      <c r="F23" s="608">
        <v>-266073.25023361092</v>
      </c>
      <c r="G23" s="608">
        <v>-253300.73556073743</v>
      </c>
      <c r="H23" s="608">
        <v>-262664.8307945116</v>
      </c>
      <c r="I23" s="608">
        <v>-266255.81316582358</v>
      </c>
      <c r="J23" s="608">
        <v>-342380.32556798274</v>
      </c>
      <c r="K23" s="608">
        <v>-663240.92247675231</v>
      </c>
      <c r="L23" s="608">
        <v>-990426.2268730551</v>
      </c>
      <c r="M23" s="608">
        <v>-1156161.777829519</v>
      </c>
      <c r="N23" s="608">
        <v>-1154012.0925884186</v>
      </c>
      <c r="O23" s="608">
        <v>-862494.29439180915</v>
      </c>
      <c r="P23" s="332">
        <f t="shared" si="2"/>
        <v>-7198509.0309889168</v>
      </c>
      <c r="Q23" s="1"/>
      <c r="R23" s="1025"/>
    </row>
    <row r="24" spans="1:18" ht="15.75">
      <c r="A24" s="389">
        <f t="shared" si="1"/>
        <v>13</v>
      </c>
      <c r="B24" s="178">
        <v>4825</v>
      </c>
      <c r="C24" s="81" t="s">
        <v>1243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"/>
      <c r="R24" s="1025"/>
    </row>
    <row r="25" spans="1:18">
      <c r="A25" s="389">
        <f t="shared" si="1"/>
        <v>14</v>
      </c>
      <c r="B25" s="382">
        <v>4870</v>
      </c>
      <c r="C25" s="1" t="s">
        <v>222</v>
      </c>
      <c r="D25" s="608">
        <v>-41096.213952947801</v>
      </c>
      <c r="E25" s="608">
        <v>-30593.507387147787</v>
      </c>
      <c r="F25" s="608">
        <v>-21780.060594189254</v>
      </c>
      <c r="G25" s="608">
        <v>-16033.312756770089</v>
      </c>
      <c r="H25" s="608">
        <v>-15171.878621207807</v>
      </c>
      <c r="I25" s="608">
        <v>-15548.307366768042</v>
      </c>
      <c r="J25" s="608">
        <v>-15485.738062021457</v>
      </c>
      <c r="K25" s="608">
        <v>-18793.22858503829</v>
      </c>
      <c r="L25" s="608">
        <v>-33240.004271835103</v>
      </c>
      <c r="M25" s="608">
        <v>-47958.341037120852</v>
      </c>
      <c r="N25" s="608">
        <v>-55753.086848952247</v>
      </c>
      <c r="O25" s="608">
        <v>-56008.220481848206</v>
      </c>
      <c r="P25" s="332">
        <f t="shared" ref="P25:P58" si="4">SUM(D25:O25)</f>
        <v>-367461.89996584691</v>
      </c>
      <c r="Q25" s="1"/>
      <c r="R25" s="1"/>
    </row>
    <row r="26" spans="1:18">
      <c r="A26" s="389">
        <f t="shared" si="1"/>
        <v>15</v>
      </c>
      <c r="B26" s="382">
        <v>4880</v>
      </c>
      <c r="C26" s="1" t="s">
        <v>834</v>
      </c>
      <c r="D26" s="608">
        <v>-3438</v>
      </c>
      <c r="E26" s="608">
        <v>-3844</v>
      </c>
      <c r="F26" s="608">
        <v>-3004</v>
      </c>
      <c r="G26" s="608">
        <v>-3387</v>
      </c>
      <c r="H26" s="608">
        <v>-3698</v>
      </c>
      <c r="I26" s="608">
        <v>-4212</v>
      </c>
      <c r="J26" s="608">
        <v>-9928</v>
      </c>
      <c r="K26" s="608">
        <v>-8550</v>
      </c>
      <c r="L26" s="608">
        <v>-4906</v>
      </c>
      <c r="M26" s="608">
        <v>-5587</v>
      </c>
      <c r="N26" s="608">
        <v>-4026</v>
      </c>
      <c r="O26" s="608">
        <v>-4332</v>
      </c>
      <c r="P26" s="332">
        <f t="shared" si="4"/>
        <v>-58912</v>
      </c>
      <c r="Q26" s="1"/>
      <c r="R26" s="1"/>
    </row>
    <row r="27" spans="1:18">
      <c r="A27" s="389">
        <f t="shared" si="1"/>
        <v>16</v>
      </c>
      <c r="B27" s="382">
        <v>4893</v>
      </c>
      <c r="C27" s="1" t="s">
        <v>835</v>
      </c>
      <c r="D27" s="608">
        <v>-1618311.9266338667</v>
      </c>
      <c r="E27" s="608">
        <v>-1551715.143285552</v>
      </c>
      <c r="F27" s="608">
        <v>-1480646.1344903917</v>
      </c>
      <c r="G27" s="608">
        <v>-1499945.5921710199</v>
      </c>
      <c r="H27" s="608">
        <v>-1747368.4696693199</v>
      </c>
      <c r="I27" s="608">
        <v>-1803741.8972384203</v>
      </c>
      <c r="J27" s="608">
        <v>-1813304.3260601205</v>
      </c>
      <c r="K27" s="608">
        <v>-2093702.4031728203</v>
      </c>
      <c r="L27" s="608">
        <v>-1829667.1091907201</v>
      </c>
      <c r="M27" s="608">
        <v>-1797547.4766375204</v>
      </c>
      <c r="N27" s="608">
        <v>-1703648.5195111167</v>
      </c>
      <c r="O27" s="608">
        <v>-1631321.7571991333</v>
      </c>
      <c r="P27" s="332">
        <f t="shared" si="4"/>
        <v>-20570920.755260002</v>
      </c>
      <c r="Q27" s="392"/>
    </row>
    <row r="28" spans="1:18">
      <c r="A28" s="389">
        <f t="shared" si="1"/>
        <v>17</v>
      </c>
      <c r="B28" s="382">
        <v>4950</v>
      </c>
      <c r="C28" s="1" t="s">
        <v>635</v>
      </c>
      <c r="D28" s="608">
        <v>0</v>
      </c>
      <c r="E28" s="608">
        <v>0</v>
      </c>
      <c r="F28" s="608">
        <v>0</v>
      </c>
      <c r="G28" s="608">
        <v>0</v>
      </c>
      <c r="H28" s="608">
        <v>0</v>
      </c>
      <c r="I28" s="608">
        <v>0</v>
      </c>
      <c r="J28" s="608">
        <v>0</v>
      </c>
      <c r="K28" s="608">
        <v>0</v>
      </c>
      <c r="L28" s="608">
        <v>0</v>
      </c>
      <c r="M28" s="608">
        <v>0</v>
      </c>
      <c r="N28" s="608">
        <v>0</v>
      </c>
      <c r="O28" s="608">
        <v>0</v>
      </c>
      <c r="P28" s="332">
        <f t="shared" si="4"/>
        <v>0</v>
      </c>
      <c r="Q28" s="329"/>
      <c r="R28" s="329"/>
    </row>
    <row r="29" spans="1:18">
      <c r="A29" s="389">
        <f t="shared" si="1"/>
        <v>18</v>
      </c>
      <c r="B29" s="382">
        <v>4960</v>
      </c>
      <c r="C29" t="s">
        <v>1491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332">
        <f t="shared" si="4"/>
        <v>0</v>
      </c>
      <c r="Q29" s="329"/>
      <c r="R29" s="329"/>
    </row>
    <row r="30" spans="1:18">
      <c r="A30" s="389">
        <f t="shared" si="1"/>
        <v>19</v>
      </c>
      <c r="B30" s="178">
        <v>7560</v>
      </c>
      <c r="C30" t="s">
        <v>1310</v>
      </c>
      <c r="D30" s="609">
        <v>0</v>
      </c>
      <c r="E30" s="609">
        <v>0</v>
      </c>
      <c r="F30" s="609">
        <v>0</v>
      </c>
      <c r="G30" s="609">
        <v>0</v>
      </c>
      <c r="H30" s="609">
        <v>0</v>
      </c>
      <c r="I30" s="609">
        <v>0</v>
      </c>
      <c r="J30" s="609">
        <v>0</v>
      </c>
      <c r="K30" s="609">
        <v>0</v>
      </c>
      <c r="L30" s="609">
        <v>0</v>
      </c>
      <c r="M30" s="609">
        <v>0</v>
      </c>
      <c r="N30" s="609">
        <v>0</v>
      </c>
      <c r="O30" s="609">
        <v>0</v>
      </c>
      <c r="P30" s="332">
        <f t="shared" si="4"/>
        <v>0</v>
      </c>
      <c r="Q30" s="375"/>
      <c r="R30" s="329"/>
    </row>
    <row r="31" spans="1:18">
      <c r="A31" s="389">
        <f t="shared" si="1"/>
        <v>20</v>
      </c>
      <c r="B31" s="178">
        <v>7590</v>
      </c>
      <c r="C31" t="s">
        <v>1274</v>
      </c>
      <c r="D31" s="609">
        <v>0</v>
      </c>
      <c r="E31" s="609">
        <v>0</v>
      </c>
      <c r="F31" s="609">
        <v>0</v>
      </c>
      <c r="G31" s="609">
        <v>0</v>
      </c>
      <c r="H31" s="609">
        <v>0</v>
      </c>
      <c r="I31" s="609">
        <v>0</v>
      </c>
      <c r="J31" s="609">
        <v>0</v>
      </c>
      <c r="K31" s="609">
        <v>0</v>
      </c>
      <c r="L31" s="609">
        <v>0</v>
      </c>
      <c r="M31" s="609">
        <v>0</v>
      </c>
      <c r="N31" s="609">
        <v>0</v>
      </c>
      <c r="O31" s="609">
        <v>0</v>
      </c>
      <c r="P31" s="332">
        <f t="shared" si="4"/>
        <v>0</v>
      </c>
      <c r="Q31" s="375"/>
      <c r="R31" s="329"/>
    </row>
    <row r="32" spans="1:18">
      <c r="A32" s="389">
        <f t="shared" si="1"/>
        <v>21</v>
      </c>
      <c r="B32" s="382">
        <v>8001</v>
      </c>
      <c r="C32" s="1" t="s">
        <v>836</v>
      </c>
      <c r="D32" s="608">
        <v>0</v>
      </c>
      <c r="E32" s="608">
        <v>0</v>
      </c>
      <c r="F32" s="608">
        <v>0</v>
      </c>
      <c r="G32" s="608">
        <v>0</v>
      </c>
      <c r="H32" s="608">
        <v>0</v>
      </c>
      <c r="I32" s="608">
        <v>0</v>
      </c>
      <c r="J32" s="608">
        <v>0</v>
      </c>
      <c r="K32" s="608">
        <v>0</v>
      </c>
      <c r="L32" s="608">
        <v>0</v>
      </c>
      <c r="M32" s="608">
        <v>0</v>
      </c>
      <c r="N32" s="608">
        <v>0</v>
      </c>
      <c r="O32" s="608">
        <v>0</v>
      </c>
      <c r="P32" s="332">
        <f t="shared" si="4"/>
        <v>0</v>
      </c>
    </row>
    <row r="33" spans="1:25">
      <c r="A33" s="389">
        <f t="shared" si="1"/>
        <v>22</v>
      </c>
      <c r="B33" s="382">
        <v>8010</v>
      </c>
      <c r="C33" s="1" t="s">
        <v>1165</v>
      </c>
      <c r="D33" s="608">
        <v>2392.2353989883945</v>
      </c>
      <c r="E33" s="608">
        <v>9695.5092340658739</v>
      </c>
      <c r="F33" s="608">
        <v>5356.248442850926</v>
      </c>
      <c r="G33" s="608">
        <v>11388.053916785808</v>
      </c>
      <c r="H33" s="608">
        <v>25711.99214086193</v>
      </c>
      <c r="I33" s="608">
        <v>22511.040293101021</v>
      </c>
      <c r="J33" s="608">
        <v>12900.051477855282</v>
      </c>
      <c r="K33" s="608">
        <v>14314.648711103817</v>
      </c>
      <c r="L33" s="608">
        <v>6943.7432737872487</v>
      </c>
      <c r="M33" s="608">
        <v>2771.7733792058793</v>
      </c>
      <c r="N33" s="608">
        <v>812.895959528155</v>
      </c>
      <c r="O33" s="608">
        <v>819.12708376433841</v>
      </c>
      <c r="P33" s="332">
        <f t="shared" si="4"/>
        <v>115617.31931189865</v>
      </c>
    </row>
    <row r="34" spans="1:25">
      <c r="A34" s="389">
        <f t="shared" si="1"/>
        <v>23</v>
      </c>
      <c r="B34" s="382">
        <v>8040</v>
      </c>
      <c r="C34" s="1" t="s">
        <v>837</v>
      </c>
      <c r="D34" s="608">
        <v>-2962681.8835864738</v>
      </c>
      <c r="E34" s="608">
        <v>7241766.7148213433</v>
      </c>
      <c r="F34" s="608">
        <v>3637630.9424782344</v>
      </c>
      <c r="G34" s="608">
        <v>3432006.5675532129</v>
      </c>
      <c r="H34" s="608">
        <v>5557101.3397973115</v>
      </c>
      <c r="I34" s="608">
        <v>5209154.2813560218</v>
      </c>
      <c r="J34" s="608">
        <v>3972976.7247486087</v>
      </c>
      <c r="K34" s="608">
        <v>5170480.0513902707</v>
      </c>
      <c r="L34" s="608">
        <v>3654146.1864816826</v>
      </c>
      <c r="M34" s="608">
        <v>3496942.0590484953</v>
      </c>
      <c r="N34" s="608">
        <v>10365699.115389695</v>
      </c>
      <c r="O34" s="608">
        <v>1451315.0263003816</v>
      </c>
      <c r="P34" s="332">
        <f t="shared" si="4"/>
        <v>50226537.125778787</v>
      </c>
    </row>
    <row r="35" spans="1:25">
      <c r="A35" s="389">
        <f t="shared" si="1"/>
        <v>24</v>
      </c>
      <c r="B35" s="382">
        <v>8050</v>
      </c>
      <c r="C35" s="1" t="s">
        <v>838</v>
      </c>
      <c r="D35" s="608">
        <v>-1461.1344274390467</v>
      </c>
      <c r="E35" s="608">
        <v>-2783.4368672428927</v>
      </c>
      <c r="F35" s="608">
        <v>-4485.6729369928053</v>
      </c>
      <c r="G35" s="608">
        <v>-1652.5663330203988</v>
      </c>
      <c r="H35" s="608">
        <v>-1908.8429177711903</v>
      </c>
      <c r="I35" s="608">
        <v>-4753.7249088861308</v>
      </c>
      <c r="J35" s="608">
        <v>-3080.3583591098104</v>
      </c>
      <c r="K35" s="608">
        <v>-4125.2777178395518</v>
      </c>
      <c r="L35" s="608">
        <v>-569.15425487271318</v>
      </c>
      <c r="M35" s="608">
        <v>-1013.6243658622542</v>
      </c>
      <c r="N35" s="608">
        <v>-1386.4188246916717</v>
      </c>
      <c r="O35" s="608">
        <v>-2310.5276399906093</v>
      </c>
      <c r="P35" s="332">
        <f t="shared" si="4"/>
        <v>-29530.739553719075</v>
      </c>
    </row>
    <row r="36" spans="1:25">
      <c r="A36" s="389">
        <f t="shared" si="1"/>
        <v>25</v>
      </c>
      <c r="B36" s="382">
        <v>8051</v>
      </c>
      <c r="C36" s="1" t="s">
        <v>839</v>
      </c>
      <c r="D36" s="608">
        <v>7348868.7780498629</v>
      </c>
      <c r="E36" s="608">
        <v>2526507.2647477356</v>
      </c>
      <c r="F36" s="608">
        <v>938913.71039392403</v>
      </c>
      <c r="G36" s="608">
        <v>851205.85815589526</v>
      </c>
      <c r="H36" s="608">
        <v>808272.92341491766</v>
      </c>
      <c r="I36" s="608">
        <v>779081.43920389086</v>
      </c>
      <c r="J36" s="608">
        <v>761033.75543437933</v>
      </c>
      <c r="K36" s="608">
        <v>2934393.2984820888</v>
      </c>
      <c r="L36" s="608">
        <v>7222024.8034515465</v>
      </c>
      <c r="M36" s="608">
        <v>9161194.9515829794</v>
      </c>
      <c r="N36" s="608">
        <v>12230934.341586756</v>
      </c>
      <c r="O36" s="608">
        <v>7828588.7980813561</v>
      </c>
      <c r="P36" s="332">
        <f t="shared" si="4"/>
        <v>53391019.922585331</v>
      </c>
    </row>
    <row r="37" spans="1:25">
      <c r="A37" s="389">
        <f t="shared" si="1"/>
        <v>26</v>
      </c>
      <c r="B37" s="382">
        <v>8052</v>
      </c>
      <c r="C37" s="1" t="s">
        <v>840</v>
      </c>
      <c r="D37" s="608">
        <v>3872293.0740290727</v>
      </c>
      <c r="E37" s="608">
        <v>1738664.8926217211</v>
      </c>
      <c r="F37" s="608">
        <v>853916.68048756209</v>
      </c>
      <c r="G37" s="608">
        <v>833874.61991046753</v>
      </c>
      <c r="H37" s="608">
        <v>779131.81628043065</v>
      </c>
      <c r="I37" s="608">
        <v>958882.60186201369</v>
      </c>
      <c r="J37" s="608">
        <v>912191.3714219518</v>
      </c>
      <c r="K37" s="608">
        <v>1679487.981380956</v>
      </c>
      <c r="L37" s="608">
        <v>3635988.278797783</v>
      </c>
      <c r="M37" s="608">
        <v>4690423.6841393113</v>
      </c>
      <c r="N37" s="608">
        <v>6184507.0206662659</v>
      </c>
      <c r="O37" s="608">
        <v>4010654.398837043</v>
      </c>
      <c r="P37" s="332">
        <f t="shared" si="4"/>
        <v>30150016.420434579</v>
      </c>
    </row>
    <row r="38" spans="1:25">
      <c r="A38" s="389">
        <f t="shared" si="1"/>
        <v>27</v>
      </c>
      <c r="B38" s="382">
        <v>8053</v>
      </c>
      <c r="C38" s="1" t="s">
        <v>841</v>
      </c>
      <c r="D38" s="608">
        <v>611528.09489093989</v>
      </c>
      <c r="E38" s="608">
        <v>646299.63686935254</v>
      </c>
      <c r="F38" s="608">
        <v>152037.08966203858</v>
      </c>
      <c r="G38" s="608">
        <v>116548.28861741979</v>
      </c>
      <c r="H38" s="608">
        <v>184295.61125946941</v>
      </c>
      <c r="I38" s="608">
        <v>134074.56780891994</v>
      </c>
      <c r="J38" s="608">
        <v>111742.92495899252</v>
      </c>
      <c r="K38" s="608">
        <v>261600.11065928824</v>
      </c>
      <c r="L38" s="608">
        <v>523724.54634179367</v>
      </c>
      <c r="M38" s="608">
        <v>634034.40588218661</v>
      </c>
      <c r="N38" s="608">
        <v>871468.36841725977</v>
      </c>
      <c r="O38" s="608">
        <v>624742.5190823056</v>
      </c>
      <c r="P38" s="332">
        <f t="shared" si="4"/>
        <v>4872096.1644499665</v>
      </c>
    </row>
    <row r="39" spans="1:25">
      <c r="A39" s="389">
        <f t="shared" si="1"/>
        <v>28</v>
      </c>
      <c r="B39" s="382">
        <v>8054</v>
      </c>
      <c r="C39" s="1" t="s">
        <v>842</v>
      </c>
      <c r="D39" s="608">
        <v>652716.05933110032</v>
      </c>
      <c r="E39" s="608">
        <v>372905.41117045801</v>
      </c>
      <c r="F39" s="608">
        <v>142386.67422737443</v>
      </c>
      <c r="G39" s="608">
        <v>133236.88877797822</v>
      </c>
      <c r="H39" s="608">
        <v>140434.62029677219</v>
      </c>
      <c r="I39" s="608">
        <v>109731.36174340738</v>
      </c>
      <c r="J39" s="608">
        <v>129064.1570537137</v>
      </c>
      <c r="K39" s="608">
        <v>289860.64102266362</v>
      </c>
      <c r="L39" s="608">
        <v>596119.72493371472</v>
      </c>
      <c r="M39" s="608">
        <v>738776.9827066483</v>
      </c>
      <c r="N39" s="608">
        <v>1020484.0780388243</v>
      </c>
      <c r="O39" s="608">
        <v>674149.49162062781</v>
      </c>
      <c r="P39" s="332">
        <f t="shared" si="4"/>
        <v>4999866.0909232832</v>
      </c>
    </row>
    <row r="40" spans="1:25">
      <c r="A40" s="389">
        <f t="shared" si="1"/>
        <v>29</v>
      </c>
      <c r="B40" s="382">
        <v>8058</v>
      </c>
      <c r="C40" s="1" t="s">
        <v>843</v>
      </c>
      <c r="D40" s="608">
        <v>-5501382.6875122106</v>
      </c>
      <c r="E40" s="608">
        <v>-1169607.3408574194</v>
      </c>
      <c r="F40" s="608">
        <v>-69742.263125539292</v>
      </c>
      <c r="G40" s="608">
        <v>-204111.63292187272</v>
      </c>
      <c r="H40" s="608">
        <v>-16184.837645018688</v>
      </c>
      <c r="I40" s="608">
        <v>-61726.271513189051</v>
      </c>
      <c r="J40" s="608">
        <v>1186151.8258768858</v>
      </c>
      <c r="K40" s="608">
        <v>3056854.0232360521</v>
      </c>
      <c r="L40" s="608">
        <v>1554082.2742554243</v>
      </c>
      <c r="M40" s="608">
        <v>1258249.9531684937</v>
      </c>
      <c r="N40" s="608">
        <v>-4069934.0214233235</v>
      </c>
      <c r="O40" s="608">
        <v>-1726577.6833039485</v>
      </c>
      <c r="P40" s="332">
        <f t="shared" si="4"/>
        <v>-5763928.6617656648</v>
      </c>
    </row>
    <row r="41" spans="1:25">
      <c r="A41" s="389">
        <f t="shared" si="1"/>
        <v>30</v>
      </c>
      <c r="B41" s="382">
        <v>8059</v>
      </c>
      <c r="C41" s="1" t="s">
        <v>844</v>
      </c>
      <c r="D41" s="608">
        <v>-14818360.694813848</v>
      </c>
      <c r="E41" s="608">
        <v>-11782098.642874213</v>
      </c>
      <c r="F41" s="608">
        <v>-2307328.8353607138</v>
      </c>
      <c r="G41" s="608">
        <v>-1936783.1796804625</v>
      </c>
      <c r="H41" s="608">
        <v>-3287655.6062094197</v>
      </c>
      <c r="I41" s="608">
        <v>-3328361.2959347693</v>
      </c>
      <c r="J41" s="608">
        <v>-2999905.3766228189</v>
      </c>
      <c r="K41" s="608">
        <v>-4841050.6580040734</v>
      </c>
      <c r="L41" s="608">
        <v>-10519603.765255352</v>
      </c>
      <c r="M41" s="608">
        <v>-10296435.942995055</v>
      </c>
      <c r="N41" s="608">
        <v>-26100673.088167638</v>
      </c>
      <c r="O41" s="608">
        <v>-17439099.88311417</v>
      </c>
      <c r="P41" s="332">
        <f t="shared" si="4"/>
        <v>-109657356.96903254</v>
      </c>
    </row>
    <row r="42" spans="1:25">
      <c r="A42" s="389">
        <f t="shared" si="1"/>
        <v>31</v>
      </c>
      <c r="B42" s="382">
        <v>8060</v>
      </c>
      <c r="C42" s="1" t="s">
        <v>845</v>
      </c>
      <c r="D42" s="608">
        <v>2540275.8388131224</v>
      </c>
      <c r="E42" s="608">
        <v>-16889.735671983635</v>
      </c>
      <c r="F42" s="608">
        <v>-1886793.8036643991</v>
      </c>
      <c r="G42" s="608">
        <v>-1785590.4774341478</v>
      </c>
      <c r="H42" s="608">
        <v>-2234709.8959931321</v>
      </c>
      <c r="I42" s="608">
        <v>-2006648.096798202</v>
      </c>
      <c r="J42" s="608">
        <v>-966436.68172165973</v>
      </c>
      <c r="K42" s="608">
        <v>-761940.86032155622</v>
      </c>
      <c r="L42" s="608">
        <v>413719.0869677373</v>
      </c>
      <c r="M42" s="608">
        <v>1394794.1905072532</v>
      </c>
      <c r="N42" s="608">
        <v>2812528.9528627833</v>
      </c>
      <c r="O42" s="608">
        <v>2375656.7752858484</v>
      </c>
      <c r="P42" s="332">
        <f t="shared" si="4"/>
        <v>-122034.7071683351</v>
      </c>
    </row>
    <row r="43" spans="1:25">
      <c r="A43" s="389">
        <f t="shared" si="1"/>
        <v>32</v>
      </c>
      <c r="B43" s="382">
        <v>8081</v>
      </c>
      <c r="C43" s="1" t="s">
        <v>846</v>
      </c>
      <c r="D43" s="608">
        <v>8643191.9644360151</v>
      </c>
      <c r="E43" s="608">
        <v>56992.714218291592</v>
      </c>
      <c r="F43" s="608">
        <v>0</v>
      </c>
      <c r="G43" s="608">
        <v>0</v>
      </c>
      <c r="H43" s="608">
        <v>0</v>
      </c>
      <c r="I43" s="608">
        <v>0</v>
      </c>
      <c r="J43" s="608">
        <v>0</v>
      </c>
      <c r="K43" s="608">
        <v>4812.1683844253384</v>
      </c>
      <c r="L43" s="608">
        <v>2872877.5602441221</v>
      </c>
      <c r="M43" s="608">
        <v>2441321.0254288334</v>
      </c>
      <c r="N43" s="608">
        <v>8021213.1602572314</v>
      </c>
      <c r="O43" s="608">
        <v>8758530.4442911725</v>
      </c>
      <c r="P43" s="332">
        <f t="shared" si="4"/>
        <v>30798939.037260093</v>
      </c>
    </row>
    <row r="44" spans="1:25">
      <c r="A44" s="389">
        <f t="shared" si="1"/>
        <v>33</v>
      </c>
      <c r="B44" s="382">
        <v>8082</v>
      </c>
      <c r="C44" s="1" t="s">
        <v>847</v>
      </c>
      <c r="D44" s="608">
        <v>-5971.9020944245503</v>
      </c>
      <c r="E44" s="608">
        <v>-768379.28496600315</v>
      </c>
      <c r="F44" s="608">
        <v>-2176562.7143320246</v>
      </c>
      <c r="G44" s="608">
        <v>-1641671.422766333</v>
      </c>
      <c r="H44" s="608">
        <v>-3049335.5624691406</v>
      </c>
      <c r="I44" s="608">
        <v>-2431227.0630959338</v>
      </c>
      <c r="J44" s="608">
        <v>-1897749.6671765391</v>
      </c>
      <c r="K44" s="608">
        <v>-2235278.5895124665</v>
      </c>
      <c r="L44" s="608">
        <v>-111411.1169727416</v>
      </c>
      <c r="M44" s="608">
        <v>-14204.091088256617</v>
      </c>
      <c r="N44" s="608">
        <v>-20256.972136331606</v>
      </c>
      <c r="O44" s="608">
        <v>-62576.765732113548</v>
      </c>
      <c r="P44" s="332">
        <f t="shared" si="4"/>
        <v>-14414625.152342308</v>
      </c>
    </row>
    <row r="45" spans="1:25">
      <c r="A45" s="389">
        <f t="shared" si="1"/>
        <v>34</v>
      </c>
      <c r="B45" s="382">
        <v>8120</v>
      </c>
      <c r="C45" s="1" t="s">
        <v>848</v>
      </c>
      <c r="D45" s="608">
        <v>-1804.3559278113401</v>
      </c>
      <c r="E45" s="608">
        <v>-2140.1867921110052</v>
      </c>
      <c r="F45" s="608">
        <v>2542.0253674812011</v>
      </c>
      <c r="G45" s="608">
        <v>3506.1583146576436</v>
      </c>
      <c r="H45" s="608">
        <v>-226.13697759402393</v>
      </c>
      <c r="I45" s="608">
        <v>-124.58184452432263</v>
      </c>
      <c r="J45" s="608">
        <v>-262.2826096432679</v>
      </c>
      <c r="K45" s="608">
        <v>-1401.482323826775</v>
      </c>
      <c r="L45" s="608">
        <v>787.91812750033739</v>
      </c>
      <c r="M45" s="608">
        <v>-378.05917572415154</v>
      </c>
      <c r="N45" s="608">
        <v>-9377.6821900046743</v>
      </c>
      <c r="O45" s="608">
        <v>706.80130351085575</v>
      </c>
      <c r="P45" s="332">
        <f t="shared" si="4"/>
        <v>-8171.864728089522</v>
      </c>
    </row>
    <row r="46" spans="1:25">
      <c r="A46" s="389">
        <f t="shared" si="1"/>
        <v>35</v>
      </c>
      <c r="B46" s="382">
        <v>8580</v>
      </c>
      <c r="C46" s="1" t="s">
        <v>1166</v>
      </c>
      <c r="D46" s="608">
        <v>6602615.5762740579</v>
      </c>
      <c r="E46" s="608">
        <v>5261696.1621057419</v>
      </c>
      <c r="F46" s="608">
        <v>2732183.8353730445</v>
      </c>
      <c r="G46" s="608">
        <v>1922303.024743964</v>
      </c>
      <c r="H46" s="608">
        <v>2990796.5756512894</v>
      </c>
      <c r="I46" s="608">
        <v>2539324.8590886681</v>
      </c>
      <c r="J46" s="608">
        <v>1881295.3076536632</v>
      </c>
      <c r="K46" s="608">
        <v>2652788.517070136</v>
      </c>
      <c r="L46" s="608">
        <v>3683897.4595156377</v>
      </c>
      <c r="M46" s="608">
        <v>2975824.6100853845</v>
      </c>
      <c r="N46" s="608">
        <v>4922062.354659427</v>
      </c>
      <c r="O46" s="608">
        <v>4917665.803525107</v>
      </c>
      <c r="P46" s="332">
        <f t="shared" si="4"/>
        <v>43082454.085746109</v>
      </c>
    </row>
    <row r="47" spans="1:25">
      <c r="A47" s="389">
        <f t="shared" si="1"/>
        <v>36</v>
      </c>
      <c r="B47" s="382">
        <v>8140</v>
      </c>
      <c r="C47" s="1" t="s">
        <v>849</v>
      </c>
      <c r="D47" s="609">
        <v>0</v>
      </c>
      <c r="E47" s="609">
        <v>0</v>
      </c>
      <c r="F47" s="609">
        <v>0</v>
      </c>
      <c r="G47" s="609">
        <v>0</v>
      </c>
      <c r="H47" s="609">
        <v>0</v>
      </c>
      <c r="I47" s="609">
        <v>0</v>
      </c>
      <c r="J47" s="609">
        <v>0</v>
      </c>
      <c r="K47" s="609">
        <v>0</v>
      </c>
      <c r="L47" s="609">
        <v>0</v>
      </c>
      <c r="M47" s="609">
        <v>0</v>
      </c>
      <c r="N47" s="609">
        <v>0</v>
      </c>
      <c r="O47" s="609">
        <v>0</v>
      </c>
      <c r="P47" s="329">
        <f t="shared" si="4"/>
        <v>0</v>
      </c>
      <c r="Y47" s="473"/>
    </row>
    <row r="48" spans="1:25">
      <c r="A48" s="389">
        <f t="shared" si="1"/>
        <v>37</v>
      </c>
      <c r="B48" s="382">
        <v>8160</v>
      </c>
      <c r="C48" s="1" t="s">
        <v>850</v>
      </c>
      <c r="D48" s="609">
        <v>2891.5776269170383</v>
      </c>
      <c r="E48" s="609">
        <v>2905.7033277648247</v>
      </c>
      <c r="F48" s="609">
        <v>2930.6398287930929</v>
      </c>
      <c r="G48" s="609">
        <v>2862.4588214947416</v>
      </c>
      <c r="H48" s="609">
        <v>2898.3529314637935</v>
      </c>
      <c r="I48" s="609">
        <v>3077.2614693771238</v>
      </c>
      <c r="J48" s="609">
        <v>3042.0999959852502</v>
      </c>
      <c r="K48" s="609">
        <v>2886.1148349336131</v>
      </c>
      <c r="L48" s="609">
        <v>3069.9238532057925</v>
      </c>
      <c r="M48" s="609">
        <v>2915.5971803797238</v>
      </c>
      <c r="N48" s="609">
        <v>2701.1121199325607</v>
      </c>
      <c r="O48" s="609">
        <v>2982.7141211635721</v>
      </c>
      <c r="P48" s="329">
        <f t="shared" si="4"/>
        <v>35163.556111411126</v>
      </c>
      <c r="Q48" s="1"/>
      <c r="R48" s="1"/>
      <c r="S48" s="1"/>
      <c r="Y48" s="473"/>
    </row>
    <row r="49" spans="1:25">
      <c r="A49" s="389">
        <f t="shared" si="1"/>
        <v>38</v>
      </c>
      <c r="B49" s="382">
        <v>8170</v>
      </c>
      <c r="C49" s="1" t="s">
        <v>854</v>
      </c>
      <c r="D49" s="609">
        <v>1910.9356724206832</v>
      </c>
      <c r="E49" s="609">
        <v>1926.3992621006123</v>
      </c>
      <c r="F49" s="609">
        <v>1891.4729292168827</v>
      </c>
      <c r="G49" s="609">
        <v>1864.5165288756373</v>
      </c>
      <c r="H49" s="609">
        <v>1798.0584113335856</v>
      </c>
      <c r="I49" s="609">
        <v>1875.4589748267781</v>
      </c>
      <c r="J49" s="609">
        <v>1945.6797054492504</v>
      </c>
      <c r="K49" s="609">
        <v>1885.3039046239155</v>
      </c>
      <c r="L49" s="609">
        <v>1934.1575796449417</v>
      </c>
      <c r="M49" s="609">
        <v>2002.4276776444394</v>
      </c>
      <c r="N49" s="609">
        <v>1819.0942930431911</v>
      </c>
      <c r="O49" s="609">
        <v>1928.0695403550808</v>
      </c>
      <c r="P49" s="329">
        <f t="shared" si="4"/>
        <v>22781.574479535</v>
      </c>
      <c r="Q49" s="1"/>
      <c r="R49" s="1"/>
      <c r="S49" s="1"/>
      <c r="Y49" s="473"/>
    </row>
    <row r="50" spans="1:25">
      <c r="A50" s="389">
        <f t="shared" si="1"/>
        <v>39</v>
      </c>
      <c r="B50" s="382">
        <v>8180</v>
      </c>
      <c r="C50" s="1" t="s">
        <v>855</v>
      </c>
      <c r="D50" s="609">
        <v>3725.9663352892239</v>
      </c>
      <c r="E50" s="609">
        <v>3854.4864748173159</v>
      </c>
      <c r="F50" s="609">
        <v>3516.6269598444833</v>
      </c>
      <c r="G50" s="609">
        <v>3656.8665914707699</v>
      </c>
      <c r="H50" s="609">
        <v>3419.2795251252301</v>
      </c>
      <c r="I50" s="609">
        <v>3641.4324064532593</v>
      </c>
      <c r="J50" s="609">
        <v>3958.2048305256176</v>
      </c>
      <c r="K50" s="609">
        <v>3719.2899319698972</v>
      </c>
      <c r="L50" s="609">
        <v>3886.7800859627896</v>
      </c>
      <c r="M50" s="609">
        <v>4153.2162380897662</v>
      </c>
      <c r="N50" s="609">
        <v>3525.2634448253584</v>
      </c>
      <c r="O50" s="609">
        <v>3719.0160864185809</v>
      </c>
      <c r="P50" s="329">
        <f t="shared" si="4"/>
        <v>44776.428910792289</v>
      </c>
      <c r="Q50" s="1"/>
      <c r="R50" s="1"/>
      <c r="S50" s="1"/>
      <c r="Y50" s="473"/>
    </row>
    <row r="51" spans="1:25">
      <c r="A51" s="389">
        <f t="shared" si="1"/>
        <v>40</v>
      </c>
      <c r="B51" s="382">
        <v>8190</v>
      </c>
      <c r="C51" s="1" t="s">
        <v>856</v>
      </c>
      <c r="D51" s="609">
        <v>0</v>
      </c>
      <c r="E51" s="609">
        <v>0</v>
      </c>
      <c r="F51" s="609">
        <v>0</v>
      </c>
      <c r="G51" s="609">
        <v>0</v>
      </c>
      <c r="H51" s="609">
        <v>0</v>
      </c>
      <c r="I51" s="609">
        <v>0</v>
      </c>
      <c r="J51" s="609">
        <v>0</v>
      </c>
      <c r="K51" s="609">
        <v>0</v>
      </c>
      <c r="L51" s="609">
        <v>0</v>
      </c>
      <c r="M51" s="609">
        <v>0</v>
      </c>
      <c r="N51" s="609">
        <v>0</v>
      </c>
      <c r="O51" s="609">
        <v>0</v>
      </c>
      <c r="P51" s="329">
        <f t="shared" si="4"/>
        <v>0</v>
      </c>
      <c r="Q51" s="1"/>
      <c r="R51" s="1"/>
      <c r="S51" s="1"/>
      <c r="Y51" s="473"/>
    </row>
    <row r="52" spans="1:25">
      <c r="A52" s="389">
        <f t="shared" si="1"/>
        <v>41</v>
      </c>
      <c r="B52" s="382">
        <v>8200</v>
      </c>
      <c r="C52" s="1" t="s">
        <v>857</v>
      </c>
      <c r="D52" s="609">
        <v>804.30156483703263</v>
      </c>
      <c r="E52" s="609">
        <v>784.72122299025375</v>
      </c>
      <c r="F52" s="609">
        <v>840.97398787316297</v>
      </c>
      <c r="G52" s="609">
        <v>784.30191310824171</v>
      </c>
      <c r="H52" s="609">
        <v>784.64773877503171</v>
      </c>
      <c r="I52" s="609">
        <v>798.25163533312593</v>
      </c>
      <c r="J52" s="609">
        <v>774.70193427914433</v>
      </c>
      <c r="K52" s="609">
        <v>787.13455916491671</v>
      </c>
      <c r="L52" s="609">
        <v>792.13100221139939</v>
      </c>
      <c r="M52" s="609">
        <v>780.53630591367846</v>
      </c>
      <c r="N52" s="609">
        <v>780.55649430341134</v>
      </c>
      <c r="O52" s="609">
        <v>823.76730933313161</v>
      </c>
      <c r="P52" s="329">
        <f t="shared" si="4"/>
        <v>9536.025668122531</v>
      </c>
      <c r="Q52" s="1"/>
      <c r="R52" s="1"/>
      <c r="S52" s="1"/>
      <c r="Y52" s="473"/>
    </row>
    <row r="53" spans="1:25">
      <c r="A53" s="389">
        <f t="shared" si="1"/>
        <v>42</v>
      </c>
      <c r="B53" s="382">
        <v>8210</v>
      </c>
      <c r="C53" s="1" t="s">
        <v>858</v>
      </c>
      <c r="D53" s="609">
        <v>7004.2548457918601</v>
      </c>
      <c r="E53" s="609">
        <v>7154.4384348523445</v>
      </c>
      <c r="F53" s="609">
        <v>6771.0824234776765</v>
      </c>
      <c r="G53" s="609">
        <v>6859.2764813487429</v>
      </c>
      <c r="H53" s="609">
        <v>6490.6257787074383</v>
      </c>
      <c r="I53" s="609">
        <v>6859.9541943990625</v>
      </c>
      <c r="J53" s="609">
        <v>7288.8027092296397</v>
      </c>
      <c r="K53" s="609">
        <v>6962.2460265381451</v>
      </c>
      <c r="L53" s="609">
        <v>7242.975168976307</v>
      </c>
      <c r="M53" s="609">
        <v>7616.0254008148013</v>
      </c>
      <c r="N53" s="609">
        <v>6653.8170715233791</v>
      </c>
      <c r="O53" s="609">
        <v>7036.4470771810647</v>
      </c>
      <c r="P53" s="329">
        <f t="shared" si="4"/>
        <v>83939.945612840456</v>
      </c>
      <c r="Q53" s="1"/>
      <c r="R53" s="1"/>
      <c r="S53" s="1"/>
      <c r="Y53" s="473"/>
    </row>
    <row r="54" spans="1:25">
      <c r="A54" s="389">
        <f t="shared" si="1"/>
        <v>43</v>
      </c>
      <c r="B54" s="382">
        <v>8240</v>
      </c>
      <c r="C54" s="1" t="s">
        <v>859</v>
      </c>
      <c r="D54" s="609">
        <v>0</v>
      </c>
      <c r="E54" s="609">
        <v>0</v>
      </c>
      <c r="F54" s="609">
        <v>0</v>
      </c>
      <c r="G54" s="609">
        <v>0</v>
      </c>
      <c r="H54" s="609">
        <v>0</v>
      </c>
      <c r="I54" s="609">
        <v>0</v>
      </c>
      <c r="J54" s="609">
        <v>0</v>
      </c>
      <c r="K54" s="609">
        <v>0</v>
      </c>
      <c r="L54" s="609">
        <v>0</v>
      </c>
      <c r="M54" s="609">
        <v>0</v>
      </c>
      <c r="N54" s="609">
        <v>0</v>
      </c>
      <c r="O54" s="609">
        <v>0</v>
      </c>
      <c r="P54" s="329">
        <f t="shared" si="4"/>
        <v>0</v>
      </c>
      <c r="Q54" s="1"/>
      <c r="R54" s="1"/>
      <c r="S54" s="1"/>
      <c r="Y54" s="473"/>
    </row>
    <row r="55" spans="1:25">
      <c r="A55" s="389">
        <f t="shared" si="1"/>
        <v>44</v>
      </c>
      <c r="B55" s="382">
        <v>8250</v>
      </c>
      <c r="C55" s="1" t="s">
        <v>870</v>
      </c>
      <c r="D55" s="609">
        <v>902.13319571862939</v>
      </c>
      <c r="E55" s="609">
        <v>915.13973104473814</v>
      </c>
      <c r="F55" s="609">
        <v>879.78113377582463</v>
      </c>
      <c r="G55" s="609">
        <v>867.09706989111783</v>
      </c>
      <c r="H55" s="609">
        <v>896.2738589368081</v>
      </c>
      <c r="I55" s="609">
        <v>883.49346058811545</v>
      </c>
      <c r="J55" s="609">
        <v>925.57187954705944</v>
      </c>
      <c r="K55" s="609">
        <v>860.37572447149364</v>
      </c>
      <c r="L55" s="609">
        <v>789.16350155485259</v>
      </c>
      <c r="M55" s="609">
        <v>840.80072020487546</v>
      </c>
      <c r="N55" s="609">
        <v>837.37183905798315</v>
      </c>
      <c r="O55" s="609">
        <v>884.74894604215683</v>
      </c>
      <c r="P55" s="329">
        <f t="shared" si="4"/>
        <v>10481.951060833655</v>
      </c>
      <c r="Q55" s="1"/>
      <c r="R55" s="1"/>
      <c r="Y55" s="473"/>
    </row>
    <row r="56" spans="1:25">
      <c r="A56" s="389">
        <f t="shared" si="1"/>
        <v>45</v>
      </c>
      <c r="B56" s="382">
        <v>8310</v>
      </c>
      <c r="C56" s="1" t="s">
        <v>871</v>
      </c>
      <c r="D56" s="609">
        <v>0</v>
      </c>
      <c r="E56" s="609">
        <v>0</v>
      </c>
      <c r="F56" s="609">
        <v>0</v>
      </c>
      <c r="G56" s="609">
        <v>0</v>
      </c>
      <c r="H56" s="609">
        <v>0</v>
      </c>
      <c r="I56" s="609">
        <v>0</v>
      </c>
      <c r="J56" s="609">
        <v>0</v>
      </c>
      <c r="K56" s="609">
        <v>0</v>
      </c>
      <c r="L56" s="609">
        <v>0</v>
      </c>
      <c r="M56" s="609">
        <v>0</v>
      </c>
      <c r="N56" s="609">
        <v>0</v>
      </c>
      <c r="O56" s="609">
        <v>0</v>
      </c>
      <c r="P56" s="329">
        <f t="shared" si="4"/>
        <v>0</v>
      </c>
      <c r="Q56" s="1"/>
      <c r="R56" s="474"/>
      <c r="S56" s="1"/>
      <c r="Y56" s="473"/>
    </row>
    <row r="57" spans="1:25">
      <c r="A57" s="389">
        <f t="shared" si="1"/>
        <v>46</v>
      </c>
      <c r="B57" s="382">
        <v>8340</v>
      </c>
      <c r="C57" s="1" t="s">
        <v>872</v>
      </c>
      <c r="D57" s="609">
        <v>3860.075927675156</v>
      </c>
      <c r="E57" s="609">
        <v>4006.7976091948326</v>
      </c>
      <c r="F57" s="609">
        <v>3619.3150682799524</v>
      </c>
      <c r="G57" s="609">
        <v>3790.4027968217815</v>
      </c>
      <c r="H57" s="609">
        <v>3534.2001975837234</v>
      </c>
      <c r="I57" s="609">
        <v>3770.3069137186189</v>
      </c>
      <c r="J57" s="609">
        <v>4123.1933200151498</v>
      </c>
      <c r="K57" s="609">
        <v>3856.8040203196629</v>
      </c>
      <c r="L57" s="609">
        <v>4033.1565420066031</v>
      </c>
      <c r="M57" s="609">
        <v>4328.4279964965535</v>
      </c>
      <c r="N57" s="609">
        <v>3647.7039968321815</v>
      </c>
      <c r="O57" s="609">
        <v>3845.6296000962993</v>
      </c>
      <c r="P57" s="329">
        <f t="shared" si="4"/>
        <v>46416.013989040512</v>
      </c>
      <c r="Q57" s="1"/>
      <c r="R57" s="474"/>
      <c r="S57" s="1"/>
      <c r="Y57" s="473"/>
    </row>
    <row r="58" spans="1:25">
      <c r="A58" s="389">
        <f t="shared" si="1"/>
        <v>47</v>
      </c>
      <c r="B58" s="382">
        <v>8350</v>
      </c>
      <c r="C58" s="1" t="s">
        <v>873</v>
      </c>
      <c r="D58" s="609">
        <v>0</v>
      </c>
      <c r="E58" s="609">
        <v>0</v>
      </c>
      <c r="F58" s="609">
        <v>0</v>
      </c>
      <c r="G58" s="609">
        <v>0</v>
      </c>
      <c r="H58" s="609">
        <v>0</v>
      </c>
      <c r="I58" s="609">
        <v>0</v>
      </c>
      <c r="J58" s="609">
        <v>0</v>
      </c>
      <c r="K58" s="609">
        <v>0</v>
      </c>
      <c r="L58" s="609">
        <v>0</v>
      </c>
      <c r="M58" s="609">
        <v>0</v>
      </c>
      <c r="N58" s="609">
        <v>0</v>
      </c>
      <c r="O58" s="609">
        <v>0</v>
      </c>
      <c r="P58" s="329">
        <f t="shared" si="4"/>
        <v>0</v>
      </c>
      <c r="Q58" s="1"/>
      <c r="R58" s="474"/>
      <c r="S58" s="1"/>
      <c r="Y58" s="473"/>
    </row>
    <row r="59" spans="1:25">
      <c r="A59" s="389">
        <f t="shared" si="1"/>
        <v>48</v>
      </c>
      <c r="B59" s="382">
        <v>8360</v>
      </c>
      <c r="C59" s="1" t="s">
        <v>874</v>
      </c>
      <c r="D59" s="609">
        <v>0</v>
      </c>
      <c r="E59" s="609">
        <v>0</v>
      </c>
      <c r="F59" s="609">
        <v>0</v>
      </c>
      <c r="G59" s="609">
        <v>0</v>
      </c>
      <c r="H59" s="609">
        <v>0</v>
      </c>
      <c r="I59" s="609">
        <v>0</v>
      </c>
      <c r="J59" s="609">
        <v>0</v>
      </c>
      <c r="K59" s="609">
        <v>0</v>
      </c>
      <c r="L59" s="609">
        <v>0</v>
      </c>
      <c r="M59" s="609">
        <v>0</v>
      </c>
      <c r="N59" s="609">
        <v>0</v>
      </c>
      <c r="O59" s="609">
        <v>0</v>
      </c>
      <c r="P59" s="329">
        <f t="shared" ref="P59:P96" si="5">SUM(D59:O59)</f>
        <v>0</v>
      </c>
      <c r="Q59" s="1"/>
      <c r="R59" s="474"/>
      <c r="S59" s="1"/>
      <c r="Y59" s="473"/>
    </row>
    <row r="60" spans="1:25">
      <c r="A60" s="389">
        <f t="shared" si="1"/>
        <v>49</v>
      </c>
      <c r="B60" s="382">
        <v>8370</v>
      </c>
      <c r="C60" s="1" t="s">
        <v>1268</v>
      </c>
      <c r="D60" s="609">
        <v>0</v>
      </c>
      <c r="E60" s="609">
        <v>0</v>
      </c>
      <c r="F60" s="609">
        <v>0</v>
      </c>
      <c r="G60" s="609">
        <v>0</v>
      </c>
      <c r="H60" s="609">
        <v>0</v>
      </c>
      <c r="I60" s="609">
        <v>0</v>
      </c>
      <c r="J60" s="609">
        <v>0</v>
      </c>
      <c r="K60" s="609">
        <v>0</v>
      </c>
      <c r="L60" s="609">
        <v>0</v>
      </c>
      <c r="M60" s="609">
        <v>0</v>
      </c>
      <c r="N60" s="609">
        <v>0</v>
      </c>
      <c r="O60" s="609">
        <v>0</v>
      </c>
      <c r="P60" s="329">
        <f t="shared" si="5"/>
        <v>0</v>
      </c>
      <c r="Q60" s="1"/>
      <c r="R60" s="474"/>
      <c r="S60" s="1"/>
      <c r="Y60" s="473"/>
    </row>
    <row r="61" spans="1:25">
      <c r="A61" s="389">
        <f t="shared" si="1"/>
        <v>50</v>
      </c>
      <c r="B61" s="382">
        <v>8410</v>
      </c>
      <c r="C61" s="1" t="s">
        <v>182</v>
      </c>
      <c r="D61" s="609">
        <v>19409.14164907037</v>
      </c>
      <c r="E61" s="609">
        <v>20098.935535699573</v>
      </c>
      <c r="F61" s="609">
        <v>18227.355317802998</v>
      </c>
      <c r="G61" s="609">
        <v>19034.585459504196</v>
      </c>
      <c r="H61" s="609">
        <v>17818.373137500083</v>
      </c>
      <c r="I61" s="609">
        <v>19086.65354395752</v>
      </c>
      <c r="J61" s="609">
        <v>20700.275071307376</v>
      </c>
      <c r="K61" s="609">
        <v>19333.838491909799</v>
      </c>
      <c r="L61" s="609">
        <v>20198.117793982688</v>
      </c>
      <c r="M61" s="609">
        <v>21629.067864582528</v>
      </c>
      <c r="N61" s="609">
        <v>18333.626687065193</v>
      </c>
      <c r="O61" s="609">
        <v>19372.867153345778</v>
      </c>
      <c r="P61" s="329">
        <f t="shared" si="5"/>
        <v>233242.8377057281</v>
      </c>
      <c r="Q61" s="1"/>
      <c r="R61" s="474"/>
      <c r="S61" s="1"/>
      <c r="Y61" s="473"/>
    </row>
    <row r="62" spans="1:25">
      <c r="A62" s="389">
        <f t="shared" si="1"/>
        <v>51</v>
      </c>
      <c r="B62" s="178">
        <v>8500</v>
      </c>
      <c r="C62" t="s">
        <v>875</v>
      </c>
      <c r="D62" s="609">
        <v>0</v>
      </c>
      <c r="E62" s="609">
        <v>0</v>
      </c>
      <c r="F62" s="609">
        <v>0</v>
      </c>
      <c r="G62" s="609">
        <v>0</v>
      </c>
      <c r="H62" s="609">
        <v>0</v>
      </c>
      <c r="I62" s="609">
        <v>0</v>
      </c>
      <c r="J62" s="609">
        <v>0</v>
      </c>
      <c r="K62" s="609">
        <v>0</v>
      </c>
      <c r="L62" s="609">
        <v>0</v>
      </c>
      <c r="M62" s="609">
        <v>0</v>
      </c>
      <c r="N62" s="609">
        <v>0</v>
      </c>
      <c r="O62" s="609">
        <v>0</v>
      </c>
      <c r="P62" s="329">
        <f t="shared" si="5"/>
        <v>0</v>
      </c>
      <c r="Q62" s="1"/>
      <c r="R62" s="474"/>
      <c r="S62" s="1"/>
      <c r="Y62" s="473"/>
    </row>
    <row r="63" spans="1:25">
      <c r="A63" s="389">
        <f t="shared" si="1"/>
        <v>52</v>
      </c>
      <c r="B63" s="382">
        <v>8520</v>
      </c>
      <c r="C63" s="1" t="s">
        <v>1269</v>
      </c>
      <c r="D63" s="609">
        <v>0</v>
      </c>
      <c r="E63" s="609">
        <v>0</v>
      </c>
      <c r="F63" s="609">
        <v>0</v>
      </c>
      <c r="G63" s="609">
        <v>0</v>
      </c>
      <c r="H63" s="609">
        <v>0</v>
      </c>
      <c r="I63" s="609">
        <v>0</v>
      </c>
      <c r="J63" s="609">
        <v>0</v>
      </c>
      <c r="K63" s="609">
        <v>0</v>
      </c>
      <c r="L63" s="609">
        <v>0</v>
      </c>
      <c r="M63" s="609">
        <v>0</v>
      </c>
      <c r="N63" s="609">
        <v>0</v>
      </c>
      <c r="O63" s="609">
        <v>0</v>
      </c>
      <c r="P63" s="329">
        <f t="shared" si="5"/>
        <v>0</v>
      </c>
      <c r="Q63" s="1"/>
      <c r="R63" s="474"/>
      <c r="S63" s="1"/>
      <c r="Y63" s="473"/>
    </row>
    <row r="64" spans="1:25">
      <c r="A64" s="389">
        <f t="shared" si="1"/>
        <v>53</v>
      </c>
      <c r="B64" s="382">
        <v>8550</v>
      </c>
      <c r="C64" t="s">
        <v>1314</v>
      </c>
      <c r="D64" s="609">
        <v>42.031451372536431</v>
      </c>
      <c r="E64" s="609">
        <v>42.637441219356148</v>
      </c>
      <c r="F64" s="609">
        <v>40.990042399799833</v>
      </c>
      <c r="G64" s="609">
        <v>40.399076878404173</v>
      </c>
      <c r="H64" s="609">
        <v>41.758457949625907</v>
      </c>
      <c r="I64" s="609">
        <v>41.163004091743197</v>
      </c>
      <c r="J64" s="609">
        <v>43.123487342664035</v>
      </c>
      <c r="K64" s="609">
        <v>40.085921454677724</v>
      </c>
      <c r="L64" s="609">
        <v>36.768059858567504</v>
      </c>
      <c r="M64" s="609">
        <v>39.173898879902445</v>
      </c>
      <c r="N64" s="609">
        <v>39.01414325637392</v>
      </c>
      <c r="O64" s="609">
        <v>41.221498642282846</v>
      </c>
      <c r="P64" s="329">
        <f t="shared" si="5"/>
        <v>488.36648334593411</v>
      </c>
      <c r="Q64" s="1"/>
      <c r="R64" s="474"/>
      <c r="S64" s="1"/>
      <c r="Y64" s="473"/>
    </row>
    <row r="65" spans="1:25">
      <c r="A65" s="389">
        <f t="shared" si="1"/>
        <v>54</v>
      </c>
      <c r="B65" s="382">
        <v>8560</v>
      </c>
      <c r="C65" s="1" t="s">
        <v>876</v>
      </c>
      <c r="D65" s="609">
        <v>12008.803300361351</v>
      </c>
      <c r="E65" s="609">
        <v>12361.182526479864</v>
      </c>
      <c r="F65" s="609">
        <v>11523.560024243292</v>
      </c>
      <c r="G65" s="609">
        <v>11800.393494387394</v>
      </c>
      <c r="H65" s="609">
        <v>11133.728393986734</v>
      </c>
      <c r="I65" s="609">
        <v>11811.825627203551</v>
      </c>
      <c r="J65" s="609">
        <v>13021.938593455523</v>
      </c>
      <c r="K65" s="609">
        <v>12371.47915462034</v>
      </c>
      <c r="L65" s="609">
        <v>12872.736192965704</v>
      </c>
      <c r="M65" s="609">
        <v>13162.538652291238</v>
      </c>
      <c r="N65" s="609">
        <v>11395.393281825243</v>
      </c>
      <c r="O65" s="609">
        <v>12035.155183626854</v>
      </c>
      <c r="P65" s="329">
        <f t="shared" si="5"/>
        <v>145498.73442544707</v>
      </c>
      <c r="Q65" s="1"/>
      <c r="R65" s="474"/>
      <c r="S65" s="1"/>
      <c r="Y65" s="473"/>
    </row>
    <row r="66" spans="1:25">
      <c r="A66" s="389">
        <f t="shared" si="1"/>
        <v>55</v>
      </c>
      <c r="B66" s="382">
        <v>8570</v>
      </c>
      <c r="C66" s="1" t="s">
        <v>877</v>
      </c>
      <c r="D66" s="609">
        <v>1021.5312365342729</v>
      </c>
      <c r="E66" s="609">
        <v>1040.1442298360885</v>
      </c>
      <c r="F66" s="609">
        <v>990.02998305280357</v>
      </c>
      <c r="G66" s="609">
        <v>985.28114272975245</v>
      </c>
      <c r="H66" s="609">
        <v>1002.0639776304283</v>
      </c>
      <c r="I66" s="609">
        <v>999.99737111114666</v>
      </c>
      <c r="J66" s="609">
        <v>1055.0183168270778</v>
      </c>
      <c r="K66" s="609">
        <v>981.72981319384371</v>
      </c>
      <c r="L66" s="609">
        <v>921.61468949607161</v>
      </c>
      <c r="M66" s="609">
        <v>983.256844885585</v>
      </c>
      <c r="N66" s="609">
        <v>950.96011124300185</v>
      </c>
      <c r="O66" s="609">
        <v>1004.4031423170235</v>
      </c>
      <c r="P66" s="329">
        <f t="shared" si="5"/>
        <v>11936.030858857095</v>
      </c>
      <c r="Q66" s="1"/>
      <c r="R66" s="474"/>
      <c r="S66" s="1"/>
      <c r="Y66" s="473"/>
    </row>
    <row r="67" spans="1:25">
      <c r="A67" s="389">
        <f>A66+1</f>
        <v>56</v>
      </c>
      <c r="B67" s="382">
        <v>8630</v>
      </c>
      <c r="C67" s="1" t="s">
        <v>878</v>
      </c>
      <c r="D67" s="609">
        <v>1905.6958975764533</v>
      </c>
      <c r="E67" s="609">
        <v>1978.1314951648062</v>
      </c>
      <c r="F67" s="609">
        <v>1786.8337325198302</v>
      </c>
      <c r="G67" s="609">
        <v>1871.2986986284648</v>
      </c>
      <c r="H67" s="609">
        <v>1744.8130409718674</v>
      </c>
      <c r="I67" s="609">
        <v>1861.3774839411312</v>
      </c>
      <c r="J67" s="609">
        <v>2035.5953463329795</v>
      </c>
      <c r="K67" s="609">
        <v>1904.0805769088181</v>
      </c>
      <c r="L67" s="609">
        <v>1991.1447392214168</v>
      </c>
      <c r="M67" s="609">
        <v>2136.9184519762935</v>
      </c>
      <c r="N67" s="609">
        <v>1800.849173068731</v>
      </c>
      <c r="O67" s="609">
        <v>1898.5638339285097</v>
      </c>
      <c r="P67" s="329">
        <f t="shared" si="5"/>
        <v>22915.302470239301</v>
      </c>
      <c r="Q67" s="1"/>
      <c r="R67" s="474"/>
      <c r="S67" s="1"/>
      <c r="Y67" s="473"/>
    </row>
    <row r="68" spans="1:25">
      <c r="A68" s="389">
        <f t="shared" si="1"/>
        <v>57</v>
      </c>
      <c r="B68" s="382">
        <v>8640</v>
      </c>
      <c r="C68" s="1" t="s">
        <v>1270</v>
      </c>
      <c r="D68" s="609">
        <v>0</v>
      </c>
      <c r="E68" s="609">
        <v>0</v>
      </c>
      <c r="F68" s="609">
        <v>0</v>
      </c>
      <c r="G68" s="609">
        <v>0</v>
      </c>
      <c r="H68" s="609">
        <v>0</v>
      </c>
      <c r="I68" s="609">
        <v>0</v>
      </c>
      <c r="J68" s="609">
        <v>0</v>
      </c>
      <c r="K68" s="609">
        <v>0</v>
      </c>
      <c r="L68" s="609">
        <v>0</v>
      </c>
      <c r="M68" s="609">
        <v>0</v>
      </c>
      <c r="N68" s="609">
        <v>0</v>
      </c>
      <c r="O68" s="609">
        <v>0</v>
      </c>
      <c r="P68" s="329">
        <f t="shared" si="5"/>
        <v>0</v>
      </c>
      <c r="Q68" s="1"/>
      <c r="R68" s="474"/>
      <c r="S68" s="1"/>
      <c r="Y68" s="473"/>
    </row>
    <row r="69" spans="1:25">
      <c r="A69" s="389">
        <f t="shared" si="1"/>
        <v>58</v>
      </c>
      <c r="B69" s="382">
        <v>8650</v>
      </c>
      <c r="C69" s="1" t="s">
        <v>879</v>
      </c>
      <c r="D69" s="609">
        <v>0</v>
      </c>
      <c r="E69" s="609">
        <v>0</v>
      </c>
      <c r="F69" s="609">
        <v>0</v>
      </c>
      <c r="G69" s="609">
        <v>0</v>
      </c>
      <c r="H69" s="609">
        <v>0</v>
      </c>
      <c r="I69" s="609">
        <v>0</v>
      </c>
      <c r="J69" s="609">
        <v>0</v>
      </c>
      <c r="K69" s="609">
        <v>0</v>
      </c>
      <c r="L69" s="609">
        <v>0</v>
      </c>
      <c r="M69" s="609">
        <v>0</v>
      </c>
      <c r="N69" s="609">
        <v>0</v>
      </c>
      <c r="O69" s="609">
        <v>0</v>
      </c>
      <c r="P69" s="329">
        <f t="shared" si="5"/>
        <v>0</v>
      </c>
      <c r="Q69" s="1"/>
      <c r="R69" s="474"/>
      <c r="S69" s="1"/>
      <c r="Y69" s="473"/>
    </row>
    <row r="70" spans="1:25">
      <c r="A70" s="389">
        <f t="shared" si="1"/>
        <v>59</v>
      </c>
      <c r="B70" s="382">
        <v>8700</v>
      </c>
      <c r="C70" s="1" t="s">
        <v>880</v>
      </c>
      <c r="D70" s="609">
        <v>170816.22153946036</v>
      </c>
      <c r="E70" s="609">
        <v>179422.01270866772</v>
      </c>
      <c r="F70" s="609">
        <v>184214.0700679571</v>
      </c>
      <c r="G70" s="609">
        <v>178404.28768281237</v>
      </c>
      <c r="H70" s="609">
        <v>182952.8876102441</v>
      </c>
      <c r="I70" s="609">
        <v>179742.28304185552</v>
      </c>
      <c r="J70" s="609">
        <v>179512.60880838882</v>
      </c>
      <c r="K70" s="609">
        <v>183519.47369607163</v>
      </c>
      <c r="L70" s="609">
        <v>198693.31960609334</v>
      </c>
      <c r="M70" s="609">
        <v>172171.46639381145</v>
      </c>
      <c r="N70" s="609">
        <v>160408.16151224292</v>
      </c>
      <c r="O70" s="609">
        <v>170848.67962365603</v>
      </c>
      <c r="P70" s="329">
        <f t="shared" si="5"/>
        <v>2140705.472291261</v>
      </c>
      <c r="Q70" s="1"/>
      <c r="R70" s="474"/>
      <c r="S70" s="1"/>
      <c r="Y70" s="473"/>
    </row>
    <row r="71" spans="1:25">
      <c r="A71" s="389">
        <f t="shared" si="1"/>
        <v>60</v>
      </c>
      <c r="B71" s="382">
        <v>8710</v>
      </c>
      <c r="C71" s="1" t="s">
        <v>881</v>
      </c>
      <c r="D71" s="609">
        <v>-3.5706286323075394</v>
      </c>
      <c r="E71" s="609">
        <v>-3.6221082892616638</v>
      </c>
      <c r="F71" s="609">
        <v>-3.4821595317990339</v>
      </c>
      <c r="G71" s="609">
        <v>-3.431956211606749</v>
      </c>
      <c r="H71" s="609">
        <v>-3.5474374718682675</v>
      </c>
      <c r="I71" s="609">
        <v>-3.4968528614219285</v>
      </c>
      <c r="J71" s="609">
        <v>-3.6633985647061897</v>
      </c>
      <c r="K71" s="609">
        <v>-3.4053532348879707</v>
      </c>
      <c r="L71" s="609">
        <v>-3.1234964056268826</v>
      </c>
      <c r="M71" s="609">
        <v>-3.3278756838526702</v>
      </c>
      <c r="N71" s="609">
        <v>-3.3143042275998931</v>
      </c>
      <c r="O71" s="609">
        <v>-3.5018220525911707</v>
      </c>
      <c r="P71" s="329">
        <f t="shared" si="5"/>
        <v>-41.487393167529959</v>
      </c>
      <c r="Q71" s="1"/>
      <c r="R71" s="474"/>
      <c r="S71" s="1"/>
      <c r="Y71" s="473"/>
    </row>
    <row r="72" spans="1:25">
      <c r="A72" s="389">
        <f t="shared" si="1"/>
        <v>61</v>
      </c>
      <c r="B72" s="382">
        <v>8711</v>
      </c>
      <c r="C72" t="s">
        <v>183</v>
      </c>
      <c r="D72" s="609">
        <v>11188.62414070239</v>
      </c>
      <c r="E72" s="609">
        <v>10582.344597901445</v>
      </c>
      <c r="F72" s="609">
        <v>12310.237754697191</v>
      </c>
      <c r="G72" s="609">
        <v>10860.971471224088</v>
      </c>
      <c r="H72" s="609">
        <v>10791.368821203132</v>
      </c>
      <c r="I72" s="609">
        <v>11096.391328388017</v>
      </c>
      <c r="J72" s="609">
        <v>10243.530684490954</v>
      </c>
      <c r="K72" s="609">
        <v>10946.340182887201</v>
      </c>
      <c r="L72" s="609">
        <v>11377.322541576703</v>
      </c>
      <c r="M72" s="609">
        <v>10754.781310961289</v>
      </c>
      <c r="N72" s="609">
        <v>10938.473243824963</v>
      </c>
      <c r="O72" s="609">
        <v>11729.087102502514</v>
      </c>
      <c r="P72" s="329">
        <f t="shared" si="5"/>
        <v>132819.4731803599</v>
      </c>
      <c r="Q72" s="1"/>
      <c r="R72" s="474"/>
      <c r="S72" s="1"/>
      <c r="Y72" s="473"/>
    </row>
    <row r="73" spans="1:25">
      <c r="A73" s="389">
        <f t="shared" si="1"/>
        <v>62</v>
      </c>
      <c r="B73" s="382">
        <v>8720</v>
      </c>
      <c r="C73" t="s">
        <v>1271</v>
      </c>
      <c r="D73" s="609">
        <v>0</v>
      </c>
      <c r="E73" s="609">
        <v>0</v>
      </c>
      <c r="F73" s="609">
        <v>0</v>
      </c>
      <c r="G73" s="609">
        <v>0</v>
      </c>
      <c r="H73" s="609">
        <v>0</v>
      </c>
      <c r="I73" s="609">
        <v>0</v>
      </c>
      <c r="J73" s="609">
        <v>0</v>
      </c>
      <c r="K73" s="609">
        <v>0</v>
      </c>
      <c r="L73" s="609">
        <v>0</v>
      </c>
      <c r="M73" s="609">
        <v>0</v>
      </c>
      <c r="N73" s="609">
        <v>0</v>
      </c>
      <c r="O73" s="609">
        <v>0</v>
      </c>
      <c r="P73" s="329">
        <f t="shared" si="5"/>
        <v>0</v>
      </c>
      <c r="Q73" s="1"/>
      <c r="R73" s="474"/>
      <c r="S73" s="1"/>
      <c r="Y73" s="473"/>
    </row>
    <row r="74" spans="1:25">
      <c r="A74" s="389">
        <f t="shared" si="1"/>
        <v>63</v>
      </c>
      <c r="B74" s="382">
        <v>8740</v>
      </c>
      <c r="C74" s="1" t="s">
        <v>882</v>
      </c>
      <c r="D74" s="609">
        <v>546046.16723545408</v>
      </c>
      <c r="E74" s="609">
        <v>584678.41560632759</v>
      </c>
      <c r="F74" s="609">
        <v>591788.99290183361</v>
      </c>
      <c r="G74" s="609">
        <v>579022.8140919935</v>
      </c>
      <c r="H74" s="609">
        <v>603469.25501316704</v>
      </c>
      <c r="I74" s="609">
        <v>564263.30704244587</v>
      </c>
      <c r="J74" s="609">
        <v>551149.35044299893</v>
      </c>
      <c r="K74" s="609">
        <v>578319.74132690567</v>
      </c>
      <c r="L74" s="609">
        <v>624971.84878871904</v>
      </c>
      <c r="M74" s="609">
        <v>539049.49905147136</v>
      </c>
      <c r="N74" s="609">
        <v>510054.9476251576</v>
      </c>
      <c r="O74" s="609">
        <v>530170.04813293333</v>
      </c>
      <c r="P74" s="329">
        <f t="shared" si="5"/>
        <v>6802984.387259407</v>
      </c>
      <c r="Q74" s="1"/>
      <c r="R74" s="474"/>
      <c r="S74" s="1"/>
      <c r="Y74" s="473"/>
    </row>
    <row r="75" spans="1:25">
      <c r="A75" s="389">
        <f t="shared" si="1"/>
        <v>64</v>
      </c>
      <c r="B75" s="382">
        <v>8750</v>
      </c>
      <c r="C75" s="1" t="s">
        <v>883</v>
      </c>
      <c r="D75" s="609">
        <v>113094.94578149966</v>
      </c>
      <c r="E75" s="609">
        <v>116763.9777628638</v>
      </c>
      <c r="F75" s="609">
        <v>108081.33258191435</v>
      </c>
      <c r="G75" s="609">
        <v>111321.80576333321</v>
      </c>
      <c r="H75" s="609">
        <v>105368.98665385912</v>
      </c>
      <c r="I75" s="609">
        <v>111283.37534171635</v>
      </c>
      <c r="J75" s="609">
        <v>119522.79156948515</v>
      </c>
      <c r="K75" s="609">
        <v>113242.77227663735</v>
      </c>
      <c r="L75" s="609">
        <v>118752.56592475025</v>
      </c>
      <c r="M75" s="609">
        <v>124366.27500191238</v>
      </c>
      <c r="N75" s="609">
        <v>106801.49070006843</v>
      </c>
      <c r="O75" s="609">
        <v>112934.72315327417</v>
      </c>
      <c r="P75" s="329">
        <f t="shared" si="5"/>
        <v>1361535.0425113144</v>
      </c>
      <c r="Q75" s="1"/>
      <c r="R75" s="474"/>
      <c r="S75" s="1"/>
      <c r="Y75" s="473"/>
    </row>
    <row r="76" spans="1:25">
      <c r="A76" s="389">
        <f t="shared" si="1"/>
        <v>65</v>
      </c>
      <c r="B76" s="382">
        <v>8760</v>
      </c>
      <c r="C76" s="1" t="s">
        <v>884</v>
      </c>
      <c r="D76" s="609">
        <v>44.06239841122563</v>
      </c>
      <c r="E76" s="609">
        <v>41.674783059460495</v>
      </c>
      <c r="F76" s="609">
        <v>48.479472870229756</v>
      </c>
      <c r="G76" s="609">
        <v>42.772055444878717</v>
      </c>
      <c r="H76" s="609">
        <v>42.497950277242985</v>
      </c>
      <c r="I76" s="609">
        <v>43.699172435298919</v>
      </c>
      <c r="J76" s="609">
        <v>40.34048552187047</v>
      </c>
      <c r="K76" s="609">
        <v>43.108249612977474</v>
      </c>
      <c r="L76" s="609">
        <v>44.805519639924185</v>
      </c>
      <c r="M76" s="609">
        <v>42.353863441106789</v>
      </c>
      <c r="N76" s="609">
        <v>43.077268484388469</v>
      </c>
      <c r="O76" s="609">
        <v>46.190818675404152</v>
      </c>
      <c r="P76" s="329">
        <f t="shared" si="5"/>
        <v>523.06203787400796</v>
      </c>
      <c r="Q76" s="1"/>
      <c r="R76" s="474"/>
      <c r="S76" s="1"/>
      <c r="Y76" s="473"/>
    </row>
    <row r="77" spans="1:25">
      <c r="A77" s="389">
        <f t="shared" si="1"/>
        <v>66</v>
      </c>
      <c r="B77" s="382">
        <v>8770</v>
      </c>
      <c r="C77" s="1" t="s">
        <v>885</v>
      </c>
      <c r="D77" s="609">
        <v>469.50614004735519</v>
      </c>
      <c r="E77" s="609">
        <v>476.24249471419671</v>
      </c>
      <c r="F77" s="609">
        <v>458.47099693098033</v>
      </c>
      <c r="G77" s="609">
        <v>451.35948021348139</v>
      </c>
      <c r="H77" s="609">
        <v>466.47074498334297</v>
      </c>
      <c r="I77" s="609">
        <v>460.39438458881466</v>
      </c>
      <c r="J77" s="609">
        <v>491.30490468387524</v>
      </c>
      <c r="K77" s="609">
        <v>457.53815582924904</v>
      </c>
      <c r="L77" s="609">
        <v>421.1977372482994</v>
      </c>
      <c r="M77" s="609">
        <v>437.74070539912378</v>
      </c>
      <c r="N77" s="609">
        <v>435.96481666805278</v>
      </c>
      <c r="O77" s="609">
        <v>461.04458064974835</v>
      </c>
      <c r="P77" s="329">
        <f t="shared" si="5"/>
        <v>5487.2351419565202</v>
      </c>
      <c r="Q77" s="1"/>
      <c r="R77" s="474"/>
      <c r="S77" s="1"/>
      <c r="Y77" s="473"/>
    </row>
    <row r="78" spans="1:25">
      <c r="A78" s="389">
        <f t="shared" si="1"/>
        <v>67</v>
      </c>
      <c r="B78" s="382">
        <v>8780</v>
      </c>
      <c r="C78" s="1" t="s">
        <v>886</v>
      </c>
      <c r="D78" s="609">
        <v>78175.440746013672</v>
      </c>
      <c r="E78" s="609">
        <v>81050.199380520469</v>
      </c>
      <c r="F78" s="609">
        <v>73408.601449761292</v>
      </c>
      <c r="G78" s="609">
        <v>76697.593299536165</v>
      </c>
      <c r="H78" s="609">
        <v>71871.797478657478</v>
      </c>
      <c r="I78" s="609">
        <v>76577.308743386908</v>
      </c>
      <c r="J78" s="609">
        <v>83089.375786397926</v>
      </c>
      <c r="K78" s="609">
        <v>77847.327801357693</v>
      </c>
      <c r="L78" s="609">
        <v>81158.34510236654</v>
      </c>
      <c r="M78" s="609">
        <v>86974.101863537755</v>
      </c>
      <c r="N78" s="609">
        <v>73849.900907081261</v>
      </c>
      <c r="O78" s="609">
        <v>77770.937515540922</v>
      </c>
      <c r="P78" s="329">
        <f t="shared" si="5"/>
        <v>938470.93007415812</v>
      </c>
      <c r="Q78" s="1"/>
      <c r="R78" s="474"/>
      <c r="S78" s="1"/>
      <c r="Y78" s="473"/>
    </row>
    <row r="79" spans="1:25">
      <c r="A79" s="389">
        <f t="shared" si="1"/>
        <v>68</v>
      </c>
      <c r="B79" s="382">
        <v>8790</v>
      </c>
      <c r="C79" s="1" t="s">
        <v>887</v>
      </c>
      <c r="D79" s="609">
        <v>21.683006031984089</v>
      </c>
      <c r="E79" s="609">
        <v>20.508065948350517</v>
      </c>
      <c r="F79" s="609">
        <v>23.856638325997142</v>
      </c>
      <c r="G79" s="609">
        <v>21.048031193313022</v>
      </c>
      <c r="H79" s="609">
        <v>20.913144663810591</v>
      </c>
      <c r="I79" s="609">
        <v>21.504263355439601</v>
      </c>
      <c r="J79" s="609">
        <v>19.851461165151626</v>
      </c>
      <c r="K79" s="609">
        <v>21.213471578713062</v>
      </c>
      <c r="L79" s="609">
        <v>22.048694298291927</v>
      </c>
      <c r="M79" s="609">
        <v>20.842239859493933</v>
      </c>
      <c r="N79" s="609">
        <v>21.198225835805388</v>
      </c>
      <c r="O79" s="609">
        <v>22.730396802592313</v>
      </c>
      <c r="P79" s="329">
        <f t="shared" si="5"/>
        <v>257.39763905894324</v>
      </c>
      <c r="Q79" s="1"/>
      <c r="R79" s="474"/>
      <c r="S79" s="1"/>
      <c r="Y79" s="473"/>
    </row>
    <row r="80" spans="1:25">
      <c r="A80" s="389">
        <f t="shared" ref="A80:A114" si="6">A79+1</f>
        <v>69</v>
      </c>
      <c r="B80" s="382">
        <v>8800</v>
      </c>
      <c r="C80" s="1" t="s">
        <v>888</v>
      </c>
      <c r="D80" s="609">
        <v>258.94229774166314</v>
      </c>
      <c r="E80" s="609">
        <v>247.55245134435472</v>
      </c>
      <c r="F80" s="609">
        <v>285.33411359890061</v>
      </c>
      <c r="G80" s="609">
        <v>253.64517080710419</v>
      </c>
      <c r="H80" s="609">
        <v>252.12046560947746</v>
      </c>
      <c r="I80" s="609">
        <v>258.88193110871606</v>
      </c>
      <c r="J80" s="609">
        <v>238.26771650360914</v>
      </c>
      <c r="K80" s="609">
        <v>253.63233222264392</v>
      </c>
      <c r="L80" s="609">
        <v>263.0560399822063</v>
      </c>
      <c r="M80" s="609">
        <v>249.44393902093617</v>
      </c>
      <c r="N80" s="609">
        <v>253.46165927972925</v>
      </c>
      <c r="O80" s="609">
        <v>270.85361306063658</v>
      </c>
      <c r="P80" s="329">
        <f t="shared" si="5"/>
        <v>3085.1917302799775</v>
      </c>
      <c r="Q80" s="1"/>
      <c r="R80" s="1"/>
      <c r="S80" s="1"/>
      <c r="Y80" s="473"/>
    </row>
    <row r="81" spans="1:25">
      <c r="A81" s="389">
        <f t="shared" si="6"/>
        <v>70</v>
      </c>
      <c r="B81" s="382">
        <v>8810</v>
      </c>
      <c r="C81" s="1" t="s">
        <v>889</v>
      </c>
      <c r="D81" s="609">
        <v>8611.8088766777328</v>
      </c>
      <c r="E81" s="609">
        <v>5950.0033650751211</v>
      </c>
      <c r="F81" s="609">
        <v>4663.2012679721483</v>
      </c>
      <c r="G81" s="609">
        <v>4209.0622827193038</v>
      </c>
      <c r="H81" s="609">
        <v>5270.3110461280739</v>
      </c>
      <c r="I81" s="609">
        <v>4652.0731706542392</v>
      </c>
      <c r="J81" s="609">
        <v>9479.8406818659387</v>
      </c>
      <c r="K81" s="609">
        <v>7121.5667755348877</v>
      </c>
      <c r="L81" s="609">
        <v>4541.8571771161696</v>
      </c>
      <c r="M81" s="609">
        <v>6413.327150935369</v>
      </c>
      <c r="N81" s="609">
        <v>6286.5291913936162</v>
      </c>
      <c r="O81" s="609">
        <v>7823.0103857111353</v>
      </c>
      <c r="P81" s="329">
        <f t="shared" si="5"/>
        <v>75022.591371783739</v>
      </c>
      <c r="Q81" s="1"/>
      <c r="R81" s="1"/>
      <c r="S81" s="1"/>
      <c r="Y81" s="473"/>
    </row>
    <row r="82" spans="1:25">
      <c r="A82" s="389">
        <f t="shared" si="6"/>
        <v>71</v>
      </c>
      <c r="B82" s="382">
        <v>8850</v>
      </c>
      <c r="C82" s="1" t="s">
        <v>890</v>
      </c>
      <c r="D82" s="609">
        <v>0</v>
      </c>
      <c r="E82" s="609">
        <v>0</v>
      </c>
      <c r="F82" s="609">
        <v>0</v>
      </c>
      <c r="G82" s="609">
        <v>0</v>
      </c>
      <c r="H82" s="609">
        <v>0</v>
      </c>
      <c r="I82" s="609">
        <v>0</v>
      </c>
      <c r="J82" s="609">
        <v>0</v>
      </c>
      <c r="K82" s="609">
        <v>0</v>
      </c>
      <c r="L82" s="609">
        <v>0</v>
      </c>
      <c r="M82" s="609">
        <v>0</v>
      </c>
      <c r="N82" s="609">
        <v>0</v>
      </c>
      <c r="O82" s="609">
        <v>0</v>
      </c>
      <c r="P82" s="329">
        <f t="shared" si="5"/>
        <v>0</v>
      </c>
      <c r="Q82" s="1"/>
      <c r="R82" s="1"/>
      <c r="S82" s="1"/>
      <c r="Y82" s="473"/>
    </row>
    <row r="83" spans="1:25">
      <c r="A83" s="389">
        <f t="shared" si="6"/>
        <v>72</v>
      </c>
      <c r="B83" s="382">
        <v>8860</v>
      </c>
      <c r="C83" s="1" t="s">
        <v>891</v>
      </c>
      <c r="D83" s="609">
        <v>0</v>
      </c>
      <c r="E83" s="609">
        <v>0</v>
      </c>
      <c r="F83" s="609">
        <v>0</v>
      </c>
      <c r="G83" s="609">
        <v>0</v>
      </c>
      <c r="H83" s="609">
        <v>0</v>
      </c>
      <c r="I83" s="609">
        <v>0</v>
      </c>
      <c r="J83" s="609">
        <v>0</v>
      </c>
      <c r="K83" s="609">
        <v>0</v>
      </c>
      <c r="L83" s="609">
        <v>0</v>
      </c>
      <c r="M83" s="609">
        <v>0</v>
      </c>
      <c r="N83" s="609">
        <v>0</v>
      </c>
      <c r="O83" s="609">
        <v>0</v>
      </c>
      <c r="P83" s="329">
        <f t="shared" si="5"/>
        <v>0</v>
      </c>
      <c r="Q83" s="1"/>
      <c r="R83" s="1"/>
      <c r="S83" s="1"/>
      <c r="Y83" s="473"/>
    </row>
    <row r="84" spans="1:25">
      <c r="A84" s="389">
        <f t="shared" si="6"/>
        <v>73</v>
      </c>
      <c r="B84" s="382">
        <v>8870</v>
      </c>
      <c r="C84" s="1" t="s">
        <v>892</v>
      </c>
      <c r="D84" s="609">
        <v>11932.410710073898</v>
      </c>
      <c r="E84" s="609">
        <v>12495.840322465723</v>
      </c>
      <c r="F84" s="609">
        <v>12057.510347842384</v>
      </c>
      <c r="G84" s="609">
        <v>12091.900676804291</v>
      </c>
      <c r="H84" s="609">
        <v>12408.65578089164</v>
      </c>
      <c r="I84" s="609">
        <v>12030.898436389665</v>
      </c>
      <c r="J84" s="609">
        <v>11832.189151809247</v>
      </c>
      <c r="K84" s="609">
        <v>12082.960667636722</v>
      </c>
      <c r="L84" s="609">
        <v>13027.393139505401</v>
      </c>
      <c r="M84" s="609">
        <v>12048.62048633592</v>
      </c>
      <c r="N84" s="609">
        <v>11020.166630858463</v>
      </c>
      <c r="O84" s="609">
        <v>11451.324657493018</v>
      </c>
      <c r="P84" s="329">
        <f t="shared" si="5"/>
        <v>144479.87100810636</v>
      </c>
      <c r="Q84" s="1"/>
      <c r="R84" s="83"/>
      <c r="S84" s="1"/>
      <c r="Y84" s="473"/>
    </row>
    <row r="85" spans="1:25">
      <c r="A85" s="389">
        <f t="shared" si="6"/>
        <v>74</v>
      </c>
      <c r="B85" s="382">
        <v>8890</v>
      </c>
      <c r="C85" s="381" t="s">
        <v>893</v>
      </c>
      <c r="D85" s="609">
        <v>11004.895297147854</v>
      </c>
      <c r="E85" s="609">
        <v>12046.648096893447</v>
      </c>
      <c r="F85" s="609">
        <v>13841.649161897009</v>
      </c>
      <c r="G85" s="609">
        <v>12525.28151333483</v>
      </c>
      <c r="H85" s="609">
        <v>15267.939641442519</v>
      </c>
      <c r="I85" s="609">
        <v>11204.662345590014</v>
      </c>
      <c r="J85" s="609">
        <v>9318.1869140163126</v>
      </c>
      <c r="K85" s="609">
        <v>12417.956066352646</v>
      </c>
      <c r="L85" s="609">
        <v>15045.399742695225</v>
      </c>
      <c r="M85" s="609">
        <v>8819.454175068633</v>
      </c>
      <c r="N85" s="609">
        <v>9406.3629770193293</v>
      </c>
      <c r="O85" s="609">
        <v>9691.3462252574755</v>
      </c>
      <c r="P85" s="329">
        <f t="shared" si="5"/>
        <v>140589.78215671532</v>
      </c>
      <c r="Q85" s="1"/>
      <c r="R85" s="1"/>
      <c r="S85" s="1"/>
      <c r="Y85" s="473"/>
    </row>
    <row r="86" spans="1:25">
      <c r="A86" s="389">
        <f t="shared" si="6"/>
        <v>75</v>
      </c>
      <c r="B86" s="382">
        <v>8900</v>
      </c>
      <c r="C86" s="1" t="s">
        <v>894</v>
      </c>
      <c r="D86" s="609">
        <v>0</v>
      </c>
      <c r="E86" s="609">
        <v>0</v>
      </c>
      <c r="F86" s="609">
        <v>0</v>
      </c>
      <c r="G86" s="609">
        <v>0</v>
      </c>
      <c r="H86" s="609">
        <v>0</v>
      </c>
      <c r="I86" s="609">
        <v>0</v>
      </c>
      <c r="J86" s="609">
        <v>0</v>
      </c>
      <c r="K86" s="609">
        <v>0</v>
      </c>
      <c r="L86" s="609">
        <v>0</v>
      </c>
      <c r="M86" s="609">
        <v>0</v>
      </c>
      <c r="N86" s="609">
        <v>0</v>
      </c>
      <c r="O86" s="609">
        <v>0</v>
      </c>
      <c r="P86" s="329">
        <f t="shared" si="5"/>
        <v>0</v>
      </c>
      <c r="Q86" s="1"/>
      <c r="R86" s="1"/>
      <c r="S86" s="1"/>
      <c r="Y86" s="473"/>
    </row>
    <row r="87" spans="1:25">
      <c r="A87" s="389">
        <f t="shared" si="6"/>
        <v>76</v>
      </c>
      <c r="B87" s="382">
        <v>8910</v>
      </c>
      <c r="C87" s="1" t="s">
        <v>895</v>
      </c>
      <c r="D87" s="609">
        <v>11.190211686402494</v>
      </c>
      <c r="E87" s="609">
        <v>11.615552199374982</v>
      </c>
      <c r="F87" s="609">
        <v>10.492255212770338</v>
      </c>
      <c r="G87" s="609">
        <v>10.988231959134989</v>
      </c>
      <c r="H87" s="609">
        <v>10.245510475465334</v>
      </c>
      <c r="I87" s="609">
        <v>10.929974766747319</v>
      </c>
      <c r="J87" s="609">
        <v>11.952978889386518</v>
      </c>
      <c r="K87" s="609">
        <v>11.180726552790544</v>
      </c>
      <c r="L87" s="609">
        <v>11.691965732040652</v>
      </c>
      <c r="M87" s="609">
        <v>12.547946324807004</v>
      </c>
      <c r="N87" s="609">
        <v>10.574553625030051</v>
      </c>
      <c r="O87" s="609">
        <v>11.148332338242653</v>
      </c>
      <c r="P87" s="329">
        <f t="shared" si="5"/>
        <v>134.5582397621929</v>
      </c>
      <c r="Q87" s="1"/>
      <c r="R87" s="1"/>
      <c r="S87" s="1"/>
      <c r="Y87" s="473"/>
    </row>
    <row r="88" spans="1:25">
      <c r="A88" s="389">
        <f t="shared" si="6"/>
        <v>77</v>
      </c>
      <c r="B88" s="382">
        <v>8920</v>
      </c>
      <c r="C88" s="1" t="s">
        <v>896</v>
      </c>
      <c r="D88" s="609">
        <v>14.779946987474904</v>
      </c>
      <c r="E88" s="609">
        <v>15.341733521057431</v>
      </c>
      <c r="F88" s="609">
        <v>13.858091354271547</v>
      </c>
      <c r="G88" s="609">
        <v>14.51317369084587</v>
      </c>
      <c r="H88" s="609">
        <v>13.532192770848161</v>
      </c>
      <c r="I88" s="609">
        <v>14.436228031616279</v>
      </c>
      <c r="J88" s="609">
        <v>15.787404141979614</v>
      </c>
      <c r="K88" s="609">
        <v>14.767419094716264</v>
      </c>
      <c r="L88" s="609">
        <v>15.442659937248164</v>
      </c>
      <c r="M88" s="609">
        <v>16.573232632201474</v>
      </c>
      <c r="N88" s="609">
        <v>13.966790474935184</v>
      </c>
      <c r="O88" s="609">
        <v>14.724633061070405</v>
      </c>
      <c r="P88" s="329">
        <f t="shared" si="5"/>
        <v>177.72350569826528</v>
      </c>
      <c r="Q88" s="1"/>
      <c r="R88" s="1"/>
      <c r="S88" s="1"/>
      <c r="Y88" s="473"/>
    </row>
    <row r="89" spans="1:25">
      <c r="A89" s="389">
        <f t="shared" si="6"/>
        <v>78</v>
      </c>
      <c r="B89" s="382">
        <v>8930</v>
      </c>
      <c r="C89" s="1" t="s">
        <v>897</v>
      </c>
      <c r="D89" s="609">
        <v>0</v>
      </c>
      <c r="E89" s="609">
        <v>0</v>
      </c>
      <c r="F89" s="609">
        <v>0</v>
      </c>
      <c r="G89" s="609">
        <v>0</v>
      </c>
      <c r="H89" s="609">
        <v>0</v>
      </c>
      <c r="I89" s="609">
        <v>0</v>
      </c>
      <c r="J89" s="609">
        <v>0</v>
      </c>
      <c r="K89" s="609">
        <v>0</v>
      </c>
      <c r="L89" s="609">
        <v>0</v>
      </c>
      <c r="M89" s="609">
        <v>0</v>
      </c>
      <c r="N89" s="609">
        <v>0</v>
      </c>
      <c r="O89" s="609">
        <v>0</v>
      </c>
      <c r="P89" s="329">
        <f t="shared" si="5"/>
        <v>0</v>
      </c>
      <c r="Q89" s="1"/>
      <c r="R89" s="1"/>
      <c r="S89" s="1"/>
      <c r="Y89" s="473"/>
    </row>
    <row r="90" spans="1:25">
      <c r="A90" s="389">
        <f t="shared" si="6"/>
        <v>79</v>
      </c>
      <c r="B90" s="382">
        <v>8940</v>
      </c>
      <c r="C90" s="1" t="s">
        <v>898</v>
      </c>
      <c r="D90" s="609">
        <v>0</v>
      </c>
      <c r="E90" s="609">
        <v>0</v>
      </c>
      <c r="F90" s="609">
        <v>0</v>
      </c>
      <c r="G90" s="609">
        <v>0</v>
      </c>
      <c r="H90" s="609">
        <v>0</v>
      </c>
      <c r="I90" s="609">
        <v>0</v>
      </c>
      <c r="J90" s="609">
        <v>0</v>
      </c>
      <c r="K90" s="609">
        <v>0</v>
      </c>
      <c r="L90" s="609">
        <v>0</v>
      </c>
      <c r="M90" s="609">
        <v>0</v>
      </c>
      <c r="N90" s="609">
        <v>0</v>
      </c>
      <c r="O90" s="609">
        <v>0</v>
      </c>
      <c r="P90" s="329">
        <f t="shared" si="5"/>
        <v>0</v>
      </c>
      <c r="Q90" s="1"/>
      <c r="R90" s="1"/>
      <c r="S90" s="1"/>
      <c r="Y90" s="473"/>
    </row>
    <row r="91" spans="1:25">
      <c r="A91" s="389">
        <f t="shared" si="6"/>
        <v>80</v>
      </c>
      <c r="B91" s="178">
        <v>9010</v>
      </c>
      <c r="C91" t="s">
        <v>175</v>
      </c>
      <c r="D91" s="609">
        <v>0</v>
      </c>
      <c r="E91" s="609">
        <v>0</v>
      </c>
      <c r="F91" s="609">
        <v>0</v>
      </c>
      <c r="G91" s="609">
        <v>0</v>
      </c>
      <c r="H91" s="609">
        <v>0</v>
      </c>
      <c r="I91" s="609">
        <v>0</v>
      </c>
      <c r="J91" s="609">
        <v>0</v>
      </c>
      <c r="K91" s="609">
        <v>0</v>
      </c>
      <c r="L91" s="609">
        <v>0</v>
      </c>
      <c r="M91" s="609">
        <v>0</v>
      </c>
      <c r="N91" s="609">
        <v>0</v>
      </c>
      <c r="O91" s="609">
        <v>0</v>
      </c>
      <c r="P91" s="329">
        <f t="shared" si="5"/>
        <v>0</v>
      </c>
      <c r="Q91" s="1"/>
      <c r="R91" s="1"/>
      <c r="S91" s="1"/>
      <c r="Y91" s="473"/>
    </row>
    <row r="92" spans="1:25">
      <c r="A92" s="389">
        <f t="shared" si="6"/>
        <v>81</v>
      </c>
      <c r="B92" s="382">
        <v>9020</v>
      </c>
      <c r="C92" s="1" t="s">
        <v>899</v>
      </c>
      <c r="D92" s="609">
        <v>62228.031727132533</v>
      </c>
      <c r="E92" s="609">
        <v>63769.074087601381</v>
      </c>
      <c r="F92" s="609">
        <v>59667.0400035161</v>
      </c>
      <c r="G92" s="609">
        <v>60472.669629899647</v>
      </c>
      <c r="H92" s="609">
        <v>59635.951729786626</v>
      </c>
      <c r="I92" s="609">
        <v>60930.346263211388</v>
      </c>
      <c r="J92" s="609">
        <v>64972.930757755545</v>
      </c>
      <c r="K92" s="609">
        <v>60710.92662463239</v>
      </c>
      <c r="L92" s="609">
        <v>59480.621049393216</v>
      </c>
      <c r="M92" s="609">
        <v>63547.752823831353</v>
      </c>
      <c r="N92" s="609">
        <v>58370.162197163729</v>
      </c>
      <c r="O92" s="609">
        <v>61502.82637388786</v>
      </c>
      <c r="P92" s="329">
        <f t="shared" si="5"/>
        <v>735288.33326781169</v>
      </c>
      <c r="Q92" s="1"/>
      <c r="R92" s="1"/>
      <c r="S92" s="1"/>
      <c r="Y92" s="473"/>
    </row>
    <row r="93" spans="1:25">
      <c r="A93" s="389">
        <f t="shared" si="6"/>
        <v>82</v>
      </c>
      <c r="B93" s="382">
        <v>9030</v>
      </c>
      <c r="C93" s="1" t="s">
        <v>903</v>
      </c>
      <c r="D93" s="609">
        <v>84664.1919096809</v>
      </c>
      <c r="E93" s="609">
        <v>92168.814807750678</v>
      </c>
      <c r="F93" s="609">
        <v>98437.749475719</v>
      </c>
      <c r="G93" s="609">
        <v>93081.326250861151</v>
      </c>
      <c r="H93" s="609">
        <v>107376.74086386545</v>
      </c>
      <c r="I93" s="609">
        <v>85621.439703591517</v>
      </c>
      <c r="J93" s="609">
        <v>77868.270181750122</v>
      </c>
      <c r="K93" s="609">
        <v>93397.052610007668</v>
      </c>
      <c r="L93" s="609">
        <v>109451.98793854323</v>
      </c>
      <c r="M93" s="609">
        <v>75269.49397416327</v>
      </c>
      <c r="N93" s="609">
        <v>74006.942563040735</v>
      </c>
      <c r="O93" s="609">
        <v>76459.429030121173</v>
      </c>
      <c r="P93" s="329">
        <f t="shared" si="5"/>
        <v>1067803.4393090948</v>
      </c>
      <c r="Q93" s="1"/>
      <c r="R93" s="1"/>
      <c r="S93" s="1"/>
      <c r="Y93" s="473"/>
    </row>
    <row r="94" spans="1:25">
      <c r="A94" s="389">
        <f t="shared" si="6"/>
        <v>83</v>
      </c>
      <c r="B94" s="382">
        <v>9040</v>
      </c>
      <c r="C94" s="1" t="s">
        <v>904</v>
      </c>
      <c r="D94" s="332">
        <f>-1%*SUM(D17,D19,D23,D36,D37,D39)</f>
        <v>15222.236899447529</v>
      </c>
      <c r="E94" s="332">
        <f t="shared" ref="E94:O94" si="7">-1%*SUM(E17,E19,E23,E36,E37,E39)</f>
        <v>47528.806043415265</v>
      </c>
      <c r="F94" s="332">
        <f t="shared" si="7"/>
        <v>48972.665540974216</v>
      </c>
      <c r="G94" s="332">
        <f t="shared" si="7"/>
        <v>46488.268844956227</v>
      </c>
      <c r="H94" s="332">
        <f t="shared" si="7"/>
        <v>48500.555960798803</v>
      </c>
      <c r="I94" s="332">
        <f t="shared" si="7"/>
        <v>47202.954846710418</v>
      </c>
      <c r="J94" s="332">
        <f t="shared" si="7"/>
        <v>62926.700349145372</v>
      </c>
      <c r="K94" s="332">
        <f t="shared" si="7"/>
        <v>96871.896704199389</v>
      </c>
      <c r="L94" s="332">
        <f t="shared" si="7"/>
        <v>97774.078815906105</v>
      </c>
      <c r="M94" s="332">
        <f t="shared" si="7"/>
        <v>101124.18899822715</v>
      </c>
      <c r="N94" s="332">
        <f t="shared" si="7"/>
        <v>55029.823851270026</v>
      </c>
      <c r="O94" s="332">
        <f t="shared" si="7"/>
        <v>63889.664023101854</v>
      </c>
      <c r="P94" s="329">
        <f t="shared" si="5"/>
        <v>731531.84087815229</v>
      </c>
      <c r="Q94" s="1"/>
      <c r="R94" s="1"/>
      <c r="S94" s="1"/>
      <c r="Y94" s="473"/>
    </row>
    <row r="95" spans="1:25">
      <c r="A95" s="389">
        <f t="shared" si="6"/>
        <v>84</v>
      </c>
      <c r="B95" s="382">
        <v>9090</v>
      </c>
      <c r="C95" s="1" t="s">
        <v>905</v>
      </c>
      <c r="D95" s="609">
        <v>17820.132029106255</v>
      </c>
      <c r="E95" s="609">
        <v>18406.427588436494</v>
      </c>
      <c r="F95" s="609">
        <v>17559.627122368885</v>
      </c>
      <c r="G95" s="609">
        <v>17526.02465493335</v>
      </c>
      <c r="H95" s="609">
        <v>16682.764593174066</v>
      </c>
      <c r="I95" s="609">
        <v>17792.678933889729</v>
      </c>
      <c r="J95" s="609">
        <v>18639.216082393981</v>
      </c>
      <c r="K95" s="609">
        <v>17712.947066904799</v>
      </c>
      <c r="L95" s="609">
        <v>18330.78766292123</v>
      </c>
      <c r="M95" s="609">
        <v>19321.150312868591</v>
      </c>
      <c r="N95" s="609">
        <v>16958.746255649148</v>
      </c>
      <c r="O95" s="609">
        <v>17710.31738554894</v>
      </c>
      <c r="P95" s="329">
        <f t="shared" si="5"/>
        <v>214460.81968819545</v>
      </c>
      <c r="Q95" s="1"/>
      <c r="R95" s="83"/>
      <c r="S95" s="1"/>
      <c r="Y95" s="473"/>
    </row>
    <row r="96" spans="1:25">
      <c r="A96" s="389">
        <f t="shared" si="6"/>
        <v>85</v>
      </c>
      <c r="B96" s="382">
        <v>9100</v>
      </c>
      <c r="C96" s="81" t="s">
        <v>906</v>
      </c>
      <c r="D96" s="609">
        <v>0</v>
      </c>
      <c r="E96" s="609">
        <v>0</v>
      </c>
      <c r="F96" s="609">
        <v>0</v>
      </c>
      <c r="G96" s="609">
        <v>0</v>
      </c>
      <c r="H96" s="609">
        <v>0</v>
      </c>
      <c r="I96" s="609">
        <v>0</v>
      </c>
      <c r="J96" s="609">
        <v>0</v>
      </c>
      <c r="K96" s="609">
        <v>0</v>
      </c>
      <c r="L96" s="609">
        <v>0</v>
      </c>
      <c r="M96" s="609">
        <v>0</v>
      </c>
      <c r="N96" s="609">
        <v>0</v>
      </c>
      <c r="O96" s="609">
        <v>0</v>
      </c>
      <c r="P96" s="329">
        <f t="shared" si="5"/>
        <v>0</v>
      </c>
      <c r="Q96" s="1"/>
      <c r="R96" s="83"/>
      <c r="S96" s="1"/>
      <c r="Y96" s="473"/>
    </row>
    <row r="97" spans="1:25">
      <c r="A97" s="389">
        <f t="shared" si="6"/>
        <v>86</v>
      </c>
      <c r="B97" s="382">
        <v>9110</v>
      </c>
      <c r="C97" s="1" t="s">
        <v>907</v>
      </c>
      <c r="D97" s="609">
        <v>13279.716657988181</v>
      </c>
      <c r="E97" s="609">
        <v>13715.420452254542</v>
      </c>
      <c r="F97" s="609">
        <v>12541.362046712244</v>
      </c>
      <c r="G97" s="609">
        <v>12995.694616004434</v>
      </c>
      <c r="H97" s="609">
        <v>12383.007559861322</v>
      </c>
      <c r="I97" s="609">
        <v>13220.408140494923</v>
      </c>
      <c r="J97" s="609">
        <v>13781.808102049439</v>
      </c>
      <c r="K97" s="609">
        <v>13038.227212482449</v>
      </c>
      <c r="L97" s="609">
        <v>13530.485591866514</v>
      </c>
      <c r="M97" s="609">
        <v>14392.927648659686</v>
      </c>
      <c r="N97" s="609">
        <v>12545.81306804162</v>
      </c>
      <c r="O97" s="609">
        <v>13124.014643752145</v>
      </c>
      <c r="P97" s="329">
        <f t="shared" ref="P97:P111" si="8">SUM(D97:O97)</f>
        <v>158548.88574016749</v>
      </c>
      <c r="Q97" s="1"/>
      <c r="R97" s="83"/>
      <c r="S97" s="1"/>
      <c r="Y97" s="473"/>
    </row>
    <row r="98" spans="1:25">
      <c r="A98" s="389">
        <f t="shared" si="6"/>
        <v>87</v>
      </c>
      <c r="B98" s="382">
        <v>9120</v>
      </c>
      <c r="C98" s="1" t="s">
        <v>908</v>
      </c>
      <c r="D98" s="609">
        <v>1772.9078497707769</v>
      </c>
      <c r="E98" s="609">
        <v>6723.5133427584096</v>
      </c>
      <c r="F98" s="609">
        <v>3631.9450382699147</v>
      </c>
      <c r="G98" s="609">
        <v>11525.357771236819</v>
      </c>
      <c r="H98" s="609">
        <v>1072.2996072374533</v>
      </c>
      <c r="I98" s="609">
        <v>10284.604151968369</v>
      </c>
      <c r="J98" s="609">
        <v>6828.5346228853559</v>
      </c>
      <c r="K98" s="609">
        <v>4624.7013351725336</v>
      </c>
      <c r="L98" s="609">
        <v>3237.5026198224932</v>
      </c>
      <c r="M98" s="609">
        <v>10141.875671420741</v>
      </c>
      <c r="N98" s="609">
        <v>8078.3820325706884</v>
      </c>
      <c r="O98" s="609">
        <v>9156.7414248801597</v>
      </c>
      <c r="P98" s="329">
        <f t="shared" si="8"/>
        <v>77078.365467993717</v>
      </c>
      <c r="Q98" s="1"/>
      <c r="R98" s="83"/>
      <c r="S98" s="1"/>
      <c r="Y98" s="473"/>
    </row>
    <row r="99" spans="1:25">
      <c r="A99" s="389">
        <f t="shared" si="6"/>
        <v>88</v>
      </c>
      <c r="B99" s="382">
        <v>9130</v>
      </c>
      <c r="C99" s="1" t="s">
        <v>909</v>
      </c>
      <c r="D99" s="609">
        <v>2620.7910210207051</v>
      </c>
      <c r="E99" s="609">
        <v>2783.5377125172172</v>
      </c>
      <c r="F99" s="609">
        <v>5550.2314679579295</v>
      </c>
      <c r="G99" s="609">
        <v>2620.7910210207051</v>
      </c>
      <c r="H99" s="609">
        <v>2620.7910210207051</v>
      </c>
      <c r="I99" s="609">
        <v>2783.5377125172172</v>
      </c>
      <c r="J99" s="609">
        <v>3272.1032803897479</v>
      </c>
      <c r="K99" s="609">
        <v>3272.1032803897479</v>
      </c>
      <c r="L99" s="609">
        <v>3272.1032803897479</v>
      </c>
      <c r="M99" s="609">
        <v>2783.8632059002102</v>
      </c>
      <c r="N99" s="609">
        <v>2620.7910210207051</v>
      </c>
      <c r="O99" s="609">
        <v>2620.7910210207051</v>
      </c>
      <c r="P99" s="329">
        <f t="shared" si="8"/>
        <v>36821.435045165337</v>
      </c>
      <c r="Q99" s="1"/>
      <c r="R99" s="83"/>
      <c r="S99" s="1"/>
      <c r="Y99" s="473"/>
    </row>
    <row r="100" spans="1:25">
      <c r="A100" s="389">
        <f t="shared" si="6"/>
        <v>89</v>
      </c>
      <c r="B100" s="382">
        <v>9160</v>
      </c>
      <c r="C100" s="1" t="s">
        <v>1608</v>
      </c>
      <c r="D100" s="609">
        <v>3.9499785126338338E-2</v>
      </c>
      <c r="E100" s="609">
        <v>0.12758696873864039</v>
      </c>
      <c r="F100" s="609">
        <v>-1.3749309098522247</v>
      </c>
      <c r="G100" s="609">
        <v>3.9499785126338338E-2</v>
      </c>
      <c r="H100" s="609">
        <v>3.9499785126338338E-2</v>
      </c>
      <c r="I100" s="609">
        <v>0.12758696873864039</v>
      </c>
      <c r="J100" s="609">
        <v>0.40402469394277318</v>
      </c>
      <c r="K100" s="609">
        <v>0.40402469394277318</v>
      </c>
      <c r="L100" s="609">
        <v>0.40402469394277318</v>
      </c>
      <c r="M100" s="609">
        <v>0.13976314310586702</v>
      </c>
      <c r="N100" s="609">
        <v>3.9499785126338338E-2</v>
      </c>
      <c r="O100" s="609">
        <v>3.9499785126338338E-2</v>
      </c>
      <c r="P100" s="329">
        <f t="shared" ref="P100" si="9">SUM(D100:O100)</f>
        <v>0.42957917819093439</v>
      </c>
      <c r="Q100" s="1"/>
      <c r="R100" s="83"/>
      <c r="S100" s="1"/>
      <c r="Y100" s="473"/>
    </row>
    <row r="101" spans="1:25">
      <c r="A101" s="389">
        <f t="shared" si="6"/>
        <v>90</v>
      </c>
      <c r="B101" s="382">
        <v>9200</v>
      </c>
      <c r="C101" t="s">
        <v>1236</v>
      </c>
      <c r="D101" s="609">
        <v>0</v>
      </c>
      <c r="E101" s="609">
        <v>0</v>
      </c>
      <c r="F101" s="609">
        <v>0</v>
      </c>
      <c r="G101" s="609">
        <v>0</v>
      </c>
      <c r="H101" s="609">
        <v>0</v>
      </c>
      <c r="I101" s="609">
        <v>0</v>
      </c>
      <c r="J101" s="609">
        <v>0</v>
      </c>
      <c r="K101" s="609">
        <v>0</v>
      </c>
      <c r="L101" s="609">
        <v>0</v>
      </c>
      <c r="M101" s="609">
        <v>0</v>
      </c>
      <c r="N101" s="609">
        <v>0</v>
      </c>
      <c r="O101" s="609">
        <v>0</v>
      </c>
      <c r="P101" s="329">
        <f t="shared" ref="P101" si="10">SUM(D101:O101)</f>
        <v>0</v>
      </c>
      <c r="Q101" s="1"/>
      <c r="R101" s="83"/>
      <c r="S101" s="1"/>
      <c r="Y101" s="473"/>
    </row>
    <row r="102" spans="1:25">
      <c r="A102" s="389">
        <f t="shared" si="6"/>
        <v>91</v>
      </c>
      <c r="B102" s="382">
        <v>9210</v>
      </c>
      <c r="C102" s="1" t="s">
        <v>910</v>
      </c>
      <c r="D102" s="609">
        <v>5727.1510447605879</v>
      </c>
      <c r="E102" s="609">
        <v>5733.0626474627143</v>
      </c>
      <c r="F102" s="609">
        <v>5850.9436126230103</v>
      </c>
      <c r="G102" s="609">
        <v>5721.213784077152</v>
      </c>
      <c r="H102" s="609">
        <v>5721.0824814669431</v>
      </c>
      <c r="I102" s="609">
        <v>5795.2026821178797</v>
      </c>
      <c r="J102" s="609">
        <v>5753.8695313898088</v>
      </c>
      <c r="K102" s="609">
        <v>5755.1953533461719</v>
      </c>
      <c r="L102" s="609">
        <v>5756.0083842958957</v>
      </c>
      <c r="M102" s="609">
        <v>5733.6680109142944</v>
      </c>
      <c r="N102" s="609">
        <v>5726.679145117454</v>
      </c>
      <c r="O102" s="609">
        <v>5794.6600696294718</v>
      </c>
      <c r="P102" s="329">
        <f t="shared" si="8"/>
        <v>69068.736747201372</v>
      </c>
      <c r="Q102" s="1"/>
      <c r="R102" s="83"/>
      <c r="S102" s="1"/>
      <c r="Y102" s="473"/>
    </row>
    <row r="103" spans="1:25">
      <c r="A103" s="389">
        <f t="shared" si="6"/>
        <v>92</v>
      </c>
      <c r="B103" s="382">
        <v>9220</v>
      </c>
      <c r="C103" s="1" t="s">
        <v>911</v>
      </c>
      <c r="D103" s="814">
        <f>-('C.2.2-F 02'!D47+'C.2.2-F 12'!D38+'C.2.2-F 91'!D63)</f>
        <v>1528202.3861681465</v>
      </c>
      <c r="E103" s="814">
        <f>-('C.2.2-F 02'!E47+'C.2.2-F 12'!E38+'C.2.2-F 91'!E63)</f>
        <v>1629475.6152352667</v>
      </c>
      <c r="F103" s="814">
        <f>-('C.2.2-F 02'!F47+'C.2.2-F 12'!F38+'C.2.2-F 91'!F63)</f>
        <v>1371530.768223932</v>
      </c>
      <c r="G103" s="814">
        <f>-('C.2.2-F 02'!G47+'C.2.2-F 12'!G38+'C.2.2-F 91'!G63)</f>
        <v>1658823.3574190349</v>
      </c>
      <c r="H103" s="814">
        <f>-('C.2.2-F 02'!H47+'C.2.2-F 12'!H38+'C.2.2-F 91'!H63)</f>
        <v>1224356.3898894819</v>
      </c>
      <c r="I103" s="814">
        <f>-('C.2.2-F 02'!I47+'C.2.2-F 12'!I38+'C.2.2-F 91'!I63)</f>
        <v>1441221.4766785705</v>
      </c>
      <c r="J103" s="814">
        <f>-('C.2.2-F 02'!J47+'C.2.2-F 12'!J38+'C.2.2-F 91'!J63)</f>
        <v>1491958.9446698611</v>
      </c>
      <c r="K103" s="814">
        <f>-('C.2.2-F 02'!K47+'C.2.2-F 12'!K38+'C.2.2-F 91'!K63)</f>
        <v>1380406.1365894855</v>
      </c>
      <c r="L103" s="814">
        <f>-('C.2.2-F 02'!L47+'C.2.2-F 12'!L38+'C.2.2-F 91'!L63)</f>
        <v>1495682.0622323386</v>
      </c>
      <c r="M103" s="814">
        <f>-('C.2.2-F 02'!M47+'C.2.2-F 12'!M38+'C.2.2-F 91'!M63)</f>
        <v>1538726.4953570827</v>
      </c>
      <c r="N103" s="814">
        <f>-('C.2.2-F 02'!N47+'C.2.2-F 12'!N38+'C.2.2-F 91'!N63)</f>
        <v>1373589.1360218427</v>
      </c>
      <c r="O103" s="814">
        <f>-('C.2.2-F 02'!O47+'C.2.2-F 12'!O38+'C.2.2-F 91'!O63)</f>
        <v>1580028.4811242817</v>
      </c>
      <c r="P103" s="329">
        <f>SUM(D103:O103)</f>
        <v>17714001.249609325</v>
      </c>
      <c r="Q103" s="329"/>
      <c r="R103" s="83"/>
      <c r="S103" s="1"/>
      <c r="Y103" s="473"/>
    </row>
    <row r="104" spans="1:25">
      <c r="A104" s="389">
        <f t="shared" si="6"/>
        <v>93</v>
      </c>
      <c r="B104" s="382">
        <v>9230</v>
      </c>
      <c r="C104" s="1" t="s">
        <v>912</v>
      </c>
      <c r="D104" s="609">
        <v>5414.717239576793</v>
      </c>
      <c r="E104" s="609">
        <v>6059.3215443040826</v>
      </c>
      <c r="F104" s="609">
        <v>6957.9436470806868</v>
      </c>
      <c r="G104" s="609">
        <v>6313.6671072541058</v>
      </c>
      <c r="H104" s="609">
        <v>7895.6790280085397</v>
      </c>
      <c r="I104" s="609">
        <v>5538.5031170778129</v>
      </c>
      <c r="J104" s="609">
        <v>4518.8265109727627</v>
      </c>
      <c r="K104" s="609">
        <v>6245.0549880390654</v>
      </c>
      <c r="L104" s="609">
        <v>7719.2846988444207</v>
      </c>
      <c r="M104" s="609">
        <v>4191.0616102639706</v>
      </c>
      <c r="N104" s="609">
        <v>4518.8265109727627</v>
      </c>
      <c r="O104" s="609">
        <v>4619.8873553579733</v>
      </c>
      <c r="P104" s="329">
        <f t="shared" si="8"/>
        <v>69992.773357752987</v>
      </c>
      <c r="Q104" s="1"/>
      <c r="R104" s="83"/>
      <c r="S104" s="1"/>
      <c r="Y104" s="473"/>
    </row>
    <row r="105" spans="1:25">
      <c r="A105" s="389">
        <f t="shared" si="6"/>
        <v>94</v>
      </c>
      <c r="B105" s="382">
        <v>9240</v>
      </c>
      <c r="C105" s="1" t="s">
        <v>913</v>
      </c>
      <c r="D105" s="609">
        <v>0</v>
      </c>
      <c r="E105" s="609">
        <v>0</v>
      </c>
      <c r="F105" s="609">
        <v>0</v>
      </c>
      <c r="G105" s="609">
        <v>0</v>
      </c>
      <c r="H105" s="609">
        <v>0</v>
      </c>
      <c r="I105" s="609">
        <v>0</v>
      </c>
      <c r="J105" s="609">
        <v>0</v>
      </c>
      <c r="K105" s="609">
        <v>0</v>
      </c>
      <c r="L105" s="609">
        <v>0</v>
      </c>
      <c r="M105" s="609">
        <v>0</v>
      </c>
      <c r="N105" s="609">
        <v>0</v>
      </c>
      <c r="O105" s="609">
        <v>0</v>
      </c>
      <c r="P105" s="329">
        <f t="shared" si="8"/>
        <v>0</v>
      </c>
      <c r="Q105" s="1"/>
      <c r="R105" s="83"/>
      <c r="S105" s="1"/>
      <c r="Y105" s="473"/>
    </row>
    <row r="106" spans="1:25">
      <c r="A106" s="389">
        <f t="shared" si="6"/>
        <v>95</v>
      </c>
      <c r="B106" s="382">
        <v>9250</v>
      </c>
      <c r="C106" s="1" t="s">
        <v>914</v>
      </c>
      <c r="D106" s="609">
        <v>1799.2079525668712</v>
      </c>
      <c r="E106" s="609">
        <v>2013.3977504841537</v>
      </c>
      <c r="F106" s="609">
        <v>2311.9928501230775</v>
      </c>
      <c r="G106" s="609">
        <v>2097.9119622725325</v>
      </c>
      <c r="H106" s="609">
        <v>2623.5845510593545</v>
      </c>
      <c r="I106" s="609">
        <v>1840.3396544381053</v>
      </c>
      <c r="J106" s="609">
        <v>1501.5204368174277</v>
      </c>
      <c r="K106" s="609">
        <v>2075.1134549687945</v>
      </c>
      <c r="L106" s="609">
        <v>2564.9720574096241</v>
      </c>
      <c r="M106" s="609">
        <v>1392.6103700798265</v>
      </c>
      <c r="N106" s="609">
        <v>1501.5204368174277</v>
      </c>
      <c r="O106" s="609">
        <v>1535.1010407281881</v>
      </c>
      <c r="P106" s="329">
        <f t="shared" si="8"/>
        <v>23257.272517765381</v>
      </c>
      <c r="Q106" s="1"/>
      <c r="R106" s="83"/>
      <c r="S106" s="1"/>
      <c r="Y106" s="473"/>
    </row>
    <row r="107" spans="1:25">
      <c r="A107" s="389">
        <f t="shared" si="6"/>
        <v>96</v>
      </c>
      <c r="B107" s="382">
        <v>9260</v>
      </c>
      <c r="C107" s="1" t="s">
        <v>915</v>
      </c>
      <c r="D107" s="609">
        <v>73400.23604147353</v>
      </c>
      <c r="E107" s="609">
        <v>76160.248405760372</v>
      </c>
      <c r="F107" s="609">
        <v>69055.232602593998</v>
      </c>
      <c r="G107" s="609">
        <v>72088.77644406601</v>
      </c>
      <c r="H107" s="609">
        <v>67270.375230335863</v>
      </c>
      <c r="I107" s="609">
        <v>71897.721234195284</v>
      </c>
      <c r="J107" s="609">
        <v>78102.927250687615</v>
      </c>
      <c r="K107" s="609">
        <v>73320.390087934182</v>
      </c>
      <c r="L107" s="609">
        <v>76670.944460370491</v>
      </c>
      <c r="M107" s="609">
        <v>78498.258489859931</v>
      </c>
      <c r="N107" s="609">
        <v>66277.763929584718</v>
      </c>
      <c r="O107" s="609">
        <v>70015.910740942709</v>
      </c>
      <c r="P107" s="329">
        <f t="shared" si="8"/>
        <v>872758.78491780465</v>
      </c>
      <c r="Q107" s="1"/>
      <c r="R107" s="83"/>
      <c r="S107" s="1"/>
      <c r="Y107" s="473"/>
    </row>
    <row r="108" spans="1:25">
      <c r="A108" s="389">
        <f t="shared" si="6"/>
        <v>97</v>
      </c>
      <c r="B108" s="382">
        <v>9270</v>
      </c>
      <c r="C108" s="1" t="s">
        <v>916</v>
      </c>
      <c r="D108" s="609">
        <v>52.15925773024393</v>
      </c>
      <c r="E108" s="609">
        <v>52.419432396210269</v>
      </c>
      <c r="F108" s="609">
        <v>56.796776193427135</v>
      </c>
      <c r="G108" s="609">
        <v>52.11363220603306</v>
      </c>
      <c r="H108" s="609">
        <v>52.11363220603306</v>
      </c>
      <c r="I108" s="609">
        <v>52.944125924635287</v>
      </c>
      <c r="J108" s="609">
        <v>53.20275801965176</v>
      </c>
      <c r="K108" s="609">
        <v>53.20275801965176</v>
      </c>
      <c r="L108" s="609">
        <v>53.20275801965176</v>
      </c>
      <c r="M108" s="609">
        <v>52.422234021752743</v>
      </c>
      <c r="N108" s="609">
        <v>52.15925773024393</v>
      </c>
      <c r="O108" s="609">
        <v>52.729576782879818</v>
      </c>
      <c r="P108" s="329">
        <f t="shared" si="8"/>
        <v>635.46619925041443</v>
      </c>
      <c r="Q108" s="1"/>
      <c r="R108" s="83"/>
      <c r="S108" s="1"/>
      <c r="Y108" s="473"/>
    </row>
    <row r="109" spans="1:25">
      <c r="A109" s="389">
        <f t="shared" si="6"/>
        <v>98</v>
      </c>
      <c r="B109" s="382">
        <v>9280</v>
      </c>
      <c r="C109" s="1" t="s">
        <v>917</v>
      </c>
      <c r="D109" s="609">
        <v>13742.99801085157</v>
      </c>
      <c r="E109" s="609">
        <v>13769.077646400145</v>
      </c>
      <c r="F109" s="609">
        <v>13792.571340116707</v>
      </c>
      <c r="G109" s="609">
        <v>13766.504965399765</v>
      </c>
      <c r="H109" s="609">
        <v>13830.510579424068</v>
      </c>
      <c r="I109" s="609">
        <v>13895.931677946268</v>
      </c>
      <c r="J109" s="609">
        <v>13707.394892033712</v>
      </c>
      <c r="K109" s="609">
        <v>13777.235271977355</v>
      </c>
      <c r="L109" s="609">
        <v>13836.880194126847</v>
      </c>
      <c r="M109" s="609">
        <v>13694.134060398843</v>
      </c>
      <c r="N109" s="609">
        <v>13706.75173771626</v>
      </c>
      <c r="O109" s="609">
        <v>13871.62907349998</v>
      </c>
      <c r="P109" s="329">
        <f t="shared" si="8"/>
        <v>165391.61944989153</v>
      </c>
      <c r="Q109" s="1"/>
      <c r="R109" s="83"/>
      <c r="S109" s="1"/>
      <c r="Y109" s="473"/>
    </row>
    <row r="110" spans="1:25">
      <c r="A110" s="389">
        <f t="shared" si="6"/>
        <v>99</v>
      </c>
      <c r="B110" s="382">
        <v>9302</v>
      </c>
      <c r="C110" s="1" t="s">
        <v>826</v>
      </c>
      <c r="D110" s="609">
        <v>384.54703201293819</v>
      </c>
      <c r="E110" s="609">
        <v>2172.0740654955243</v>
      </c>
      <c r="F110" s="609">
        <v>769.68873554275035</v>
      </c>
      <c r="G110" s="609">
        <v>3937.8665902071966</v>
      </c>
      <c r="H110" s="609">
        <v>129.27938225590853</v>
      </c>
      <c r="I110" s="609">
        <v>3469.5627706689406</v>
      </c>
      <c r="J110" s="609">
        <v>2161.6060497142871</v>
      </c>
      <c r="K110" s="609">
        <v>1358.636130638575</v>
      </c>
      <c r="L110" s="609">
        <v>853.2082262608543</v>
      </c>
      <c r="M110" s="609">
        <v>3417.5269708012693</v>
      </c>
      <c r="N110" s="609">
        <v>2681.9558798262051</v>
      </c>
      <c r="O110" s="609">
        <v>3074.8577199086312</v>
      </c>
      <c r="P110" s="329">
        <f t="shared" si="8"/>
        <v>24410.809553333078</v>
      </c>
      <c r="Q110" s="1"/>
      <c r="R110" s="1"/>
      <c r="S110" s="1"/>
      <c r="Y110" s="473"/>
    </row>
    <row r="111" spans="1:25">
      <c r="A111" s="389">
        <f t="shared" si="6"/>
        <v>100</v>
      </c>
      <c r="B111" s="382">
        <v>9310</v>
      </c>
      <c r="C111" t="s">
        <v>178</v>
      </c>
      <c r="D111" s="609">
        <v>0</v>
      </c>
      <c r="E111" s="609">
        <v>0</v>
      </c>
      <c r="F111" s="609">
        <v>0</v>
      </c>
      <c r="G111" s="609">
        <v>0</v>
      </c>
      <c r="H111" s="609">
        <v>0</v>
      </c>
      <c r="I111" s="609">
        <v>0</v>
      </c>
      <c r="J111" s="609">
        <v>0</v>
      </c>
      <c r="K111" s="609">
        <v>0</v>
      </c>
      <c r="L111" s="609">
        <v>0</v>
      </c>
      <c r="M111" s="609">
        <v>0</v>
      </c>
      <c r="N111" s="609">
        <v>0</v>
      </c>
      <c r="O111" s="609">
        <v>0</v>
      </c>
      <c r="P111" s="329">
        <f t="shared" si="8"/>
        <v>0</v>
      </c>
      <c r="Q111" s="1"/>
      <c r="R111" s="1"/>
      <c r="S111" s="1"/>
      <c r="Y111" s="473"/>
    </row>
    <row r="112" spans="1:25">
      <c r="A112" s="389">
        <f t="shared" si="6"/>
        <v>101</v>
      </c>
      <c r="B112" s="178">
        <v>9320</v>
      </c>
      <c r="C112" t="s">
        <v>179</v>
      </c>
      <c r="D112" s="609">
        <v>0</v>
      </c>
      <c r="E112" s="609">
        <v>0</v>
      </c>
      <c r="F112" s="609">
        <v>0</v>
      </c>
      <c r="G112" s="609">
        <v>0</v>
      </c>
      <c r="H112" s="609">
        <v>0</v>
      </c>
      <c r="I112" s="609">
        <v>0</v>
      </c>
      <c r="J112" s="609">
        <v>0</v>
      </c>
      <c r="K112" s="609">
        <v>0</v>
      </c>
      <c r="L112" s="609">
        <v>0</v>
      </c>
      <c r="M112" s="609">
        <v>0</v>
      </c>
      <c r="N112" s="609">
        <v>0</v>
      </c>
      <c r="O112" s="609">
        <v>0</v>
      </c>
      <c r="P112" s="329">
        <f>SUM(D112:O112)</f>
        <v>0</v>
      </c>
      <c r="Q112" s="1"/>
      <c r="R112" s="1"/>
      <c r="S112" s="1"/>
      <c r="Y112" s="473"/>
    </row>
    <row r="113" spans="1:25">
      <c r="A113" s="389">
        <f t="shared" si="6"/>
        <v>102</v>
      </c>
      <c r="B113" s="178"/>
      <c r="D113" s="609"/>
      <c r="E113" s="609"/>
      <c r="F113" s="609"/>
      <c r="G113" s="609"/>
      <c r="H113" s="609"/>
      <c r="I113" s="609"/>
      <c r="J113" s="609"/>
      <c r="K113" s="609"/>
      <c r="L113" s="609"/>
      <c r="M113" s="609"/>
      <c r="N113" s="609"/>
      <c r="O113" s="609"/>
      <c r="P113" s="329"/>
      <c r="Q113" s="1"/>
      <c r="R113" s="1"/>
      <c r="S113" s="1"/>
      <c r="Y113" s="473"/>
    </row>
    <row r="114" spans="1:25" ht="15.75" thickBot="1">
      <c r="A114" s="389">
        <f t="shared" si="6"/>
        <v>103</v>
      </c>
      <c r="B114" s="1"/>
      <c r="C114" s="1" t="s">
        <v>706</v>
      </c>
      <c r="D114" s="827">
        <f t="shared" ref="D114:O114" si="11">SUM(D14:D112)</f>
        <v>-2683643.6648951406</v>
      </c>
      <c r="E114" s="827">
        <f t="shared" si="11"/>
        <v>-1325410.1673277521</v>
      </c>
      <c r="F114" s="827">
        <f t="shared" si="11"/>
        <v>-821218.26322600071</v>
      </c>
      <c r="G114" s="827">
        <f t="shared" si="11"/>
        <v>-343393.98053743946</v>
      </c>
      <c r="H114" s="827">
        <f t="shared" si="11"/>
        <v>-1077608.0571440768</v>
      </c>
      <c r="I114" s="827">
        <f t="shared" si="11"/>
        <v>-894630.43225352501</v>
      </c>
      <c r="J114" s="827">
        <f t="shared" si="11"/>
        <v>-1199176.0443367772</v>
      </c>
      <c r="K114" s="827">
        <f t="shared" si="11"/>
        <v>-3042468.5600644439</v>
      </c>
      <c r="L114" s="827">
        <f t="shared" si="11"/>
        <v>-4150043.5386424987</v>
      </c>
      <c r="M114" s="827">
        <f t="shared" si="11"/>
        <v>-5053643.7791129248</v>
      </c>
      <c r="N114" s="827">
        <f t="shared" si="11"/>
        <v>-5637597.338229131</v>
      </c>
      <c r="O114" s="827">
        <f t="shared" si="11"/>
        <v>-3745905.5930170626</v>
      </c>
      <c r="P114" s="827">
        <f>SUM(P12:P112)</f>
        <v>-24638713.408732109</v>
      </c>
      <c r="Q114" s="475"/>
      <c r="R114" s="1"/>
      <c r="S114" s="1"/>
      <c r="Y114" s="473"/>
    </row>
    <row r="115" spans="1:25" ht="15.75" thickTop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25">
      <c r="A116" s="1"/>
      <c r="B116" s="1"/>
      <c r="C116" s="1" t="s">
        <v>191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25">
      <c r="A117" s="1"/>
      <c r="B117" s="1"/>
      <c r="C117" s="116" t="s">
        <v>1172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Q118" s="329"/>
      <c r="R118" s="1"/>
      <c r="S118" s="1"/>
    </row>
    <row r="119" spans="1:25">
      <c r="A119" s="1"/>
      <c r="B119" s="1"/>
      <c r="C119" s="1"/>
      <c r="D119" s="329"/>
      <c r="E119" s="329"/>
      <c r="F119" s="329"/>
      <c r="G119" s="329"/>
      <c r="H119" s="329"/>
      <c r="I119" s="329"/>
      <c r="J119" s="329"/>
      <c r="K119" s="329"/>
      <c r="L119" s="329"/>
      <c r="M119" s="329"/>
      <c r="N119" s="329"/>
      <c r="O119" s="329"/>
      <c r="P119" s="329"/>
      <c r="Q119" s="1"/>
      <c r="R119" s="1"/>
      <c r="S119" s="1"/>
    </row>
    <row r="120" spans="1:25">
      <c r="A120" s="1"/>
      <c r="B120" s="1" t="s">
        <v>919</v>
      </c>
      <c r="C120" s="1"/>
      <c r="D120" s="329"/>
      <c r="E120" s="329"/>
      <c r="F120" s="329"/>
      <c r="G120" s="329"/>
      <c r="H120" s="329"/>
      <c r="I120" s="329"/>
      <c r="J120" s="329"/>
      <c r="K120" s="329"/>
      <c r="L120" s="329"/>
      <c r="M120" s="329"/>
      <c r="N120" s="329"/>
      <c r="O120" s="329"/>
      <c r="P120" s="329"/>
      <c r="Q120" s="1"/>
      <c r="R120" s="1"/>
      <c r="S120" s="1"/>
    </row>
    <row r="121" spans="1:25">
      <c r="A121" s="1"/>
      <c r="B121" s="1" t="s">
        <v>1527</v>
      </c>
      <c r="C121" s="1"/>
      <c r="D121" s="442"/>
      <c r="E121" s="442"/>
      <c r="F121" s="442"/>
      <c r="G121" s="1"/>
      <c r="H121" s="1"/>
      <c r="I121" s="1"/>
      <c r="J121" s="1"/>
      <c r="K121" s="1"/>
      <c r="L121" s="1"/>
      <c r="M121" s="1"/>
      <c r="N121" s="1"/>
      <c r="O121" s="1"/>
      <c r="P121" s="694"/>
      <c r="Q121" s="329"/>
      <c r="R121" s="1"/>
      <c r="S121" s="1"/>
    </row>
    <row r="122" spans="1:25">
      <c r="A122" s="1"/>
      <c r="B122" s="1" t="s">
        <v>1531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25">
      <c r="A123" s="1"/>
      <c r="B123" s="116" t="s">
        <v>1614</v>
      </c>
      <c r="C123" s="1"/>
      <c r="D123" s="329"/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1"/>
      <c r="R123" s="1"/>
      <c r="S123" s="1"/>
    </row>
    <row r="124" spans="1:25">
      <c r="A124" s="1"/>
      <c r="B124" s="1"/>
      <c r="C124" s="1"/>
      <c r="D124" s="782"/>
      <c r="E124" s="782"/>
      <c r="F124" s="782"/>
      <c r="G124" s="782"/>
      <c r="H124" s="782"/>
      <c r="I124" s="782"/>
      <c r="J124" s="782"/>
      <c r="K124" s="782"/>
      <c r="L124" s="782"/>
      <c r="M124" s="782"/>
      <c r="N124" s="782"/>
      <c r="O124" s="782"/>
      <c r="P124" s="782"/>
      <c r="Q124" s="1"/>
      <c r="R124" s="1"/>
      <c r="S124" s="1"/>
    </row>
    <row r="125" spans="1:25">
      <c r="A125" s="1"/>
      <c r="B125" s="1"/>
      <c r="C125" s="1"/>
      <c r="D125" s="329"/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1"/>
      <c r="R125" s="1"/>
      <c r="S125" s="1"/>
    </row>
    <row r="126" spans="1:25">
      <c r="A126" s="1"/>
      <c r="B126" s="1"/>
      <c r="C126" s="47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R126" s="1"/>
      <c r="S126" s="1"/>
    </row>
    <row r="127" spans="1:25">
      <c r="A127" s="1"/>
      <c r="B127" s="1"/>
      <c r="C127" s="1"/>
      <c r="R127" s="1"/>
      <c r="S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3:17">
      <c r="D129" s="329"/>
      <c r="P129" s="329"/>
    </row>
    <row r="130" spans="3:17">
      <c r="P130" s="345"/>
      <c r="Q130" s="1"/>
    </row>
    <row r="131" spans="3:17">
      <c r="C131" s="476"/>
    </row>
    <row r="132" spans="3:17">
      <c r="P132" s="1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75" header="0.5" footer="0.25"/>
  <pageSetup scale="49" fitToHeight="2" orientation="landscape" verticalDpi="300" r:id="rId1"/>
  <headerFooter alignWithMargins="0">
    <oddFooter>&amp;RSchedule &amp;A
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tabColor rgb="FF92D050"/>
  </sheetPr>
  <dimension ref="A1:R59"/>
  <sheetViews>
    <sheetView view="pageBreakPreview" topLeftCell="A18" zoomScale="80" zoomScaleNormal="100" zoomScaleSheetLayoutView="80" workbookViewId="0">
      <selection activeCell="B54" sqref="B54"/>
    </sheetView>
  </sheetViews>
  <sheetFormatPr defaultColWidth="7.109375" defaultRowHeight="15"/>
  <cols>
    <col min="1" max="1" width="4.6640625" customWidth="1"/>
    <col min="2" max="2" width="6.6640625" customWidth="1"/>
    <col min="3" max="3" width="38.88671875" customWidth="1"/>
    <col min="4" max="4" width="14.5546875" bestFit="1" customWidth="1"/>
    <col min="5" max="5" width="11.88671875" bestFit="1" customWidth="1"/>
    <col min="6" max="6" width="11.5546875" bestFit="1" customWidth="1"/>
    <col min="7" max="8" width="11.88671875" bestFit="1" customWidth="1"/>
    <col min="9" max="9" width="12.6640625" customWidth="1"/>
    <col min="10" max="10" width="13.109375" bestFit="1" customWidth="1"/>
    <col min="11" max="14" width="11.77734375" bestFit="1" customWidth="1"/>
    <col min="15" max="15" width="12.44140625" customWidth="1"/>
    <col min="16" max="16" width="12.44140625" bestFit="1" customWidth="1"/>
    <col min="17" max="17" width="9.6640625" customWidth="1"/>
    <col min="18" max="18" width="12.5546875" customWidth="1"/>
  </cols>
  <sheetData>
    <row r="1" spans="1:18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</row>
    <row r="2" spans="1:18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</row>
    <row r="3" spans="1:18" ht="15.75">
      <c r="A3" s="1072" t="s">
        <v>180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</row>
    <row r="4" spans="1:18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"/>
    </row>
    <row r="5" spans="1:18">
      <c r="A5" s="1"/>
      <c r="B5" s="25"/>
      <c r="C5" s="25"/>
      <c r="D5" s="25"/>
      <c r="E5" s="25"/>
      <c r="F5" s="25"/>
      <c r="G5" s="456"/>
      <c r="H5" s="25"/>
      <c r="I5" s="25"/>
      <c r="J5" s="25"/>
      <c r="K5" s="25"/>
      <c r="L5" s="25"/>
      <c r="M5" s="25"/>
      <c r="N5" s="25"/>
      <c r="O5" s="25"/>
      <c r="P5" s="1"/>
      <c r="Q5" s="1"/>
    </row>
    <row r="6" spans="1:18" ht="15.75">
      <c r="A6" s="699" t="str">
        <f>'C.2.1 F'!A6</f>
        <v>Data:________Base Period___X____Forecasted Period</v>
      </c>
      <c r="B6" s="1"/>
      <c r="C6" s="4"/>
      <c r="D6" s="1"/>
      <c r="E6" s="1"/>
      <c r="F6" s="330"/>
      <c r="G6" s="1"/>
      <c r="H6" s="1"/>
      <c r="I6" s="1"/>
      <c r="J6" s="1"/>
      <c r="K6" s="1"/>
      <c r="L6" s="1"/>
      <c r="M6" s="1"/>
      <c r="N6" s="1"/>
      <c r="O6" s="1"/>
      <c r="P6" s="84" t="s">
        <v>1343</v>
      </c>
      <c r="Q6" s="1"/>
    </row>
    <row r="7" spans="1:18">
      <c r="A7" s="699" t="str">
        <f>'C.2.1 F'!A7</f>
        <v>Type of Filing:___X____Original________Updated ________Revised</v>
      </c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83" t="s">
        <v>35</v>
      </c>
      <c r="Q7" s="1"/>
    </row>
    <row r="8" spans="1:18">
      <c r="A8" s="717" t="str">
        <f>'C.2.1 F'!A8</f>
        <v>Workpaper Reference No(s).____________________</v>
      </c>
      <c r="B8" s="28"/>
      <c r="C8" s="5"/>
      <c r="D8" s="6"/>
      <c r="E8" s="6"/>
      <c r="F8" s="6"/>
      <c r="G8" s="6"/>
      <c r="H8" s="6"/>
      <c r="I8" s="6"/>
      <c r="J8" s="6"/>
      <c r="K8" s="6"/>
      <c r="L8" s="6"/>
      <c r="M8" s="28"/>
      <c r="N8" s="28"/>
      <c r="O8" s="28"/>
      <c r="P8" s="801" t="str">
        <f>C.1!J9</f>
        <v>Witness: Waller, Wiebe, Troup</v>
      </c>
      <c r="Q8" s="1"/>
    </row>
    <row r="9" spans="1:18">
      <c r="A9" s="135" t="s">
        <v>88</v>
      </c>
      <c r="B9" s="42" t="s">
        <v>95</v>
      </c>
      <c r="C9" s="477"/>
      <c r="D9" s="469" t="s">
        <v>41</v>
      </c>
      <c r="E9" s="37" t="s">
        <v>41</v>
      </c>
      <c r="F9" s="37" t="s">
        <v>41</v>
      </c>
      <c r="G9" s="37" t="s">
        <v>41</v>
      </c>
      <c r="H9" s="37" t="s">
        <v>41</v>
      </c>
      <c r="I9" s="37" t="s">
        <v>41</v>
      </c>
      <c r="J9" s="37" t="s">
        <v>41</v>
      </c>
      <c r="K9" s="37" t="s">
        <v>41</v>
      </c>
      <c r="L9" s="37" t="s">
        <v>41</v>
      </c>
      <c r="M9" s="37" t="s">
        <v>41</v>
      </c>
      <c r="N9" s="37" t="s">
        <v>41</v>
      </c>
      <c r="O9" s="37" t="s">
        <v>41</v>
      </c>
      <c r="P9" s="478"/>
      <c r="Q9" s="1"/>
    </row>
    <row r="10" spans="1:18">
      <c r="A10" s="229" t="s">
        <v>94</v>
      </c>
      <c r="B10" s="28" t="s">
        <v>94</v>
      </c>
      <c r="C10" s="479" t="s">
        <v>918</v>
      </c>
      <c r="D10" s="774">
        <f>'C.2.2-F 09'!D10</f>
        <v>45748</v>
      </c>
      <c r="E10" s="774">
        <f>'C.2.2-F 09'!F10</f>
        <v>45809</v>
      </c>
      <c r="F10" s="774">
        <f>'C.2.2-F 09'!F10</f>
        <v>45809</v>
      </c>
      <c r="G10" s="774">
        <f>'C.2.2-F 09'!G10</f>
        <v>45839</v>
      </c>
      <c r="H10" s="774">
        <f>'C.2.2-F 09'!H10</f>
        <v>45870</v>
      </c>
      <c r="I10" s="774">
        <f>'C.2.2-F 09'!I10</f>
        <v>45901</v>
      </c>
      <c r="J10" s="774">
        <f>'C.2.2-F 09'!J10</f>
        <v>45931</v>
      </c>
      <c r="K10" s="774">
        <f>'C.2.2-F 09'!K10</f>
        <v>45962</v>
      </c>
      <c r="L10" s="774">
        <f>'C.2.2-F 09'!L10</f>
        <v>45992</v>
      </c>
      <c r="M10" s="774">
        <f>'C.2.2-F 09'!M10</f>
        <v>46023</v>
      </c>
      <c r="N10" s="774">
        <f>'C.2.2-F 09'!N10</f>
        <v>46054</v>
      </c>
      <c r="O10" s="774">
        <f>'C.2.2-F 09'!O10</f>
        <v>46082</v>
      </c>
      <c r="P10" s="828" t="str">
        <f>'C.2.2 B 09'!P10</f>
        <v>Total</v>
      </c>
      <c r="Q10" s="1"/>
    </row>
    <row r="11" spans="1:18">
      <c r="A11" s="1"/>
      <c r="B11" s="1"/>
      <c r="C11" s="1"/>
      <c r="D11" s="2" t="s">
        <v>140</v>
      </c>
      <c r="E11" s="2" t="s">
        <v>140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140</v>
      </c>
      <c r="K11" s="2" t="s">
        <v>140</v>
      </c>
      <c r="L11" s="2" t="s">
        <v>140</v>
      </c>
      <c r="M11" s="2" t="s">
        <v>140</v>
      </c>
      <c r="N11" s="2" t="s">
        <v>140</v>
      </c>
      <c r="O11" s="2" t="s">
        <v>140</v>
      </c>
      <c r="P11" s="2" t="s">
        <v>140</v>
      </c>
      <c r="Q11" s="1"/>
    </row>
    <row r="12" spans="1:18">
      <c r="A12" s="38">
        <v>1</v>
      </c>
      <c r="B12" s="382">
        <v>4030</v>
      </c>
      <c r="C12" s="1" t="s">
        <v>86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329">
        <f t="shared" ref="P12:P42" si="0">SUM(D12:O12)</f>
        <v>0</v>
      </c>
      <c r="Q12" s="1"/>
    </row>
    <row r="13" spans="1:18">
      <c r="A13" s="389">
        <f>A12+1</f>
        <v>2</v>
      </c>
      <c r="B13" s="382">
        <v>4081</v>
      </c>
      <c r="C13" s="1" t="s">
        <v>831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329">
        <f t="shared" si="0"/>
        <v>0</v>
      </c>
      <c r="Q13" s="1"/>
    </row>
    <row r="14" spans="1:18">
      <c r="A14" s="389">
        <f>A13+1</f>
        <v>3</v>
      </c>
      <c r="B14" s="212">
        <v>8210</v>
      </c>
      <c r="C14" t="s">
        <v>858</v>
      </c>
      <c r="D14" s="609">
        <v>0</v>
      </c>
      <c r="E14" s="609">
        <v>0</v>
      </c>
      <c r="F14" s="609">
        <v>0</v>
      </c>
      <c r="G14" s="609">
        <v>0</v>
      </c>
      <c r="H14" s="609">
        <v>0</v>
      </c>
      <c r="I14" s="609">
        <v>0</v>
      </c>
      <c r="J14" s="609">
        <v>0</v>
      </c>
      <c r="K14" s="609">
        <v>0</v>
      </c>
      <c r="L14" s="609">
        <v>0</v>
      </c>
      <c r="M14" s="609">
        <v>0</v>
      </c>
      <c r="N14" s="609">
        <v>0</v>
      </c>
      <c r="O14" s="609">
        <v>0</v>
      </c>
      <c r="P14" s="329">
        <f t="shared" si="0"/>
        <v>0</v>
      </c>
      <c r="Q14" s="1"/>
    </row>
    <row r="15" spans="1:18">
      <c r="A15" s="389">
        <f t="shared" ref="A15:A47" si="1">A14+1</f>
        <v>4</v>
      </c>
      <c r="B15" s="212">
        <v>8520</v>
      </c>
      <c r="C15" s="81" t="s">
        <v>1269</v>
      </c>
      <c r="D15" s="609">
        <v>7996.507178896506</v>
      </c>
      <c r="E15" s="609">
        <v>7856.4369571972738</v>
      </c>
      <c r="F15" s="609">
        <v>8027.3826510301096</v>
      </c>
      <c r="G15" s="609">
        <v>7838.2002457456683</v>
      </c>
      <c r="H15" s="609">
        <v>7871.0879936585789</v>
      </c>
      <c r="I15" s="609">
        <v>8267.7379178443553</v>
      </c>
      <c r="J15" s="609">
        <v>8234.3843068440947</v>
      </c>
      <c r="K15" s="609">
        <v>7997.7364879978277</v>
      </c>
      <c r="L15" s="609">
        <v>8033.6926245965196</v>
      </c>
      <c r="M15" s="609">
        <v>7966.7039200480176</v>
      </c>
      <c r="N15" s="609">
        <v>7901.6483981395386</v>
      </c>
      <c r="O15" s="609">
        <v>8278.0983079529578</v>
      </c>
      <c r="P15" s="329">
        <f t="shared" ref="P15" si="2">SUM(D15:O15)</f>
        <v>96269.61698995145</v>
      </c>
      <c r="Q15" s="1"/>
    </row>
    <row r="16" spans="1:18">
      <c r="A16" s="389">
        <f t="shared" si="1"/>
        <v>5</v>
      </c>
      <c r="B16" s="382">
        <v>8560</v>
      </c>
      <c r="C16" s="1" t="s">
        <v>876</v>
      </c>
      <c r="D16" s="609">
        <v>6294.1725005945373</v>
      </c>
      <c r="E16" s="609">
        <v>5981.9392901994761</v>
      </c>
      <c r="F16" s="609">
        <v>6148.122405096261</v>
      </c>
      <c r="G16" s="609">
        <v>6428.3455254448754</v>
      </c>
      <c r="H16" s="609">
        <v>6284.0422697729309</v>
      </c>
      <c r="I16" s="609">
        <v>6426.376087855575</v>
      </c>
      <c r="J16" s="609">
        <v>5475.3341146558632</v>
      </c>
      <c r="K16" s="609">
        <v>5388.916279324133</v>
      </c>
      <c r="L16" s="609">
        <v>6028.5552307142561</v>
      </c>
      <c r="M16" s="609">
        <v>5865.764556905895</v>
      </c>
      <c r="N16" s="609">
        <v>5653.5149228392047</v>
      </c>
      <c r="O16" s="609">
        <v>5683.3919231364143</v>
      </c>
      <c r="P16" s="329">
        <f t="shared" si="0"/>
        <v>71658.475106539423</v>
      </c>
      <c r="Q16" s="1"/>
      <c r="R16" s="375"/>
    </row>
    <row r="17" spans="1:18">
      <c r="A17" s="389">
        <f t="shared" si="1"/>
        <v>6</v>
      </c>
      <c r="B17" s="382">
        <v>8700</v>
      </c>
      <c r="C17" s="1" t="s">
        <v>880</v>
      </c>
      <c r="D17" s="609">
        <v>1107.0317955453447</v>
      </c>
      <c r="E17" s="609">
        <v>1133.1304832081075</v>
      </c>
      <c r="F17" s="609">
        <v>1163.9171526856678</v>
      </c>
      <c r="G17" s="609">
        <v>1155.4946780635009</v>
      </c>
      <c r="H17" s="609">
        <v>1099.395414873389</v>
      </c>
      <c r="I17" s="609">
        <v>1345.1698636601807</v>
      </c>
      <c r="J17" s="609">
        <v>1247.2631566311541</v>
      </c>
      <c r="K17" s="609">
        <v>1167.0883372138001</v>
      </c>
      <c r="L17" s="609">
        <v>1256.8962233761906</v>
      </c>
      <c r="M17" s="609">
        <v>1161.4395837592524</v>
      </c>
      <c r="N17" s="609">
        <v>1118.588957160151</v>
      </c>
      <c r="O17" s="609">
        <v>1128.6123173157562</v>
      </c>
      <c r="P17" s="329">
        <f t="shared" si="0"/>
        <v>14084.027963492495</v>
      </c>
      <c r="Q17" s="1"/>
      <c r="R17" s="375"/>
    </row>
    <row r="18" spans="1:18">
      <c r="A18" s="389">
        <f t="shared" si="1"/>
        <v>7</v>
      </c>
      <c r="B18" s="382">
        <v>8740</v>
      </c>
      <c r="C18" s="1" t="s">
        <v>882</v>
      </c>
      <c r="D18" s="609">
        <v>21416.040011538291</v>
      </c>
      <c r="E18" s="609">
        <v>19764.089051985509</v>
      </c>
      <c r="F18" s="609">
        <v>20357.42852450741</v>
      </c>
      <c r="G18" s="609">
        <v>23377.43823352614</v>
      </c>
      <c r="H18" s="609">
        <v>20014.406051086582</v>
      </c>
      <c r="I18" s="609">
        <v>21851.944186395071</v>
      </c>
      <c r="J18" s="609">
        <v>19602.661280777342</v>
      </c>
      <c r="K18" s="609">
        <v>19402.278608005727</v>
      </c>
      <c r="L18" s="609">
        <v>23291.962191449937</v>
      </c>
      <c r="M18" s="609">
        <v>23150.942288998071</v>
      </c>
      <c r="N18" s="609">
        <v>18059.867724038853</v>
      </c>
      <c r="O18" s="609">
        <v>19827.58961345749</v>
      </c>
      <c r="P18" s="329">
        <f t="shared" si="0"/>
        <v>250116.64776576645</v>
      </c>
      <c r="Q18" s="1"/>
    </row>
    <row r="19" spans="1:18">
      <c r="A19" s="389">
        <f t="shared" si="1"/>
        <v>8</v>
      </c>
      <c r="B19" s="212">
        <v>8780</v>
      </c>
      <c r="C19" s="81" t="s">
        <v>886</v>
      </c>
      <c r="D19" s="609">
        <v>0</v>
      </c>
      <c r="E19" s="609">
        <v>0</v>
      </c>
      <c r="F19" s="609">
        <v>0</v>
      </c>
      <c r="G19" s="609">
        <v>0</v>
      </c>
      <c r="H19" s="609">
        <v>0</v>
      </c>
      <c r="I19" s="609">
        <v>0</v>
      </c>
      <c r="J19" s="609">
        <v>0</v>
      </c>
      <c r="K19" s="609">
        <v>0</v>
      </c>
      <c r="L19" s="609">
        <v>0</v>
      </c>
      <c r="M19" s="609">
        <v>0</v>
      </c>
      <c r="N19" s="609">
        <v>0</v>
      </c>
      <c r="O19" s="609">
        <v>0</v>
      </c>
      <c r="P19" s="329">
        <f t="shared" si="0"/>
        <v>0</v>
      </c>
      <c r="Q19" s="1"/>
    </row>
    <row r="20" spans="1:18">
      <c r="A20" s="389">
        <f t="shared" si="1"/>
        <v>9</v>
      </c>
      <c r="B20" s="382">
        <v>8800</v>
      </c>
      <c r="C20" s="1" t="s">
        <v>888</v>
      </c>
      <c r="D20" s="609">
        <v>16954.64418005936</v>
      </c>
      <c r="E20" s="609">
        <v>14860.403271580748</v>
      </c>
      <c r="F20" s="609">
        <v>15975.629075385768</v>
      </c>
      <c r="G20" s="609">
        <v>14761.727553408093</v>
      </c>
      <c r="H20" s="609">
        <v>14881.18053727693</v>
      </c>
      <c r="I20" s="609">
        <v>17485.099875263411</v>
      </c>
      <c r="J20" s="609">
        <v>16733.346843018175</v>
      </c>
      <c r="K20" s="609">
        <v>16147.204838278731</v>
      </c>
      <c r="L20" s="609">
        <v>15420.887132840589</v>
      </c>
      <c r="M20" s="609">
        <v>14663.407342872952</v>
      </c>
      <c r="N20" s="609">
        <v>14167.199159461967</v>
      </c>
      <c r="O20" s="609">
        <v>14866.944589985182</v>
      </c>
      <c r="P20" s="329">
        <f t="shared" si="0"/>
        <v>186917.67439943191</v>
      </c>
      <c r="Q20" s="1"/>
    </row>
    <row r="21" spans="1:18">
      <c r="A21" s="389">
        <f t="shared" si="1"/>
        <v>10</v>
      </c>
      <c r="B21" s="212">
        <v>8810</v>
      </c>
      <c r="C21" s="81" t="s">
        <v>889</v>
      </c>
      <c r="D21" s="609">
        <v>8768.9896812396037</v>
      </c>
      <c r="E21" s="609">
        <v>8753.050252683739</v>
      </c>
      <c r="F21" s="609">
        <v>8895.0693443662221</v>
      </c>
      <c r="G21" s="609">
        <v>8753.050252683739</v>
      </c>
      <c r="H21" s="609">
        <v>8753.0188526767324</v>
      </c>
      <c r="I21" s="609">
        <v>8889.5115431263548</v>
      </c>
      <c r="J21" s="609">
        <v>8854.378075288565</v>
      </c>
      <c r="K21" s="609">
        <v>8776.2108978505548</v>
      </c>
      <c r="L21" s="609">
        <v>8968.6395607787144</v>
      </c>
      <c r="M21" s="609">
        <v>8761.6500866022416</v>
      </c>
      <c r="N21" s="609">
        <v>8761.6368985992995</v>
      </c>
      <c r="O21" s="609">
        <v>8893.4624490077476</v>
      </c>
      <c r="P21" s="329">
        <f t="shared" ref="P21" si="3">SUM(D21:O21)</f>
        <v>105828.66789490351</v>
      </c>
      <c r="Q21" s="1"/>
    </row>
    <row r="22" spans="1:18">
      <c r="A22" s="389">
        <f t="shared" si="1"/>
        <v>11</v>
      </c>
      <c r="B22" s="382">
        <v>8850</v>
      </c>
      <c r="C22" t="s">
        <v>1498</v>
      </c>
      <c r="D22" s="609">
        <v>0</v>
      </c>
      <c r="E22" s="609">
        <v>0</v>
      </c>
      <c r="F22" s="609">
        <v>0</v>
      </c>
      <c r="G22" s="609">
        <v>0</v>
      </c>
      <c r="H22" s="609">
        <v>0</v>
      </c>
      <c r="I22" s="609">
        <v>0</v>
      </c>
      <c r="J22" s="609">
        <v>0</v>
      </c>
      <c r="K22" s="609">
        <v>0</v>
      </c>
      <c r="L22" s="609">
        <v>0</v>
      </c>
      <c r="M22" s="609">
        <v>0</v>
      </c>
      <c r="N22" s="609">
        <v>0</v>
      </c>
      <c r="O22" s="609">
        <v>0</v>
      </c>
      <c r="P22" s="329">
        <f t="shared" si="0"/>
        <v>0</v>
      </c>
      <c r="Q22" s="1"/>
    </row>
    <row r="23" spans="1:18">
      <c r="A23" s="389">
        <f t="shared" si="1"/>
        <v>12</v>
      </c>
      <c r="B23" s="212">
        <v>8900</v>
      </c>
      <c r="C23" t="s">
        <v>894</v>
      </c>
      <c r="D23" s="609">
        <v>0</v>
      </c>
      <c r="E23" s="609">
        <v>0</v>
      </c>
      <c r="F23" s="609">
        <v>0</v>
      </c>
      <c r="G23" s="609">
        <v>0</v>
      </c>
      <c r="H23" s="609">
        <v>0</v>
      </c>
      <c r="I23" s="609">
        <v>0</v>
      </c>
      <c r="J23" s="609">
        <v>0</v>
      </c>
      <c r="K23" s="609">
        <v>0</v>
      </c>
      <c r="L23" s="609">
        <v>0</v>
      </c>
      <c r="M23" s="609">
        <v>0</v>
      </c>
      <c r="N23" s="609">
        <v>0</v>
      </c>
      <c r="O23" s="609">
        <v>0</v>
      </c>
      <c r="P23" s="329">
        <f t="shared" si="0"/>
        <v>0</v>
      </c>
      <c r="Q23" s="1"/>
    </row>
    <row r="24" spans="1:18">
      <c r="A24" s="389">
        <f t="shared" si="1"/>
        <v>13</v>
      </c>
      <c r="B24" s="382">
        <v>9010</v>
      </c>
      <c r="C24" s="1" t="s">
        <v>175</v>
      </c>
      <c r="D24" s="609">
        <v>-174.4120649431635</v>
      </c>
      <c r="E24" s="609">
        <v>-182.43369348196836</v>
      </c>
      <c r="F24" s="609">
        <v>-171.97305467292358</v>
      </c>
      <c r="G24" s="609">
        <v>-188.54739061503767</v>
      </c>
      <c r="H24" s="609">
        <v>-175.95312781260384</v>
      </c>
      <c r="I24" s="609">
        <v>-150.41585571847941</v>
      </c>
      <c r="J24" s="609">
        <v>-161.01523428958922</v>
      </c>
      <c r="K24" s="609">
        <v>-173.11736160570013</v>
      </c>
      <c r="L24" s="609">
        <v>-284.51452836331214</v>
      </c>
      <c r="M24" s="609">
        <v>-212.29661624007178</v>
      </c>
      <c r="N24" s="609">
        <v>-178.52434233392455</v>
      </c>
      <c r="O24" s="609">
        <v>-149.41142073824062</v>
      </c>
      <c r="P24" s="329">
        <f t="shared" si="0"/>
        <v>-2202.6146908150149</v>
      </c>
      <c r="Q24" s="1"/>
    </row>
    <row r="25" spans="1:18">
      <c r="A25" s="389"/>
      <c r="B25" s="212">
        <v>9020</v>
      </c>
      <c r="C25" s="1" t="s">
        <v>1609</v>
      </c>
      <c r="D25" s="609">
        <v>13830.644111246145</v>
      </c>
      <c r="E25" s="609">
        <v>13834.697222042085</v>
      </c>
      <c r="F25" s="609">
        <v>13197.33297741712</v>
      </c>
      <c r="G25" s="609">
        <v>14508.228186642757</v>
      </c>
      <c r="H25" s="609">
        <v>13204.494158058038</v>
      </c>
      <c r="I25" s="609">
        <v>13845.144927698757</v>
      </c>
      <c r="J25" s="609">
        <v>14798.82421090666</v>
      </c>
      <c r="K25" s="609">
        <v>13597.661957211338</v>
      </c>
      <c r="L25" s="609">
        <v>14300.93755799375</v>
      </c>
      <c r="M25" s="609">
        <v>14982.198931805995</v>
      </c>
      <c r="N25" s="609">
        <v>12964.548928139046</v>
      </c>
      <c r="O25" s="609">
        <v>13606.466237328326</v>
      </c>
      <c r="P25" s="329">
        <f t="shared" ref="P25" si="4">SUM(D25:O25)</f>
        <v>166671.17940649003</v>
      </c>
      <c r="Q25" s="1"/>
    </row>
    <row r="26" spans="1:18">
      <c r="A26" s="389">
        <f>A24+1</f>
        <v>14</v>
      </c>
      <c r="B26" s="382">
        <v>9030</v>
      </c>
      <c r="C26" s="1" t="s">
        <v>903</v>
      </c>
      <c r="D26" s="609">
        <v>49874.329726045573</v>
      </c>
      <c r="E26" s="609">
        <v>44229.512490008288</v>
      </c>
      <c r="F26" s="609">
        <v>42089.368727248395</v>
      </c>
      <c r="G26" s="609">
        <v>52383.494140431838</v>
      </c>
      <c r="H26" s="609">
        <v>42442.705776094066</v>
      </c>
      <c r="I26" s="609">
        <v>45008.363738845583</v>
      </c>
      <c r="J26" s="609">
        <v>53357.143417525484</v>
      </c>
      <c r="K26" s="609">
        <v>44164.970581537556</v>
      </c>
      <c r="L26" s="609">
        <v>45756.534504215262</v>
      </c>
      <c r="M26" s="609">
        <v>53616.160095499217</v>
      </c>
      <c r="N26" s="609">
        <v>42288.062529802424</v>
      </c>
      <c r="O26" s="609">
        <v>55789.497669807577</v>
      </c>
      <c r="P26" s="329">
        <f t="shared" si="0"/>
        <v>571000.14339706139</v>
      </c>
      <c r="Q26" s="1"/>
    </row>
    <row r="27" spans="1:18">
      <c r="A27" s="389">
        <f t="shared" si="1"/>
        <v>15</v>
      </c>
      <c r="B27" s="212">
        <v>9040</v>
      </c>
      <c r="C27" s="81" t="s">
        <v>904</v>
      </c>
      <c r="D27" s="609">
        <v>0</v>
      </c>
      <c r="E27" s="609">
        <v>0</v>
      </c>
      <c r="F27" s="609">
        <v>0</v>
      </c>
      <c r="G27" s="609">
        <v>0</v>
      </c>
      <c r="H27" s="609">
        <v>0</v>
      </c>
      <c r="I27" s="609">
        <v>0</v>
      </c>
      <c r="J27" s="609">
        <v>0</v>
      </c>
      <c r="K27" s="609">
        <v>0</v>
      </c>
      <c r="L27" s="609">
        <v>0</v>
      </c>
      <c r="M27" s="609">
        <v>0</v>
      </c>
      <c r="N27" s="609">
        <v>0</v>
      </c>
      <c r="O27" s="609">
        <v>0</v>
      </c>
      <c r="P27" s="329">
        <f t="shared" ref="P27" si="5">SUM(D27:O27)</f>
        <v>0</v>
      </c>
      <c r="Q27" s="1"/>
    </row>
    <row r="28" spans="1:18">
      <c r="A28" s="389">
        <f t="shared" si="1"/>
        <v>16</v>
      </c>
      <c r="B28" s="382">
        <v>9100</v>
      </c>
      <c r="C28" s="1" t="s">
        <v>906</v>
      </c>
      <c r="D28" s="609">
        <v>0</v>
      </c>
      <c r="E28" s="609">
        <v>0</v>
      </c>
      <c r="F28" s="609">
        <v>0</v>
      </c>
      <c r="G28" s="609">
        <v>0</v>
      </c>
      <c r="H28" s="609">
        <v>0</v>
      </c>
      <c r="I28" s="609">
        <v>0</v>
      </c>
      <c r="J28" s="609">
        <v>0</v>
      </c>
      <c r="K28" s="609">
        <v>0</v>
      </c>
      <c r="L28" s="609">
        <v>0</v>
      </c>
      <c r="M28" s="609">
        <v>0</v>
      </c>
      <c r="N28" s="609">
        <v>0</v>
      </c>
      <c r="O28" s="609">
        <v>0</v>
      </c>
      <c r="P28" s="329">
        <f t="shared" si="0"/>
        <v>0</v>
      </c>
      <c r="Q28" s="1"/>
    </row>
    <row r="29" spans="1:18">
      <c r="A29" s="389">
        <f t="shared" si="1"/>
        <v>17</v>
      </c>
      <c r="B29" s="382">
        <v>9120</v>
      </c>
      <c r="C29" t="s">
        <v>1182</v>
      </c>
      <c r="D29" s="609">
        <v>8306.4901899211036</v>
      </c>
      <c r="E29" s="609">
        <v>7677.5917806296802</v>
      </c>
      <c r="F29" s="609">
        <v>6419.7949620468362</v>
      </c>
      <c r="G29" s="609">
        <v>7048.6933713382587</v>
      </c>
      <c r="H29" s="609">
        <v>6419.7949620468362</v>
      </c>
      <c r="I29" s="609">
        <v>7828.5273988596218</v>
      </c>
      <c r="J29" s="609">
        <v>9740.3785631055453</v>
      </c>
      <c r="K29" s="609">
        <v>6419.7949620468362</v>
      </c>
      <c r="L29" s="609">
        <v>12834.558736819343</v>
      </c>
      <c r="M29" s="609">
        <v>10214.170499916605</v>
      </c>
      <c r="N29" s="609">
        <v>7400.8764805414557</v>
      </c>
      <c r="O29" s="609">
        <v>6696.5102621350625</v>
      </c>
      <c r="P29" s="329">
        <f t="shared" si="0"/>
        <v>97007.182169407184</v>
      </c>
      <c r="Q29" s="1"/>
    </row>
    <row r="30" spans="1:18">
      <c r="A30" s="389">
        <f t="shared" si="1"/>
        <v>18</v>
      </c>
      <c r="B30" s="212">
        <v>9130</v>
      </c>
      <c r="C30" t="s">
        <v>1605</v>
      </c>
      <c r="D30" s="609">
        <v>333.49079480434267</v>
      </c>
      <c r="E30" s="609">
        <v>344.28101288874808</v>
      </c>
      <c r="F30" s="609">
        <v>371.28437235558579</v>
      </c>
      <c r="G30" s="609">
        <v>333.86997495726513</v>
      </c>
      <c r="H30" s="609">
        <v>328.16204050020303</v>
      </c>
      <c r="I30" s="609">
        <v>358.08898730143244</v>
      </c>
      <c r="J30" s="609">
        <v>384.95307674491414</v>
      </c>
      <c r="K30" s="609">
        <v>388.6617435602347</v>
      </c>
      <c r="L30" s="609">
        <v>364.43564200917052</v>
      </c>
      <c r="M30" s="609">
        <v>347.49009631811055</v>
      </c>
      <c r="N30" s="609">
        <v>336.55377140863158</v>
      </c>
      <c r="O30" s="609">
        <v>346.1676521719653</v>
      </c>
      <c r="P30" s="329">
        <f t="shared" ref="P30" si="6">SUM(D30:O30)</f>
        <v>4237.4391650206044</v>
      </c>
      <c r="Q30" s="1"/>
    </row>
    <row r="31" spans="1:18">
      <c r="A31" s="389">
        <f t="shared" si="1"/>
        <v>19</v>
      </c>
      <c r="B31" s="382">
        <v>9160</v>
      </c>
      <c r="C31" t="s">
        <v>806</v>
      </c>
      <c r="D31" s="609">
        <v>0</v>
      </c>
      <c r="E31" s="609">
        <v>0</v>
      </c>
      <c r="F31" s="609">
        <v>0</v>
      </c>
      <c r="G31" s="609">
        <v>0</v>
      </c>
      <c r="H31" s="609">
        <v>0</v>
      </c>
      <c r="I31" s="609">
        <v>0</v>
      </c>
      <c r="J31" s="609">
        <v>0</v>
      </c>
      <c r="K31" s="609">
        <v>0</v>
      </c>
      <c r="L31" s="609">
        <v>0</v>
      </c>
      <c r="M31" s="609">
        <v>0</v>
      </c>
      <c r="N31" s="609">
        <v>0</v>
      </c>
      <c r="O31" s="609">
        <v>0</v>
      </c>
      <c r="P31" s="329">
        <f t="shared" ref="P31" si="7">SUM(D31:O31)</f>
        <v>0</v>
      </c>
      <c r="Q31" s="1"/>
    </row>
    <row r="32" spans="1:18">
      <c r="A32" s="389">
        <f t="shared" si="1"/>
        <v>20</v>
      </c>
      <c r="B32" s="382">
        <v>9200</v>
      </c>
      <c r="C32" s="1" t="s">
        <v>176</v>
      </c>
      <c r="D32" s="609">
        <v>-3829865.4083246416</v>
      </c>
      <c r="E32" s="609">
        <v>-3924257.4096160587</v>
      </c>
      <c r="F32" s="609">
        <v>-6625553.7081440408</v>
      </c>
      <c r="G32" s="609">
        <v>-4141435.2477419586</v>
      </c>
      <c r="H32" s="609">
        <v>-5977577.7880860614</v>
      </c>
      <c r="I32" s="609">
        <v>-3109333.2716778358</v>
      </c>
      <c r="J32" s="609">
        <v>-2946418.1036998089</v>
      </c>
      <c r="K32" s="609">
        <v>-3946657.9757169499</v>
      </c>
      <c r="L32" s="609">
        <v>-3627895.1075717504</v>
      </c>
      <c r="M32" s="609">
        <v>-3575367.0669643767</v>
      </c>
      <c r="N32" s="609">
        <v>-4519550.6513797259</v>
      </c>
      <c r="O32" s="609">
        <v>-3831556.2040571952</v>
      </c>
      <c r="P32" s="329">
        <f t="shared" si="0"/>
        <v>-50055467.942980409</v>
      </c>
      <c r="Q32" s="1"/>
    </row>
    <row r="33" spans="1:18">
      <c r="A33" s="389">
        <f t="shared" si="1"/>
        <v>21</v>
      </c>
      <c r="B33" s="382">
        <v>9210</v>
      </c>
      <c r="C33" s="1" t="s">
        <v>910</v>
      </c>
      <c r="D33" s="609">
        <v>4791713.3986227876</v>
      </c>
      <c r="E33" s="609">
        <v>4470149.1296166088</v>
      </c>
      <c r="F33" s="609">
        <v>4515318.4808454402</v>
      </c>
      <c r="G33" s="609">
        <v>4686270.1667676969</v>
      </c>
      <c r="H33" s="609">
        <v>4613470.5971388612</v>
      </c>
      <c r="I33" s="609">
        <v>4937598.7214212678</v>
      </c>
      <c r="J33" s="609">
        <v>4246588.6300230334</v>
      </c>
      <c r="K33" s="609">
        <v>4051579.8511325931</v>
      </c>
      <c r="L33" s="609">
        <v>4318073.6968942955</v>
      </c>
      <c r="M33" s="609">
        <v>4338526.8175643068</v>
      </c>
      <c r="N33" s="609">
        <v>4254625.9735552501</v>
      </c>
      <c r="O33" s="609">
        <v>4309157.0485527217</v>
      </c>
      <c r="P33" s="329">
        <f t="shared" si="0"/>
        <v>53533072.512134865</v>
      </c>
      <c r="Q33" s="1"/>
    </row>
    <row r="34" spans="1:18">
      <c r="A34" s="389">
        <f t="shared" si="1"/>
        <v>22</v>
      </c>
      <c r="B34" s="382">
        <v>9220</v>
      </c>
      <c r="C34" s="1" t="s">
        <v>911</v>
      </c>
      <c r="D34" s="332">
        <f t="shared" ref="D34:O34" si="8">-(SUM(D12:D33,D35:D42))</f>
        <v>-12715975.425886931</v>
      </c>
      <c r="E34" s="332">
        <f t="shared" si="8"/>
        <v>-15396830.738811469</v>
      </c>
      <c r="F34" s="332">
        <f t="shared" si="8"/>
        <v>-9861630.6277301647</v>
      </c>
      <c r="G34" s="332">
        <f t="shared" si="8"/>
        <v>-15896565.850667218</v>
      </c>
      <c r="H34" s="332">
        <f t="shared" si="8"/>
        <v>-8224311.8522144491</v>
      </c>
      <c r="I34" s="332">
        <f t="shared" si="8"/>
        <v>-11669249.168755544</v>
      </c>
      <c r="J34" s="332">
        <f t="shared" si="8"/>
        <v>-13387955.318890126</v>
      </c>
      <c r="K34" s="332">
        <f t="shared" si="8"/>
        <v>-11831011.568672366</v>
      </c>
      <c r="L34" s="332">
        <f t="shared" si="8"/>
        <v>-12417751.58166959</v>
      </c>
      <c r="M34" s="332">
        <f t="shared" si="8"/>
        <v>-13403637.630522057</v>
      </c>
      <c r="N34" s="332">
        <f t="shared" si="8"/>
        <v>-11260021.151982533</v>
      </c>
      <c r="O34" s="332">
        <f t="shared" si="8"/>
        <v>-13340841.165595243</v>
      </c>
      <c r="P34" s="329">
        <f t="shared" si="0"/>
        <v>-149405782.08139768</v>
      </c>
      <c r="Q34" s="1"/>
    </row>
    <row r="35" spans="1:18">
      <c r="A35" s="389">
        <f t="shared" si="1"/>
        <v>23</v>
      </c>
      <c r="B35" s="382">
        <v>9230</v>
      </c>
      <c r="C35" s="1" t="s">
        <v>912</v>
      </c>
      <c r="D35" s="609">
        <v>1033260.0312527681</v>
      </c>
      <c r="E35" s="609">
        <v>1102791.5801867871</v>
      </c>
      <c r="F35" s="609">
        <v>1094291.828727558</v>
      </c>
      <c r="G35" s="609">
        <v>1041979.6782567992</v>
      </c>
      <c r="H35" s="609">
        <v>927298.81556125032</v>
      </c>
      <c r="I35" s="609">
        <v>1149296.1818549237</v>
      </c>
      <c r="J35" s="609">
        <v>1255451.111953099</v>
      </c>
      <c r="K35" s="609">
        <v>1253093.0475727585</v>
      </c>
      <c r="L35" s="609">
        <v>1160322.7060686802</v>
      </c>
      <c r="M35" s="609">
        <v>1084806.9929660421</v>
      </c>
      <c r="N35" s="609">
        <v>1033090.3590118722</v>
      </c>
      <c r="O35" s="609">
        <v>1086774.392786182</v>
      </c>
      <c r="P35" s="329">
        <f t="shared" si="0"/>
        <v>13222456.726198722</v>
      </c>
      <c r="Q35" s="1"/>
    </row>
    <row r="36" spans="1:18">
      <c r="A36" s="389">
        <f t="shared" si="1"/>
        <v>24</v>
      </c>
      <c r="B36" s="382">
        <v>9240</v>
      </c>
      <c r="C36" s="1" t="s">
        <v>913</v>
      </c>
      <c r="D36" s="609">
        <v>11253.806089010424</v>
      </c>
      <c r="E36" s="609">
        <v>11253.806089010424</v>
      </c>
      <c r="F36" s="609">
        <v>11253.806089010424</v>
      </c>
      <c r="G36" s="609">
        <v>11270.974775244711</v>
      </c>
      <c r="H36" s="609">
        <v>11313.400589749765</v>
      </c>
      <c r="I36" s="609">
        <v>11270.974775244711</v>
      </c>
      <c r="J36" s="609">
        <v>11190.481094468694</v>
      </c>
      <c r="K36" s="609">
        <v>11251.496367394653</v>
      </c>
      <c r="L36" s="609">
        <v>11251.496367394653</v>
      </c>
      <c r="M36" s="609">
        <v>11251.496367394653</v>
      </c>
      <c r="N36" s="609">
        <v>11251.496367394653</v>
      </c>
      <c r="O36" s="609">
        <v>11253.604218105627</v>
      </c>
      <c r="P36" s="329">
        <f t="shared" si="0"/>
        <v>135066.83918942336</v>
      </c>
      <c r="Q36" s="1"/>
    </row>
    <row r="37" spans="1:18">
      <c r="A37" s="389">
        <f t="shared" si="1"/>
        <v>25</v>
      </c>
      <c r="B37" s="382">
        <v>9250</v>
      </c>
      <c r="C37" s="1" t="s">
        <v>914</v>
      </c>
      <c r="D37" s="609">
        <v>5360230.547132588</v>
      </c>
      <c r="E37" s="609">
        <v>5360211.2168243658</v>
      </c>
      <c r="F37" s="609">
        <v>5359758.5513446648</v>
      </c>
      <c r="G37" s="609">
        <v>5368862.5375469802</v>
      </c>
      <c r="H37" s="609">
        <v>5388092.1544893458</v>
      </c>
      <c r="I37" s="609">
        <v>5368388.1408753172</v>
      </c>
      <c r="J37" s="609">
        <v>5330481.1918999515</v>
      </c>
      <c r="K37" s="609">
        <v>5358604.666890623</v>
      </c>
      <c r="L37" s="609">
        <v>5359120.8443442369</v>
      </c>
      <c r="M37" s="609">
        <v>5359624.213781273</v>
      </c>
      <c r="N37" s="609">
        <v>5358201.3056693356</v>
      </c>
      <c r="O37" s="609">
        <v>5359647.898103389</v>
      </c>
      <c r="P37" s="329">
        <f t="shared" si="0"/>
        <v>64331223.268902063</v>
      </c>
      <c r="Q37" s="1"/>
      <c r="R37" s="375"/>
    </row>
    <row r="38" spans="1:18">
      <c r="A38" s="389">
        <f t="shared" si="1"/>
        <v>26</v>
      </c>
      <c r="B38" s="382">
        <v>9260</v>
      </c>
      <c r="C38" s="1" t="s">
        <v>915</v>
      </c>
      <c r="D38" s="609">
        <v>3785201.6273909709</v>
      </c>
      <c r="E38" s="609">
        <v>7473383.5488177463</v>
      </c>
      <c r="F38" s="609">
        <v>4626383.6793370713</v>
      </c>
      <c r="G38" s="609">
        <v>7263090.7733258419</v>
      </c>
      <c r="H38" s="609">
        <v>2364752.4171227785</v>
      </c>
      <c r="I38" s="609">
        <v>2357263.932906305</v>
      </c>
      <c r="J38" s="609">
        <v>3829320.5649243249</v>
      </c>
      <c r="K38" s="609">
        <v>4124919.1817083326</v>
      </c>
      <c r="L38" s="609">
        <v>4249474.88021727</v>
      </c>
      <c r="M38" s="609">
        <v>4529017.3692119662</v>
      </c>
      <c r="N38" s="609">
        <v>4141902.7758127595</v>
      </c>
      <c r="O38" s="609">
        <v>3985991.2333756802</v>
      </c>
      <c r="P38" s="329">
        <f t="shared" si="0"/>
        <v>52730701.98415105</v>
      </c>
      <c r="Q38" s="1"/>
    </row>
    <row r="39" spans="1:18">
      <c r="A39" s="389">
        <f t="shared" si="1"/>
        <v>27</v>
      </c>
      <c r="B39" s="382">
        <v>9301</v>
      </c>
      <c r="C39" s="1" t="s">
        <v>177</v>
      </c>
      <c r="D39" s="609">
        <v>0</v>
      </c>
      <c r="E39" s="609">
        <v>0</v>
      </c>
      <c r="F39" s="609">
        <v>0</v>
      </c>
      <c r="G39" s="609">
        <v>0</v>
      </c>
      <c r="H39" s="609">
        <v>0</v>
      </c>
      <c r="I39" s="609">
        <v>0</v>
      </c>
      <c r="J39" s="609">
        <v>0</v>
      </c>
      <c r="K39" s="609">
        <v>0</v>
      </c>
      <c r="L39" s="609">
        <v>0</v>
      </c>
      <c r="M39" s="609">
        <v>0</v>
      </c>
      <c r="N39" s="609">
        <v>0</v>
      </c>
      <c r="O39" s="609">
        <v>0</v>
      </c>
      <c r="P39" s="329">
        <f t="shared" si="0"/>
        <v>0</v>
      </c>
      <c r="Q39" s="1"/>
    </row>
    <row r="40" spans="1:18">
      <c r="A40" s="389">
        <f t="shared" si="1"/>
        <v>28</v>
      </c>
      <c r="B40" s="382">
        <v>9302</v>
      </c>
      <c r="C40" s="1" t="s">
        <v>826</v>
      </c>
      <c r="D40" s="609">
        <v>878743.80557657394</v>
      </c>
      <c r="E40" s="609">
        <v>229664.56875086005</v>
      </c>
      <c r="F40" s="609">
        <v>197506.10896178597</v>
      </c>
      <c r="G40" s="609">
        <v>979783.12751661905</v>
      </c>
      <c r="H40" s="609">
        <v>226175.14570859045</v>
      </c>
      <c r="I40" s="609">
        <v>263459.74963791756</v>
      </c>
      <c r="J40" s="609">
        <v>968108.19468875625</v>
      </c>
      <c r="K40" s="609">
        <v>304561.6233027628</v>
      </c>
      <c r="L40" s="609">
        <v>249290.81918841696</v>
      </c>
      <c r="M40" s="609">
        <v>967008.81292602897</v>
      </c>
      <c r="N40" s="609">
        <v>314538.13309492893</v>
      </c>
      <c r="O40" s="609">
        <v>1729259.3715901352</v>
      </c>
      <c r="P40" s="329">
        <f t="shared" si="0"/>
        <v>7308099.4609433766</v>
      </c>
      <c r="Q40" s="1"/>
    </row>
    <row r="41" spans="1:18">
      <c r="A41" s="389">
        <f t="shared" si="1"/>
        <v>29</v>
      </c>
      <c r="B41" s="382">
        <v>9310</v>
      </c>
      <c r="C41" s="1" t="s">
        <v>178</v>
      </c>
      <c r="D41" s="609">
        <v>499934.60355100257</v>
      </c>
      <c r="E41" s="609">
        <v>499202.15345471172</v>
      </c>
      <c r="F41" s="609">
        <v>507555.29090800794</v>
      </c>
      <c r="G41" s="609">
        <v>499284.83226982818</v>
      </c>
      <c r="H41" s="609">
        <v>498929.32640953449</v>
      </c>
      <c r="I41" s="609">
        <v>507111.3258803151</v>
      </c>
      <c r="J41" s="609">
        <v>504857.16351252573</v>
      </c>
      <c r="K41" s="609">
        <v>500503.71262924513</v>
      </c>
      <c r="L41" s="609">
        <v>511274.93397674285</v>
      </c>
      <c r="M41" s="609">
        <v>499308.74039951159</v>
      </c>
      <c r="N41" s="609">
        <v>499134.84023814439</v>
      </c>
      <c r="O41" s="609">
        <v>506595.93979891151</v>
      </c>
      <c r="P41" s="329">
        <f t="shared" si="0"/>
        <v>6033692.8630284807</v>
      </c>
      <c r="Q41" s="1"/>
    </row>
    <row r="42" spans="1:18">
      <c r="A42" s="389">
        <f t="shared" si="1"/>
        <v>30</v>
      </c>
      <c r="B42" s="382">
        <v>9320</v>
      </c>
      <c r="C42" s="1" t="s">
        <v>179</v>
      </c>
      <c r="D42" s="609">
        <v>50795.086490923699</v>
      </c>
      <c r="E42" s="609">
        <v>50179.446568495179</v>
      </c>
      <c r="F42" s="609">
        <v>52643.232523200662</v>
      </c>
      <c r="G42" s="609">
        <v>51059.01317853645</v>
      </c>
      <c r="H42" s="609">
        <v>50735.448352167994</v>
      </c>
      <c r="I42" s="609">
        <v>53037.864410957831</v>
      </c>
      <c r="J42" s="609">
        <v>50108.43268256585</v>
      </c>
      <c r="K42" s="609">
        <v>49878.557454183552</v>
      </c>
      <c r="L42" s="609">
        <v>50864.727307871071</v>
      </c>
      <c r="M42" s="609">
        <v>48942.623483423216</v>
      </c>
      <c r="N42" s="609">
        <v>48352.94618477748</v>
      </c>
      <c r="O42" s="609">
        <v>48750.551625751381</v>
      </c>
      <c r="P42" s="329">
        <f t="shared" si="0"/>
        <v>605347.93026285444</v>
      </c>
      <c r="Q42" s="1"/>
    </row>
    <row r="43" spans="1:18" ht="15.75" thickBot="1">
      <c r="A43" s="389">
        <f t="shared" si="1"/>
        <v>31</v>
      </c>
      <c r="B43" s="1" t="s">
        <v>706</v>
      </c>
      <c r="C43" s="1"/>
      <c r="D43" s="827">
        <f t="shared" ref="D43:P43" si="9">SUM(D12:D42)</f>
        <v>8.5856299847364426E-10</v>
      </c>
      <c r="E43" s="827">
        <f t="shared" si="9"/>
        <v>4.5838532969355583E-10</v>
      </c>
      <c r="F43" s="827">
        <f t="shared" si="9"/>
        <v>-5.4569682106375694E-10</v>
      </c>
      <c r="G43" s="827">
        <f t="shared" si="9"/>
        <v>-3.4779077395796776E-9</v>
      </c>
      <c r="H43" s="827">
        <f t="shared" si="9"/>
        <v>-1.5425030142068863E-9</v>
      </c>
      <c r="I43" s="827">
        <f t="shared" si="9"/>
        <v>9.1677065938711166E-10</v>
      </c>
      <c r="J43" s="827">
        <f t="shared" si="9"/>
        <v>-3.4051481634378433E-9</v>
      </c>
      <c r="K43" s="827">
        <f t="shared" si="9"/>
        <v>-2.4738255888223648E-9</v>
      </c>
      <c r="L43" s="827">
        <f t="shared" si="9"/>
        <v>-1.3678800314664841E-9</v>
      </c>
      <c r="M43" s="827">
        <f t="shared" si="9"/>
        <v>-6.8394001573324203E-10</v>
      </c>
      <c r="N43" s="827">
        <f t="shared" si="9"/>
        <v>1.6880221664905548E-9</v>
      </c>
      <c r="O43" s="827">
        <f t="shared" si="9"/>
        <v>-1.0331859812140465E-9</v>
      </c>
      <c r="P43" s="827">
        <f t="shared" si="9"/>
        <v>-4.5401975512504578E-9</v>
      </c>
      <c r="Q43" s="1"/>
    </row>
    <row r="44" spans="1:18" ht="15.75" thickTop="1">
      <c r="A44" s="389">
        <f t="shared" si="1"/>
        <v>32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8">
      <c r="A45" s="389">
        <f t="shared" si="1"/>
        <v>33</v>
      </c>
      <c r="B45" s="829">
        <f t="shared" ref="B45:O45" si="10">B34</f>
        <v>9220</v>
      </c>
      <c r="C45" s="329" t="str">
        <f t="shared" si="10"/>
        <v>A&amp;G-Administrative expense transferred-Credit</v>
      </c>
      <c r="D45" s="329">
        <f t="shared" si="10"/>
        <v>-12715975.425886931</v>
      </c>
      <c r="E45" s="329">
        <f t="shared" si="10"/>
        <v>-15396830.738811469</v>
      </c>
      <c r="F45" s="329">
        <f t="shared" si="10"/>
        <v>-9861630.6277301647</v>
      </c>
      <c r="G45" s="329">
        <f t="shared" si="10"/>
        <v>-15896565.850667218</v>
      </c>
      <c r="H45" s="329">
        <f t="shared" si="10"/>
        <v>-8224311.8522144491</v>
      </c>
      <c r="I45" s="329">
        <f t="shared" si="10"/>
        <v>-11669249.168755544</v>
      </c>
      <c r="J45" s="329">
        <f t="shared" si="10"/>
        <v>-13387955.318890126</v>
      </c>
      <c r="K45" s="329">
        <f t="shared" si="10"/>
        <v>-11831011.568672366</v>
      </c>
      <c r="L45" s="329">
        <f t="shared" si="10"/>
        <v>-12417751.58166959</v>
      </c>
      <c r="M45" s="329">
        <f t="shared" si="10"/>
        <v>-13403637.630522057</v>
      </c>
      <c r="N45" s="329">
        <f t="shared" si="10"/>
        <v>-11260021.151982533</v>
      </c>
      <c r="O45" s="329">
        <f t="shared" si="10"/>
        <v>-13340841.165595243</v>
      </c>
      <c r="P45" s="1"/>
      <c r="Q45" s="1"/>
    </row>
    <row r="46" spans="1:18">
      <c r="A46" s="389">
        <f t="shared" si="1"/>
        <v>34</v>
      </c>
      <c r="B46" s="1"/>
      <c r="C46" s="1" t="s">
        <v>189</v>
      </c>
      <c r="D46" s="832">
        <f>Allocation!$E$14</f>
        <v>4.3520999999999997E-2</v>
      </c>
      <c r="E46" s="831">
        <f>D46</f>
        <v>4.3520999999999997E-2</v>
      </c>
      <c r="F46" s="831">
        <f t="shared" ref="F46:O46" si="11">E46</f>
        <v>4.3520999999999997E-2</v>
      </c>
      <c r="G46" s="831">
        <f t="shared" si="11"/>
        <v>4.3520999999999997E-2</v>
      </c>
      <c r="H46" s="831">
        <f t="shared" si="11"/>
        <v>4.3520999999999997E-2</v>
      </c>
      <c r="I46" s="831">
        <f t="shared" si="11"/>
        <v>4.3520999999999997E-2</v>
      </c>
      <c r="J46" s="831">
        <f t="shared" si="11"/>
        <v>4.3520999999999997E-2</v>
      </c>
      <c r="K46" s="831">
        <f t="shared" si="11"/>
        <v>4.3520999999999997E-2</v>
      </c>
      <c r="L46" s="831">
        <f t="shared" si="11"/>
        <v>4.3520999999999997E-2</v>
      </c>
      <c r="M46" s="831">
        <f t="shared" si="11"/>
        <v>4.3520999999999997E-2</v>
      </c>
      <c r="N46" s="831">
        <f t="shared" si="11"/>
        <v>4.3520999999999997E-2</v>
      </c>
      <c r="O46" s="831">
        <f t="shared" si="11"/>
        <v>4.3520999999999997E-2</v>
      </c>
      <c r="P46" s="1"/>
      <c r="Q46" s="1"/>
    </row>
    <row r="47" spans="1:18">
      <c r="A47" s="389">
        <f t="shared" si="1"/>
        <v>35</v>
      </c>
      <c r="B47" s="1"/>
      <c r="C47" s="1" t="s">
        <v>202</v>
      </c>
      <c r="D47" s="329">
        <f t="shared" ref="D47:N47" si="12">ROUND(D45*D46,3)</f>
        <v>-553411.96699999995</v>
      </c>
      <c r="E47" s="329">
        <f t="shared" si="12"/>
        <v>-670085.47100000002</v>
      </c>
      <c r="F47" s="329">
        <f t="shared" si="12"/>
        <v>-429188.027</v>
      </c>
      <c r="G47" s="329">
        <f t="shared" si="12"/>
        <v>-691834.44200000004</v>
      </c>
      <c r="H47" s="329">
        <f t="shared" si="12"/>
        <v>-357930.27600000001</v>
      </c>
      <c r="I47" s="329">
        <f t="shared" si="12"/>
        <v>-507857.39299999998</v>
      </c>
      <c r="J47" s="329">
        <f t="shared" si="12"/>
        <v>-582657.20299999998</v>
      </c>
      <c r="K47" s="329">
        <f t="shared" si="12"/>
        <v>-514897.45400000003</v>
      </c>
      <c r="L47" s="329">
        <f t="shared" si="12"/>
        <v>-540432.96699999995</v>
      </c>
      <c r="M47" s="329">
        <f t="shared" si="12"/>
        <v>-583339.71299999999</v>
      </c>
      <c r="N47" s="329">
        <f t="shared" si="12"/>
        <v>-490047.38099999999</v>
      </c>
      <c r="O47" s="329">
        <f>ROUND(O45*O46,3)</f>
        <v>-580606.74800000002</v>
      </c>
      <c r="P47" s="329">
        <f>SUM(D47:O47)</f>
        <v>-6502289.0420000004</v>
      </c>
      <c r="Q47" s="480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 t="s">
        <v>535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64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8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 t="s">
        <v>919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t="s">
        <v>1671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442"/>
      <c r="Q55" s="1"/>
    </row>
    <row r="56" spans="1:17">
      <c r="A56" s="1"/>
      <c r="B56" s="1"/>
      <c r="C56" s="1"/>
      <c r="D56" s="709"/>
      <c r="E56" s="709"/>
      <c r="F56" s="709"/>
      <c r="G56" s="709"/>
      <c r="H56" s="709"/>
      <c r="I56" s="709"/>
      <c r="J56" s="709"/>
      <c r="K56" s="709"/>
      <c r="L56" s="709"/>
      <c r="M56" s="709"/>
      <c r="N56" s="709"/>
      <c r="O56" s="709"/>
      <c r="P56" s="442"/>
      <c r="Q56" s="1"/>
    </row>
    <row r="57" spans="1:17">
      <c r="A57" s="1"/>
      <c r="B57" s="1"/>
      <c r="C57" s="1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442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42"/>
      <c r="P58" s="442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42"/>
      <c r="P59" s="442"/>
      <c r="Q59" s="1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5" header="0.5" footer="0.25"/>
  <pageSetup scale="49" fitToHeight="2" orientation="landscape" verticalDpi="300" r:id="rId1"/>
  <headerFooter alignWithMargins="0">
    <oddFooter>&amp;RSchedule &amp;A
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tabColor rgb="FF92D050"/>
  </sheetPr>
  <dimension ref="A1:Q49"/>
  <sheetViews>
    <sheetView view="pageBreakPreview" topLeftCell="A9" zoomScale="80" zoomScaleNormal="100" zoomScaleSheetLayoutView="80" workbookViewId="0">
      <selection activeCell="B46" sqref="B46"/>
    </sheetView>
  </sheetViews>
  <sheetFormatPr defaultColWidth="7.109375" defaultRowHeight="15"/>
  <cols>
    <col min="1" max="1" width="4.6640625" customWidth="1"/>
    <col min="2" max="2" width="7.21875" customWidth="1"/>
    <col min="3" max="3" width="43.21875" customWidth="1"/>
    <col min="4" max="4" width="12.44140625" bestFit="1" customWidth="1"/>
    <col min="5" max="6" width="11.109375" customWidth="1"/>
    <col min="7" max="7" width="11.77734375" bestFit="1" customWidth="1"/>
    <col min="8" max="8" width="11.33203125" bestFit="1" customWidth="1"/>
    <col min="9" max="9" width="11.109375" customWidth="1"/>
    <col min="10" max="10" width="10.88671875" customWidth="1"/>
    <col min="11" max="14" width="11.33203125" bestFit="1" customWidth="1"/>
    <col min="15" max="15" width="12.44140625" customWidth="1"/>
    <col min="16" max="16" width="12.44140625" bestFit="1" customWidth="1"/>
    <col min="17" max="17" width="12.44140625" customWidth="1"/>
    <col min="18" max="18" width="12.5546875" customWidth="1"/>
    <col min="19" max="19" width="11.33203125" bestFit="1" customWidth="1"/>
  </cols>
  <sheetData>
    <row r="1" spans="1:17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</row>
    <row r="2" spans="1:17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</row>
    <row r="3" spans="1:17" ht="15.75">
      <c r="A3" s="1072" t="s">
        <v>181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</row>
    <row r="4" spans="1:17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"/>
    </row>
    <row r="5" spans="1:17">
      <c r="A5" s="1"/>
      <c r="B5" s="25"/>
      <c r="C5" s="25"/>
      <c r="D5" s="25"/>
      <c r="E5" s="25"/>
      <c r="F5" s="25"/>
      <c r="G5" s="456"/>
      <c r="H5" s="25"/>
      <c r="I5" s="25"/>
      <c r="J5" s="25"/>
      <c r="K5" s="25"/>
      <c r="L5" s="25"/>
      <c r="M5" s="25"/>
      <c r="N5" s="25"/>
      <c r="O5" s="25"/>
      <c r="P5" s="1"/>
      <c r="Q5" s="1"/>
    </row>
    <row r="6" spans="1:17" ht="15.75">
      <c r="A6" s="699" t="str">
        <f>'C.2.1 F'!A6</f>
        <v>Data:________Base Period___X____Forecasted Period</v>
      </c>
      <c r="B6" s="1"/>
      <c r="C6" s="4"/>
      <c r="D6" s="1"/>
      <c r="E6" s="330"/>
      <c r="F6" s="1"/>
      <c r="G6" s="1"/>
      <c r="H6" s="1"/>
      <c r="I6" s="1"/>
      <c r="J6" s="1"/>
      <c r="K6" s="1"/>
      <c r="L6" s="1"/>
      <c r="M6" s="1"/>
      <c r="N6" s="1"/>
      <c r="O6" s="1"/>
      <c r="P6" s="84" t="s">
        <v>1343</v>
      </c>
      <c r="Q6" s="1"/>
    </row>
    <row r="7" spans="1:17">
      <c r="A7" s="699" t="str">
        <f>'C.2.1 F'!A7</f>
        <v>Type of Filing:___X____Original________Updated ________Revised</v>
      </c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83" t="s">
        <v>35</v>
      </c>
      <c r="Q7" s="1"/>
    </row>
    <row r="8" spans="1:17">
      <c r="A8" s="717" t="str">
        <f>'C.2.1 F'!A8</f>
        <v>Workpaper Reference No(s).____________________</v>
      </c>
      <c r="B8" s="28"/>
      <c r="C8" s="5"/>
      <c r="D8" s="6"/>
      <c r="E8" s="6"/>
      <c r="F8" s="6"/>
      <c r="G8" s="6"/>
      <c r="H8" s="6"/>
      <c r="I8" s="6"/>
      <c r="J8" s="6"/>
      <c r="K8" s="6"/>
      <c r="L8" s="6"/>
      <c r="M8" s="28"/>
      <c r="N8" s="28"/>
      <c r="O8" s="28"/>
      <c r="P8" s="801" t="str">
        <f>C.1!J9</f>
        <v>Witness: Waller, Wiebe, Troup</v>
      </c>
      <c r="Q8" s="1"/>
    </row>
    <row r="9" spans="1:17">
      <c r="A9" s="135" t="s">
        <v>88</v>
      </c>
      <c r="B9" s="42" t="s">
        <v>95</v>
      </c>
      <c r="C9" s="477"/>
      <c r="D9" s="469" t="s">
        <v>41</v>
      </c>
      <c r="E9" s="37" t="s">
        <v>41</v>
      </c>
      <c r="F9" s="37" t="s">
        <v>41</v>
      </c>
      <c r="G9" s="37" t="s">
        <v>41</v>
      </c>
      <c r="H9" s="37" t="s">
        <v>41</v>
      </c>
      <c r="I9" s="37" t="s">
        <v>41</v>
      </c>
      <c r="J9" s="37" t="s">
        <v>41</v>
      </c>
      <c r="K9" s="37" t="s">
        <v>41</v>
      </c>
      <c r="L9" s="37" t="s">
        <v>41</v>
      </c>
      <c r="M9" s="37" t="s">
        <v>41</v>
      </c>
      <c r="N9" s="37" t="s">
        <v>41</v>
      </c>
      <c r="O9" s="37" t="s">
        <v>41</v>
      </c>
      <c r="P9" s="478"/>
      <c r="Q9" s="1"/>
    </row>
    <row r="10" spans="1:17">
      <c r="A10" s="229" t="s">
        <v>94</v>
      </c>
      <c r="B10" s="28" t="s">
        <v>94</v>
      </c>
      <c r="C10" s="479" t="s">
        <v>918</v>
      </c>
      <c r="D10" s="774">
        <f>'C.2.2-F 09'!D10</f>
        <v>45748</v>
      </c>
      <c r="E10" s="774">
        <f>'C.2.2-F 09'!F10</f>
        <v>45809</v>
      </c>
      <c r="F10" s="774">
        <f>'C.2.2-F 09'!F10</f>
        <v>45809</v>
      </c>
      <c r="G10" s="774">
        <f>'C.2.2-F 09'!G10</f>
        <v>45839</v>
      </c>
      <c r="H10" s="774">
        <f>'C.2.2-F 09'!H10</f>
        <v>45870</v>
      </c>
      <c r="I10" s="774">
        <f>'C.2.2-F 09'!I10</f>
        <v>45901</v>
      </c>
      <c r="J10" s="774">
        <f>'C.2.2-F 09'!J10</f>
        <v>45931</v>
      </c>
      <c r="K10" s="774">
        <f>'C.2.2-F 09'!K10</f>
        <v>45962</v>
      </c>
      <c r="L10" s="774">
        <f>'C.2.2-F 09'!L10</f>
        <v>45992</v>
      </c>
      <c r="M10" s="774">
        <f>'C.2.2-F 09'!M10</f>
        <v>46023</v>
      </c>
      <c r="N10" s="774">
        <f>'C.2.2-F 09'!N10</f>
        <v>46054</v>
      </c>
      <c r="O10" s="774">
        <f>'C.2.2-F 09'!O10</f>
        <v>46082</v>
      </c>
      <c r="P10" s="828" t="str">
        <f>'C.2.2 B 09'!P10</f>
        <v>Total</v>
      </c>
      <c r="Q10" s="38"/>
    </row>
    <row r="11" spans="1:17">
      <c r="A11" s="1"/>
      <c r="B11" s="1"/>
      <c r="C11" s="1"/>
      <c r="D11" s="2" t="s">
        <v>140</v>
      </c>
      <c r="E11" s="2" t="s">
        <v>140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140</v>
      </c>
      <c r="K11" s="2" t="s">
        <v>140</v>
      </c>
      <c r="L11" s="2" t="s">
        <v>140</v>
      </c>
      <c r="M11" s="2" t="s">
        <v>140</v>
      </c>
      <c r="N11" s="2" t="s">
        <v>140</v>
      </c>
      <c r="O11" s="2" t="s">
        <v>140</v>
      </c>
      <c r="P11" s="2" t="s">
        <v>140</v>
      </c>
      <c r="Q11" s="2"/>
    </row>
    <row r="12" spans="1:17">
      <c r="A12" s="38">
        <v>1</v>
      </c>
      <c r="B12" s="382">
        <v>4030</v>
      </c>
      <c r="C12" s="1" t="s">
        <v>86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329">
        <f t="shared" ref="P12:P32" si="0">SUM(D12:O12)</f>
        <v>0</v>
      </c>
      <c r="Q12" s="1"/>
    </row>
    <row r="13" spans="1:17">
      <c r="A13" s="389">
        <f>A12+1</f>
        <v>2</v>
      </c>
      <c r="B13" s="382">
        <v>4081</v>
      </c>
      <c r="C13" s="1" t="s">
        <v>831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329">
        <f t="shared" si="0"/>
        <v>0</v>
      </c>
      <c r="Q13" s="1"/>
    </row>
    <row r="14" spans="1:17">
      <c r="A14" s="389">
        <f t="shared" ref="A14:A38" si="1">A13+1</f>
        <v>3</v>
      </c>
      <c r="B14" s="382">
        <v>8700</v>
      </c>
      <c r="C14" s="1" t="s">
        <v>880</v>
      </c>
      <c r="D14" s="608">
        <v>0</v>
      </c>
      <c r="E14" s="608">
        <v>0</v>
      </c>
      <c r="F14" s="608">
        <v>0</v>
      </c>
      <c r="G14" s="608">
        <v>0</v>
      </c>
      <c r="H14" s="608">
        <v>0</v>
      </c>
      <c r="I14" s="608">
        <v>0</v>
      </c>
      <c r="J14" s="608">
        <v>0</v>
      </c>
      <c r="K14" s="608">
        <v>0</v>
      </c>
      <c r="L14" s="608">
        <v>0</v>
      </c>
      <c r="M14" s="608">
        <v>0</v>
      </c>
      <c r="N14" s="608">
        <v>0</v>
      </c>
      <c r="O14" s="608">
        <v>0</v>
      </c>
      <c r="P14" s="329">
        <f t="shared" si="0"/>
        <v>0</v>
      </c>
      <c r="Q14" s="1"/>
    </row>
    <row r="15" spans="1:17">
      <c r="A15" s="389">
        <f t="shared" si="1"/>
        <v>4</v>
      </c>
      <c r="B15" s="382">
        <v>8740</v>
      </c>
      <c r="C15" s="1" t="s">
        <v>882</v>
      </c>
      <c r="D15" s="608">
        <v>1500.0000000000002</v>
      </c>
      <c r="E15" s="608">
        <v>1500.0000000000002</v>
      </c>
      <c r="F15" s="608">
        <v>1500.0000000000002</v>
      </c>
      <c r="G15" s="608">
        <v>1500.0000000000002</v>
      </c>
      <c r="H15" s="608">
        <v>1500.0000000000002</v>
      </c>
      <c r="I15" s="608">
        <v>1500.0000000000002</v>
      </c>
      <c r="J15" s="608">
        <v>1500.0000000000002</v>
      </c>
      <c r="K15" s="608">
        <v>1500.0000000000002</v>
      </c>
      <c r="L15" s="608">
        <v>1500.0000000000002</v>
      </c>
      <c r="M15" s="608">
        <v>1500.0000000000002</v>
      </c>
      <c r="N15" s="608">
        <v>1500.0000000000002</v>
      </c>
      <c r="O15" s="608">
        <v>1500.0000000000002</v>
      </c>
      <c r="P15" s="329">
        <f t="shared" si="0"/>
        <v>18000.000000000004</v>
      </c>
      <c r="Q15" s="1"/>
    </row>
    <row r="16" spans="1:17">
      <c r="A16" s="389">
        <f t="shared" si="1"/>
        <v>5</v>
      </c>
      <c r="B16" s="212">
        <v>8780</v>
      </c>
      <c r="C16" t="s">
        <v>1591</v>
      </c>
      <c r="D16" s="608">
        <v>4.9815885686970187</v>
      </c>
      <c r="E16" s="608">
        <v>4.9815885686970187</v>
      </c>
      <c r="F16" s="608">
        <v>4.9815885686970187</v>
      </c>
      <c r="G16" s="608">
        <v>4.9815885686970187</v>
      </c>
      <c r="H16" s="608">
        <v>4.9815885686970187</v>
      </c>
      <c r="I16" s="608">
        <v>4.9793969327231089</v>
      </c>
      <c r="J16" s="608">
        <v>4.9815885686970187</v>
      </c>
      <c r="K16" s="608">
        <v>4.9815885686970187</v>
      </c>
      <c r="L16" s="608">
        <v>4.9815885686970187</v>
      </c>
      <c r="M16" s="608">
        <v>4.9815885686970187</v>
      </c>
      <c r="N16" s="608">
        <v>4.9815885686970187</v>
      </c>
      <c r="O16" s="608">
        <v>4.9815885686970187</v>
      </c>
      <c r="P16" s="329">
        <f t="shared" si="0"/>
        <v>59.776871188390324</v>
      </c>
      <c r="Q16" s="81"/>
    </row>
    <row r="17" spans="1:17">
      <c r="A17" s="389">
        <f t="shared" si="1"/>
        <v>6</v>
      </c>
      <c r="B17" s="382">
        <v>8800</v>
      </c>
      <c r="C17" s="1" t="s">
        <v>888</v>
      </c>
      <c r="D17" s="608">
        <v>0</v>
      </c>
      <c r="E17" s="608">
        <v>0</v>
      </c>
      <c r="F17" s="608">
        <v>0</v>
      </c>
      <c r="G17" s="608">
        <v>0</v>
      </c>
      <c r="H17" s="608">
        <v>0</v>
      </c>
      <c r="I17" s="608">
        <v>0</v>
      </c>
      <c r="J17" s="608">
        <v>0</v>
      </c>
      <c r="K17" s="608">
        <v>0</v>
      </c>
      <c r="L17" s="608">
        <v>0</v>
      </c>
      <c r="M17" s="608">
        <v>0</v>
      </c>
      <c r="N17" s="608">
        <v>0</v>
      </c>
      <c r="O17" s="608">
        <v>0</v>
      </c>
      <c r="P17" s="329">
        <f t="shared" si="0"/>
        <v>0</v>
      </c>
      <c r="Q17" s="1"/>
    </row>
    <row r="18" spans="1:17">
      <c r="A18" s="389">
        <f t="shared" si="1"/>
        <v>7</v>
      </c>
      <c r="B18" s="212">
        <v>8810</v>
      </c>
      <c r="C18" t="s">
        <v>889</v>
      </c>
      <c r="D18" s="608">
        <v>2342.0462377763615</v>
      </c>
      <c r="E18" s="608">
        <v>2341.7404205425846</v>
      </c>
      <c r="F18" s="608">
        <v>2341.7404205425846</v>
      </c>
      <c r="G18" s="608">
        <v>2220.9426132008098</v>
      </c>
      <c r="H18" s="608">
        <v>2219.4135270319266</v>
      </c>
      <c r="I18" s="608">
        <v>2219.462457789331</v>
      </c>
      <c r="J18" s="608">
        <v>2223.3891510710228</v>
      </c>
      <c r="K18" s="608">
        <v>2219.4135270319266</v>
      </c>
      <c r="L18" s="608">
        <v>2219.4135270319266</v>
      </c>
      <c r="M18" s="608">
        <v>2220.9426132008098</v>
      </c>
      <c r="N18" s="608">
        <v>2340.5171516074784</v>
      </c>
      <c r="O18" s="608">
        <v>2341.7404205425846</v>
      </c>
      <c r="P18" s="329">
        <f t="shared" si="0"/>
        <v>27250.762067369345</v>
      </c>
      <c r="Q18" s="81"/>
    </row>
    <row r="19" spans="1:17">
      <c r="A19" s="389">
        <f t="shared" si="1"/>
        <v>8</v>
      </c>
      <c r="B19" s="212">
        <v>9100</v>
      </c>
      <c r="C19" t="s">
        <v>1606</v>
      </c>
      <c r="D19" s="608">
        <v>0</v>
      </c>
      <c r="E19" s="608">
        <v>0</v>
      </c>
      <c r="F19" s="608">
        <v>0</v>
      </c>
      <c r="G19" s="608">
        <v>0</v>
      </c>
      <c r="H19" s="608">
        <v>0</v>
      </c>
      <c r="I19" s="608">
        <v>0</v>
      </c>
      <c r="J19" s="608">
        <v>0</v>
      </c>
      <c r="K19" s="608">
        <v>0</v>
      </c>
      <c r="L19" s="608">
        <v>0</v>
      </c>
      <c r="M19" s="608">
        <v>0</v>
      </c>
      <c r="N19" s="608">
        <v>0</v>
      </c>
      <c r="O19" s="608">
        <v>0</v>
      </c>
      <c r="P19" s="329">
        <f t="shared" si="0"/>
        <v>0</v>
      </c>
      <c r="Q19" s="81"/>
    </row>
    <row r="20" spans="1:17">
      <c r="A20" s="389">
        <f t="shared" si="1"/>
        <v>9</v>
      </c>
      <c r="B20" s="382">
        <v>9010</v>
      </c>
      <c r="C20" s="1" t="s">
        <v>175</v>
      </c>
      <c r="D20" s="608">
        <v>285620.31633827992</v>
      </c>
      <c r="E20" s="608">
        <v>281143.12606674852</v>
      </c>
      <c r="F20" s="608">
        <v>269017.97884283884</v>
      </c>
      <c r="G20" s="608">
        <v>293550.09403555194</v>
      </c>
      <c r="H20" s="608">
        <v>265879.4905358018</v>
      </c>
      <c r="I20" s="608">
        <v>277999.59307724994</v>
      </c>
      <c r="J20" s="608">
        <v>302698.55375610094</v>
      </c>
      <c r="K20" s="608">
        <v>275566.78853744024</v>
      </c>
      <c r="L20" s="608">
        <v>295652.90783486003</v>
      </c>
      <c r="M20" s="608">
        <v>316639.10626821889</v>
      </c>
      <c r="N20" s="608">
        <v>273513.1290699548</v>
      </c>
      <c r="O20" s="608">
        <v>283426.75932392391</v>
      </c>
      <c r="P20" s="329">
        <f t="shared" si="0"/>
        <v>3420707.8436869695</v>
      </c>
      <c r="Q20" s="1"/>
    </row>
    <row r="21" spans="1:17">
      <c r="A21" s="389">
        <f t="shared" si="1"/>
        <v>10</v>
      </c>
      <c r="B21" s="212">
        <v>9020</v>
      </c>
      <c r="C21" s="81" t="s">
        <v>899</v>
      </c>
      <c r="D21" s="608">
        <v>-147.65134853023869</v>
      </c>
      <c r="E21" s="608">
        <v>-146.15094228710663</v>
      </c>
      <c r="F21" s="608">
        <v>-139.73506477314578</v>
      </c>
      <c r="G21" s="608">
        <v>-151.65222789458167</v>
      </c>
      <c r="H21" s="608">
        <v>-138.14635308836424</v>
      </c>
      <c r="I21" s="608">
        <v>-144.61141631576859</v>
      </c>
      <c r="J21" s="608">
        <v>-156.77001052412552</v>
      </c>
      <c r="K21" s="608">
        <v>-143.14225032717417</v>
      </c>
      <c r="L21" s="608">
        <v>-153.84360426238518</v>
      </c>
      <c r="M21" s="608">
        <v>-164.14590837407141</v>
      </c>
      <c r="N21" s="608">
        <v>-142.09164580279469</v>
      </c>
      <c r="O21" s="608">
        <v>-147.39370348600244</v>
      </c>
      <c r="P21" s="329">
        <f t="shared" si="0"/>
        <v>-1775.3344756657593</v>
      </c>
      <c r="Q21" s="1"/>
    </row>
    <row r="22" spans="1:17">
      <c r="A22" s="389">
        <f t="shared" si="1"/>
        <v>11</v>
      </c>
      <c r="B22" s="382">
        <v>9030</v>
      </c>
      <c r="C22" s="1" t="s">
        <v>903</v>
      </c>
      <c r="D22" s="608">
        <v>2526647.5530533344</v>
      </c>
      <c r="E22" s="608">
        <v>2453741.3258441882</v>
      </c>
      <c r="F22" s="608">
        <v>2347827.8397905203</v>
      </c>
      <c r="G22" s="608">
        <v>2593684.2849158207</v>
      </c>
      <c r="H22" s="608">
        <v>2320221.2078610412</v>
      </c>
      <c r="I22" s="608">
        <v>2427557.790506213</v>
      </c>
      <c r="J22" s="608">
        <v>2676990.4577278704</v>
      </c>
      <c r="K22" s="608">
        <v>2403814.3378430256</v>
      </c>
      <c r="L22" s="608">
        <v>2581301.9333904847</v>
      </c>
      <c r="M22" s="608">
        <v>2799301.5252890759</v>
      </c>
      <c r="N22" s="608">
        <v>2386568.3041178356</v>
      </c>
      <c r="O22" s="608">
        <v>2474601.5749903284</v>
      </c>
      <c r="P22" s="329">
        <f t="shared" si="0"/>
        <v>29992258.135329742</v>
      </c>
      <c r="Q22" s="1"/>
    </row>
    <row r="23" spans="1:17">
      <c r="A23" s="389">
        <f t="shared" si="1"/>
        <v>12</v>
      </c>
      <c r="B23" s="382">
        <v>9200</v>
      </c>
      <c r="C23" s="1" t="s">
        <v>176</v>
      </c>
      <c r="D23" s="608">
        <v>426069.10401423555</v>
      </c>
      <c r="E23" s="608">
        <v>421739.46700087818</v>
      </c>
      <c r="F23" s="608">
        <v>403225.53393457417</v>
      </c>
      <c r="G23" s="608">
        <v>437614.2141876489</v>
      </c>
      <c r="H23" s="608">
        <v>398641.07892749237</v>
      </c>
      <c r="I23" s="608">
        <v>417296.94441138557</v>
      </c>
      <c r="J23" s="608">
        <v>452382.30862914876</v>
      </c>
      <c r="K23" s="608">
        <v>413057.45562486484</v>
      </c>
      <c r="L23" s="608">
        <v>443937.74441532441</v>
      </c>
      <c r="M23" s="608">
        <v>473666.51781185967</v>
      </c>
      <c r="N23" s="608">
        <v>410025.78586477449</v>
      </c>
      <c r="O23" s="608">
        <v>425325.63235451712</v>
      </c>
      <c r="P23" s="329">
        <f t="shared" si="0"/>
        <v>5122981.787176704</v>
      </c>
      <c r="Q23" s="1"/>
    </row>
    <row r="24" spans="1:17">
      <c r="A24" s="389">
        <f t="shared" si="1"/>
        <v>13</v>
      </c>
      <c r="B24" s="382">
        <v>9210</v>
      </c>
      <c r="C24" s="1" t="s">
        <v>910</v>
      </c>
      <c r="D24" s="608">
        <v>789263.098633599</v>
      </c>
      <c r="E24" s="608">
        <v>738756.88153113227</v>
      </c>
      <c r="F24" s="608">
        <v>736324.30122587888</v>
      </c>
      <c r="G24" s="608">
        <v>753178.21685334982</v>
      </c>
      <c r="H24" s="608">
        <v>768176.68647554843</v>
      </c>
      <c r="I24" s="608">
        <v>723244.61544588045</v>
      </c>
      <c r="J24" s="608">
        <v>710379.95047561871</v>
      </c>
      <c r="K24" s="608">
        <v>688759.85376555589</v>
      </c>
      <c r="L24" s="608">
        <v>709551.19983445969</v>
      </c>
      <c r="M24" s="608">
        <v>747048.25010817789</v>
      </c>
      <c r="N24" s="608">
        <v>726760.60776356736</v>
      </c>
      <c r="O24" s="608">
        <v>744279.90023760952</v>
      </c>
      <c r="P24" s="329">
        <f t="shared" si="0"/>
        <v>8835723.5623503756</v>
      </c>
      <c r="Q24" s="1"/>
    </row>
    <row r="25" spans="1:17">
      <c r="A25" s="389">
        <f t="shared" si="1"/>
        <v>14</v>
      </c>
      <c r="B25" s="382">
        <v>9220</v>
      </c>
      <c r="C25" s="1" t="s">
        <v>911</v>
      </c>
      <c r="D25" s="332">
        <f t="shared" ref="D25:O25" si="2">-(SUM(D12:D24)+SUM(D26:D32))</f>
        <v>-5225416.1672970261</v>
      </c>
      <c r="E25" s="332">
        <f t="shared" si="2"/>
        <v>-5186784.1975538274</v>
      </c>
      <c r="F25" s="332">
        <f t="shared" si="2"/>
        <v>-4891108.9974804604</v>
      </c>
      <c r="G25" s="332">
        <f t="shared" si="2"/>
        <v>-5665226.6725393087</v>
      </c>
      <c r="H25" s="332">
        <f t="shared" si="2"/>
        <v>-4663023.2289426913</v>
      </c>
      <c r="I25" s="332">
        <f t="shared" si="2"/>
        <v>-4787882.7554179085</v>
      </c>
      <c r="J25" s="332">
        <f t="shared" si="2"/>
        <v>-5318363.7589636715</v>
      </c>
      <c r="K25" s="332">
        <f t="shared" si="2"/>
        <v>-4954204.6343892869</v>
      </c>
      <c r="L25" s="332">
        <f t="shared" si="2"/>
        <v>-5302055.7062396295</v>
      </c>
      <c r="M25" s="332">
        <f t="shared" si="2"/>
        <v>-5693376.4250595551</v>
      </c>
      <c r="N25" s="332">
        <f t="shared" si="2"/>
        <v>-5008086.8135767672</v>
      </c>
      <c r="O25" s="332">
        <f t="shared" si="2"/>
        <v>-5133552.9741452951</v>
      </c>
      <c r="P25" s="329">
        <f t="shared" si="0"/>
        <v>-61829082.331605427</v>
      </c>
      <c r="Q25" s="1"/>
    </row>
    <row r="26" spans="1:17">
      <c r="A26" s="389">
        <f t="shared" si="1"/>
        <v>15</v>
      </c>
      <c r="B26" s="382">
        <v>9230</v>
      </c>
      <c r="C26" s="1" t="s">
        <v>912</v>
      </c>
      <c r="D26" s="608">
        <v>68938.052581220909</v>
      </c>
      <c r="E26" s="608">
        <v>67212.459725854467</v>
      </c>
      <c r="F26" s="608">
        <v>66749.71601273265</v>
      </c>
      <c r="G26" s="608">
        <v>58122.073027810766</v>
      </c>
      <c r="H26" s="608">
        <v>57970.978994297293</v>
      </c>
      <c r="I26" s="608">
        <v>58083.517998569398</v>
      </c>
      <c r="J26" s="608">
        <v>57564.017114293034</v>
      </c>
      <c r="K26" s="608">
        <v>57493.660438094441</v>
      </c>
      <c r="L26" s="608">
        <v>57516.051531833327</v>
      </c>
      <c r="M26" s="608">
        <v>57719.07710567928</v>
      </c>
      <c r="N26" s="608">
        <v>57679.291441585636</v>
      </c>
      <c r="O26" s="608">
        <v>66763.957059569555</v>
      </c>
      <c r="P26" s="329">
        <f t="shared" si="0"/>
        <v>731812.85303154076</v>
      </c>
      <c r="Q26" s="1"/>
    </row>
    <row r="27" spans="1:17">
      <c r="A27" s="389">
        <f t="shared" si="1"/>
        <v>16</v>
      </c>
      <c r="B27" s="382">
        <v>9240</v>
      </c>
      <c r="C27" s="1" t="s">
        <v>913</v>
      </c>
      <c r="D27" s="608">
        <v>0</v>
      </c>
      <c r="E27" s="608">
        <v>0</v>
      </c>
      <c r="F27" s="608">
        <v>0</v>
      </c>
      <c r="G27" s="608">
        <v>0</v>
      </c>
      <c r="H27" s="608">
        <v>0</v>
      </c>
      <c r="I27" s="608">
        <v>0</v>
      </c>
      <c r="J27" s="608">
        <v>0</v>
      </c>
      <c r="K27" s="608">
        <v>0</v>
      </c>
      <c r="L27" s="608">
        <v>0</v>
      </c>
      <c r="M27" s="608">
        <v>0</v>
      </c>
      <c r="N27" s="608">
        <v>0</v>
      </c>
      <c r="O27" s="608">
        <v>0</v>
      </c>
      <c r="P27" s="329">
        <f t="shared" si="0"/>
        <v>0</v>
      </c>
      <c r="Q27" s="1"/>
    </row>
    <row r="28" spans="1:17">
      <c r="A28" s="389">
        <f t="shared" si="1"/>
        <v>17</v>
      </c>
      <c r="B28" s="212">
        <v>9250</v>
      </c>
      <c r="C28" t="s">
        <v>914</v>
      </c>
      <c r="D28" s="608">
        <v>0</v>
      </c>
      <c r="E28" s="608">
        <v>0</v>
      </c>
      <c r="F28" s="608">
        <v>0</v>
      </c>
      <c r="G28" s="608">
        <v>0</v>
      </c>
      <c r="H28" s="608">
        <v>0</v>
      </c>
      <c r="I28" s="608">
        <v>0</v>
      </c>
      <c r="J28" s="608">
        <v>0</v>
      </c>
      <c r="K28" s="608">
        <v>0</v>
      </c>
      <c r="L28" s="608">
        <v>0</v>
      </c>
      <c r="M28" s="608">
        <v>0</v>
      </c>
      <c r="N28" s="608">
        <v>0</v>
      </c>
      <c r="O28" s="608">
        <v>0</v>
      </c>
      <c r="P28" s="329">
        <f t="shared" si="0"/>
        <v>0</v>
      </c>
      <c r="Q28" s="1"/>
    </row>
    <row r="29" spans="1:17">
      <c r="A29" s="389">
        <f t="shared" si="1"/>
        <v>18</v>
      </c>
      <c r="B29" s="382">
        <v>9260</v>
      </c>
      <c r="C29" s="1" t="s">
        <v>915</v>
      </c>
      <c r="D29" s="608">
        <v>1006280.0494373047</v>
      </c>
      <c r="E29" s="608">
        <v>1101737.2822027169</v>
      </c>
      <c r="F29" s="608">
        <v>945503.55661409372</v>
      </c>
      <c r="G29" s="608">
        <v>1412709.8904297112</v>
      </c>
      <c r="H29" s="608">
        <v>735944.96123186965</v>
      </c>
      <c r="I29" s="608">
        <v>767527.65311057621</v>
      </c>
      <c r="J29" s="608">
        <v>1001868.3355627197</v>
      </c>
      <c r="K29" s="608">
        <v>999348.98600645026</v>
      </c>
      <c r="L29" s="608">
        <v>1097936.9426256672</v>
      </c>
      <c r="M29" s="608">
        <v>1182646.8204670832</v>
      </c>
      <c r="N29" s="608">
        <v>1031143.9045822469</v>
      </c>
      <c r="O29" s="608">
        <v>1016701.7711059719</v>
      </c>
      <c r="P29" s="329">
        <f t="shared" si="0"/>
        <v>12299350.15337641</v>
      </c>
      <c r="Q29" s="1"/>
    </row>
    <row r="30" spans="1:17">
      <c r="A30" s="389">
        <f t="shared" si="1"/>
        <v>19</v>
      </c>
      <c r="B30" s="212">
        <v>9302</v>
      </c>
      <c r="C30" t="s">
        <v>1607</v>
      </c>
      <c r="D30" s="608">
        <v>791</v>
      </c>
      <c r="E30" s="608">
        <v>666</v>
      </c>
      <c r="F30" s="608">
        <v>666</v>
      </c>
      <c r="G30" s="608">
        <v>791</v>
      </c>
      <c r="H30" s="608">
        <v>666</v>
      </c>
      <c r="I30" s="608">
        <v>664</v>
      </c>
      <c r="J30" s="608">
        <v>791</v>
      </c>
      <c r="K30" s="608">
        <v>666</v>
      </c>
      <c r="L30" s="608">
        <v>666</v>
      </c>
      <c r="M30" s="608">
        <v>791</v>
      </c>
      <c r="N30" s="608">
        <v>666</v>
      </c>
      <c r="O30" s="608">
        <v>666</v>
      </c>
      <c r="P30" s="329">
        <f>SUM(D30:O30)</f>
        <v>8490</v>
      </c>
      <c r="Q30" s="81"/>
    </row>
    <row r="31" spans="1:17">
      <c r="A31" s="389">
        <f t="shared" si="1"/>
        <v>20</v>
      </c>
      <c r="B31" s="382">
        <v>9310</v>
      </c>
      <c r="C31" s="1" t="s">
        <v>178</v>
      </c>
      <c r="D31" s="608">
        <v>117994.34872322148</v>
      </c>
      <c r="E31" s="608">
        <v>117978.94138209141</v>
      </c>
      <c r="F31" s="608">
        <v>117978.94138209141</v>
      </c>
      <c r="G31" s="608">
        <v>111893.0416357146</v>
      </c>
      <c r="H31" s="608">
        <v>111816.00493006426</v>
      </c>
      <c r="I31" s="608">
        <v>111818.47010464506</v>
      </c>
      <c r="J31" s="608">
        <v>112016.30036475514</v>
      </c>
      <c r="K31" s="608">
        <v>111816.00493006426</v>
      </c>
      <c r="L31" s="608">
        <v>111816.00493006426</v>
      </c>
      <c r="M31" s="608">
        <v>111893.0416357146</v>
      </c>
      <c r="N31" s="608">
        <v>117917.31201757115</v>
      </c>
      <c r="O31" s="608">
        <v>117978.94138209141</v>
      </c>
      <c r="P31" s="329">
        <f t="shared" si="0"/>
        <v>1372917.3534180892</v>
      </c>
      <c r="Q31" s="329"/>
    </row>
    <row r="32" spans="1:17">
      <c r="A32" s="389">
        <f t="shared" si="1"/>
        <v>21</v>
      </c>
      <c r="B32" s="382">
        <v>9320</v>
      </c>
      <c r="C32" s="1" t="s">
        <v>179</v>
      </c>
      <c r="D32" s="608">
        <v>113.26803801572026</v>
      </c>
      <c r="E32" s="608">
        <v>108.14273339256749</v>
      </c>
      <c r="F32" s="608">
        <v>108.14273339256749</v>
      </c>
      <c r="G32" s="608">
        <v>109.58547982590312</v>
      </c>
      <c r="H32" s="608">
        <v>120.5712240641576</v>
      </c>
      <c r="I32" s="608">
        <v>110.34032498305419</v>
      </c>
      <c r="J32" s="608">
        <v>101.23460404981975</v>
      </c>
      <c r="K32" s="608">
        <v>100.29437851714366</v>
      </c>
      <c r="L32" s="608">
        <v>106.37016559818858</v>
      </c>
      <c r="M32" s="608">
        <v>109.30808034968732</v>
      </c>
      <c r="N32" s="608">
        <v>109.07162485806772</v>
      </c>
      <c r="O32" s="608">
        <v>109.10938565770761</v>
      </c>
      <c r="P32" s="329">
        <f t="shared" si="0"/>
        <v>1305.4387727045848</v>
      </c>
      <c r="Q32" s="1"/>
    </row>
    <row r="33" spans="1:17">
      <c r="A33" s="389">
        <f t="shared" si="1"/>
        <v>22</v>
      </c>
      <c r="B33" s="1"/>
      <c r="C33" s="460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"/>
      <c r="Q33" s="1"/>
    </row>
    <row r="34" spans="1:17" ht="15.75" thickBot="1">
      <c r="A34" s="389">
        <f t="shared" si="1"/>
        <v>23</v>
      </c>
      <c r="B34" s="1" t="s">
        <v>706</v>
      </c>
      <c r="C34" s="460"/>
      <c r="D34" s="827">
        <f t="shared" ref="D34:P34" si="3">SUM(D12:D33)</f>
        <v>5.3148596634855494E-11</v>
      </c>
      <c r="E34" s="827">
        <f t="shared" si="3"/>
        <v>-2.9115199140505865E-10</v>
      </c>
      <c r="F34" s="827">
        <f t="shared" si="3"/>
        <v>-5.8321347751189023E-11</v>
      </c>
      <c r="G34" s="827">
        <f t="shared" si="3"/>
        <v>2.9899638320785016E-10</v>
      </c>
      <c r="H34" s="827">
        <f t="shared" si="3"/>
        <v>-2.3396751203108579E-10</v>
      </c>
      <c r="I34" s="827">
        <f t="shared" si="3"/>
        <v>2.2805579646956176E-10</v>
      </c>
      <c r="J34" s="827">
        <f t="shared" si="3"/>
        <v>3.8940584090596531E-10</v>
      </c>
      <c r="K34" s="827">
        <f t="shared" si="3"/>
        <v>-2.2654944586975034E-10</v>
      </c>
      <c r="L34" s="827">
        <f t="shared" si="3"/>
        <v>-2.1555024432018399E-10</v>
      </c>
      <c r="M34" s="827">
        <f t="shared" si="3"/>
        <v>2.2737367544323206E-12</v>
      </c>
      <c r="N34" s="827">
        <f t="shared" si="3"/>
        <v>1.9942092421842972E-10</v>
      </c>
      <c r="O34" s="827">
        <f t="shared" si="3"/>
        <v>-2.0241941456333734E-10</v>
      </c>
      <c r="P34" s="827">
        <f t="shared" si="3"/>
        <v>-1.0027179087046534E-10</v>
      </c>
      <c r="Q34" s="475"/>
    </row>
    <row r="35" spans="1:17" ht="15.75" thickTop="1">
      <c r="A35" s="389">
        <f t="shared" si="1"/>
        <v>24</v>
      </c>
      <c r="B35" s="1"/>
      <c r="C35" s="46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389">
        <f t="shared" si="1"/>
        <v>25</v>
      </c>
      <c r="B36" s="829">
        <f t="shared" ref="B36:O36" si="4">B25</f>
        <v>9220</v>
      </c>
      <c r="C36" s="329" t="str">
        <f t="shared" si="4"/>
        <v>A&amp;G-Administrative expense transferred-Credit</v>
      </c>
      <c r="D36" s="329">
        <f t="shared" si="4"/>
        <v>-5225416.1672970261</v>
      </c>
      <c r="E36" s="329">
        <f t="shared" si="4"/>
        <v>-5186784.1975538274</v>
      </c>
      <c r="F36" s="329">
        <f t="shared" si="4"/>
        <v>-4891108.9974804604</v>
      </c>
      <c r="G36" s="329">
        <f t="shared" si="4"/>
        <v>-5665226.6725393087</v>
      </c>
      <c r="H36" s="329">
        <f t="shared" si="4"/>
        <v>-4663023.2289426913</v>
      </c>
      <c r="I36" s="329">
        <f t="shared" si="4"/>
        <v>-4787882.7554179085</v>
      </c>
      <c r="J36" s="329">
        <f t="shared" si="4"/>
        <v>-5318363.7589636715</v>
      </c>
      <c r="K36" s="329">
        <f t="shared" si="4"/>
        <v>-4954204.6343892869</v>
      </c>
      <c r="L36" s="329">
        <f t="shared" si="4"/>
        <v>-5302055.7062396295</v>
      </c>
      <c r="M36" s="329">
        <f t="shared" si="4"/>
        <v>-5693376.4250595551</v>
      </c>
      <c r="N36" s="329">
        <f t="shared" si="4"/>
        <v>-5008086.8135767672</v>
      </c>
      <c r="O36" s="329">
        <f t="shared" si="4"/>
        <v>-5133552.9741452951</v>
      </c>
      <c r="P36" s="329">
        <f>SUM(D36:O36)</f>
        <v>-61829082.331605427</v>
      </c>
      <c r="Q36" s="1"/>
    </row>
    <row r="37" spans="1:17">
      <c r="A37" s="389">
        <f t="shared" si="1"/>
        <v>26</v>
      </c>
      <c r="B37" s="1"/>
      <c r="C37" s="1" t="s">
        <v>189</v>
      </c>
      <c r="D37" s="832">
        <f>Allocation!$E$15</f>
        <v>5.3105399999999997E-2</v>
      </c>
      <c r="E37" s="831">
        <f>D37</f>
        <v>5.3105399999999997E-2</v>
      </c>
      <c r="F37" s="831">
        <f t="shared" ref="F37:O37" si="5">E37</f>
        <v>5.3105399999999997E-2</v>
      </c>
      <c r="G37" s="831">
        <f t="shared" si="5"/>
        <v>5.3105399999999997E-2</v>
      </c>
      <c r="H37" s="831">
        <f t="shared" si="5"/>
        <v>5.3105399999999997E-2</v>
      </c>
      <c r="I37" s="831">
        <f t="shared" si="5"/>
        <v>5.3105399999999997E-2</v>
      </c>
      <c r="J37" s="831">
        <f t="shared" si="5"/>
        <v>5.3105399999999997E-2</v>
      </c>
      <c r="K37" s="831">
        <f t="shared" si="5"/>
        <v>5.3105399999999997E-2</v>
      </c>
      <c r="L37" s="831">
        <f t="shared" si="5"/>
        <v>5.3105399999999997E-2</v>
      </c>
      <c r="M37" s="831">
        <f t="shared" si="5"/>
        <v>5.3105399999999997E-2</v>
      </c>
      <c r="N37" s="831">
        <f t="shared" si="5"/>
        <v>5.3105399999999997E-2</v>
      </c>
      <c r="O37" s="831">
        <f t="shared" si="5"/>
        <v>5.3105399999999997E-2</v>
      </c>
      <c r="P37" s="1"/>
      <c r="Q37" s="481"/>
    </row>
    <row r="38" spans="1:17">
      <c r="A38" s="389">
        <f t="shared" si="1"/>
        <v>27</v>
      </c>
      <c r="B38" s="1"/>
      <c r="C38" s="1" t="s">
        <v>202</v>
      </c>
      <c r="D38" s="329">
        <f>D36*D37</f>
        <v>-277497.81573077547</v>
      </c>
      <c r="E38" s="329">
        <f t="shared" ref="E38:O38" si="6">E36*E37</f>
        <v>-275446.24952477502</v>
      </c>
      <c r="F38" s="329">
        <f t="shared" si="6"/>
        <v>-259744.29975479882</v>
      </c>
      <c r="G38" s="329">
        <f t="shared" si="6"/>
        <v>-300854.12853586901</v>
      </c>
      <c r="H38" s="329">
        <f t="shared" si="6"/>
        <v>-247631.7137822932</v>
      </c>
      <c r="I38" s="329">
        <f t="shared" si="6"/>
        <v>-254262.42887957019</v>
      </c>
      <c r="J38" s="329">
        <f t="shared" si="6"/>
        <v>-282433.83476526936</v>
      </c>
      <c r="K38" s="329">
        <f t="shared" si="6"/>
        <v>-263095.01879109681</v>
      </c>
      <c r="L38" s="329">
        <f t="shared" si="6"/>
        <v>-281567.78910213802</v>
      </c>
      <c r="M38" s="329">
        <f t="shared" si="6"/>
        <v>-302349.03240335768</v>
      </c>
      <c r="N38" s="329">
        <f t="shared" si="6"/>
        <v>-265956.45346971962</v>
      </c>
      <c r="O38" s="329">
        <f t="shared" si="6"/>
        <v>-272619.38411317556</v>
      </c>
      <c r="P38" s="329">
        <f>SUM(D38:O38)</f>
        <v>-3283458.1488528391</v>
      </c>
      <c r="Q38" s="442"/>
    </row>
    <row r="39" spans="1:17">
      <c r="A39" s="1"/>
      <c r="B39" s="1"/>
      <c r="C39" s="46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64"/>
      <c r="Q39" s="1"/>
    </row>
    <row r="40" spans="1:17">
      <c r="A40" s="1"/>
      <c r="B40" s="1" t="s">
        <v>535</v>
      </c>
      <c r="C40" s="46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460"/>
      <c r="D41" s="475"/>
      <c r="E41" s="475"/>
      <c r="F41" s="475"/>
      <c r="G41" s="475"/>
      <c r="H41" s="475"/>
      <c r="I41" s="475"/>
      <c r="J41" s="475"/>
      <c r="K41" s="475"/>
      <c r="L41" s="475"/>
      <c r="M41" s="475"/>
      <c r="N41" s="475"/>
      <c r="O41" s="475"/>
      <c r="P41" s="475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8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 t="s">
        <v>919</v>
      </c>
      <c r="C45" s="1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1"/>
      <c r="Q45" s="1"/>
    </row>
    <row r="46" spans="1:17">
      <c r="A46" s="1"/>
      <c r="B46" t="s">
        <v>1671</v>
      </c>
      <c r="C46" s="1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1"/>
      <c r="Q46" s="1"/>
    </row>
    <row r="47" spans="1:17">
      <c r="A47" s="1"/>
      <c r="B47" s="1"/>
      <c r="C47" s="1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1"/>
      <c r="Q47" s="1"/>
    </row>
    <row r="48" spans="1:17">
      <c r="A48" s="1"/>
    </row>
    <row r="49" spans="1:1">
      <c r="A49" s="1"/>
    </row>
  </sheetData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5" header="0.5" footer="0.25"/>
  <pageSetup scale="52" fitToHeight="2" orientation="landscape" verticalDpi="300" r:id="rId1"/>
  <headerFooter alignWithMargins="0">
    <oddFooter>&amp;RSchedule &amp;A
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>
    <tabColor rgb="FF92D050"/>
    <pageSetUpPr fitToPage="1"/>
  </sheetPr>
  <dimension ref="A1:Q96"/>
  <sheetViews>
    <sheetView view="pageBreakPreview" topLeftCell="A33" zoomScale="80" zoomScaleNormal="100" zoomScaleSheetLayoutView="80" workbookViewId="0">
      <selection activeCell="B72" sqref="B72"/>
    </sheetView>
  </sheetViews>
  <sheetFormatPr defaultColWidth="7.109375" defaultRowHeight="15"/>
  <cols>
    <col min="1" max="1" width="4.6640625" customWidth="1"/>
    <col min="2" max="2" width="7.21875" customWidth="1"/>
    <col min="3" max="3" width="64.33203125" customWidth="1"/>
    <col min="4" max="5" width="11.109375" customWidth="1"/>
    <col min="6" max="6" width="11.77734375" bestFit="1" customWidth="1"/>
    <col min="7" max="7" width="11.33203125" bestFit="1" customWidth="1"/>
    <col min="8" max="8" width="11.109375" customWidth="1"/>
    <col min="9" max="9" width="12" bestFit="1" customWidth="1"/>
    <col min="10" max="13" width="11.33203125" bestFit="1" customWidth="1"/>
    <col min="14" max="14" width="10" customWidth="1"/>
    <col min="15" max="15" width="10.77734375" customWidth="1"/>
    <col min="16" max="16" width="12.44140625" customWidth="1"/>
    <col min="17" max="17" width="12.5546875" customWidth="1"/>
    <col min="19" max="19" width="8.109375" customWidth="1"/>
    <col min="20" max="20" width="8.77734375" customWidth="1"/>
  </cols>
  <sheetData>
    <row r="1" spans="1:17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"/>
    </row>
    <row r="2" spans="1:17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"/>
    </row>
    <row r="3" spans="1:17" ht="15.75">
      <c r="A3" s="1072" t="s">
        <v>184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"/>
    </row>
    <row r="4" spans="1:17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"/>
    </row>
    <row r="5" spans="1:17">
      <c r="A5" s="1"/>
      <c r="B5" s="25"/>
      <c r="C5" s="25"/>
      <c r="D5" s="25"/>
      <c r="E5" s="25"/>
      <c r="F5" s="25"/>
      <c r="G5" s="456"/>
      <c r="H5" s="25"/>
      <c r="I5" s="25"/>
      <c r="J5" s="25"/>
      <c r="K5" s="25"/>
      <c r="L5" s="25"/>
      <c r="M5" s="25"/>
      <c r="N5" s="25"/>
      <c r="O5" s="25"/>
      <c r="P5" s="1"/>
      <c r="Q5" s="1"/>
    </row>
    <row r="6" spans="1:17">
      <c r="A6" s="699" t="str">
        <f>'C.2.1 F'!A6</f>
        <v>Data:________Base Period___X____Forecasted Period</v>
      </c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4" t="s">
        <v>1343</v>
      </c>
      <c r="Q6" s="1"/>
    </row>
    <row r="7" spans="1:17" ht="15.75">
      <c r="A7" s="699" t="str">
        <f>'C.2.1 F'!A7</f>
        <v>Type of Filing:___X____Original________Updated ________Revised</v>
      </c>
      <c r="B7" s="1"/>
      <c r="C7" s="4"/>
      <c r="D7" s="1"/>
      <c r="E7" s="1"/>
      <c r="F7" s="330"/>
      <c r="G7" s="1"/>
      <c r="H7" s="1"/>
      <c r="I7" s="1"/>
      <c r="J7" s="1"/>
      <c r="K7" s="1"/>
      <c r="L7" s="1"/>
      <c r="M7" s="1"/>
      <c r="N7" s="1"/>
      <c r="O7" s="1"/>
      <c r="P7" s="283" t="s">
        <v>35</v>
      </c>
      <c r="Q7" s="1"/>
    </row>
    <row r="8" spans="1:17">
      <c r="A8" s="717" t="str">
        <f>'C.2.1 F'!A8</f>
        <v>Workpaper Reference No(s).____________________</v>
      </c>
      <c r="B8" s="28"/>
      <c r="C8" s="5"/>
      <c r="D8" s="6"/>
      <c r="E8" s="6"/>
      <c r="F8" s="6"/>
      <c r="G8" s="6"/>
      <c r="H8" s="6"/>
      <c r="I8" s="6"/>
      <c r="J8" s="6"/>
      <c r="K8" s="6"/>
      <c r="L8" s="6"/>
      <c r="M8" s="28"/>
      <c r="N8" s="28"/>
      <c r="O8" s="28"/>
      <c r="P8" s="801" t="str">
        <f>C.1!J9</f>
        <v>Witness: Waller, Wiebe, Troup</v>
      </c>
      <c r="Q8" s="1"/>
    </row>
    <row r="9" spans="1:17">
      <c r="A9" s="135" t="s">
        <v>88</v>
      </c>
      <c r="B9" s="42" t="s">
        <v>95</v>
      </c>
      <c r="C9" s="477"/>
      <c r="D9" s="469" t="s">
        <v>41</v>
      </c>
      <c r="E9" s="37" t="s">
        <v>41</v>
      </c>
      <c r="F9" s="37" t="s">
        <v>41</v>
      </c>
      <c r="G9" s="37" t="s">
        <v>41</v>
      </c>
      <c r="H9" s="37" t="s">
        <v>41</v>
      </c>
      <c r="I9" s="37" t="s">
        <v>41</v>
      </c>
      <c r="J9" s="37" t="s">
        <v>41</v>
      </c>
      <c r="K9" s="37" t="s">
        <v>41</v>
      </c>
      <c r="L9" s="37" t="s">
        <v>41</v>
      </c>
      <c r="M9" s="37" t="s">
        <v>41</v>
      </c>
      <c r="N9" s="37" t="s">
        <v>41</v>
      </c>
      <c r="O9" s="37" t="s">
        <v>41</v>
      </c>
      <c r="P9" s="478"/>
      <c r="Q9" s="1"/>
    </row>
    <row r="10" spans="1:17">
      <c r="A10" s="229" t="s">
        <v>94</v>
      </c>
      <c r="B10" s="28" t="s">
        <v>94</v>
      </c>
      <c r="C10" s="479" t="s">
        <v>918</v>
      </c>
      <c r="D10" s="774">
        <f>'C.2.2-F 09'!D10</f>
        <v>45748</v>
      </c>
      <c r="E10" s="774">
        <f>'C.2.2-F 09'!F10</f>
        <v>45809</v>
      </c>
      <c r="F10" s="774">
        <f>'C.2.2-F 09'!F10</f>
        <v>45809</v>
      </c>
      <c r="G10" s="774">
        <f>'C.2.2-F 09'!G10</f>
        <v>45839</v>
      </c>
      <c r="H10" s="774">
        <f>'C.2.2-F 09'!H10</f>
        <v>45870</v>
      </c>
      <c r="I10" s="774">
        <f>'C.2.2-F 09'!I10</f>
        <v>45901</v>
      </c>
      <c r="J10" s="774">
        <f>'C.2.2-F 09'!J10</f>
        <v>45931</v>
      </c>
      <c r="K10" s="774">
        <f>'C.2.2-F 09'!K10</f>
        <v>45962</v>
      </c>
      <c r="L10" s="774">
        <f>'C.2.2-F 09'!L10</f>
        <v>45992</v>
      </c>
      <c r="M10" s="774">
        <f>'C.2.2-F 09'!M10</f>
        <v>46023</v>
      </c>
      <c r="N10" s="774">
        <f>'C.2.2-F 09'!N10</f>
        <v>46054</v>
      </c>
      <c r="O10" s="774">
        <f>'C.2.2-F 09'!O10</f>
        <v>46082</v>
      </c>
      <c r="P10" s="828" t="str">
        <f>'C.2.2 B 09'!P10</f>
        <v>Total</v>
      </c>
      <c r="Q10" s="38"/>
    </row>
    <row r="11" spans="1:17">
      <c r="A11" s="1"/>
      <c r="B11" s="1"/>
      <c r="C11" s="1"/>
      <c r="D11" s="2" t="s">
        <v>140</v>
      </c>
      <c r="E11" s="2" t="s">
        <v>140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140</v>
      </c>
      <c r="K11" s="2" t="s">
        <v>140</v>
      </c>
      <c r="L11" s="2" t="s">
        <v>140</v>
      </c>
      <c r="M11" s="2" t="s">
        <v>140</v>
      </c>
      <c r="N11" s="2" t="s">
        <v>140</v>
      </c>
      <c r="O11" s="2" t="s">
        <v>140</v>
      </c>
      <c r="P11" s="2" t="s">
        <v>140</v>
      </c>
      <c r="Q11" s="2"/>
    </row>
    <row r="12" spans="1:17">
      <c r="A12" s="38">
        <v>1</v>
      </c>
      <c r="B12" s="382">
        <v>4030</v>
      </c>
      <c r="C12" s="1" t="s">
        <v>86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345">
        <f t="shared" ref="P12:P57" si="0">SUM(D12:O12)</f>
        <v>0</v>
      </c>
      <c r="Q12" s="1"/>
    </row>
    <row r="13" spans="1:17">
      <c r="A13" s="389">
        <f>A12+1</f>
        <v>2</v>
      </c>
      <c r="B13" s="178">
        <v>4060</v>
      </c>
      <c r="C13" s="30" t="s">
        <v>830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48"/>
      <c r="Q13" s="1"/>
    </row>
    <row r="14" spans="1:17">
      <c r="A14" s="389">
        <f t="shared" ref="A14:A63" si="1">A13+1</f>
        <v>3</v>
      </c>
      <c r="B14" s="382">
        <v>4081</v>
      </c>
      <c r="C14" s="1" t="s">
        <v>831</v>
      </c>
      <c r="D14" s="230">
        <v>0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345">
        <f t="shared" si="0"/>
        <v>0</v>
      </c>
      <c r="Q14" s="617"/>
    </row>
    <row r="15" spans="1:17">
      <c r="A15" s="389">
        <f t="shared" si="1"/>
        <v>4</v>
      </c>
      <c r="B15" s="382">
        <v>8170</v>
      </c>
      <c r="C15" s="1" t="s">
        <v>854</v>
      </c>
      <c r="D15" s="608">
        <v>108.42961445251601</v>
      </c>
      <c r="E15" s="608">
        <v>108.55935390257227</v>
      </c>
      <c r="F15" s="608">
        <v>126.45175454811957</v>
      </c>
      <c r="G15" s="608">
        <v>107.28021321113457</v>
      </c>
      <c r="H15" s="608">
        <v>115.96279734114816</v>
      </c>
      <c r="I15" s="608">
        <v>117.70941819176755</v>
      </c>
      <c r="J15" s="608">
        <v>107.57807261349424</v>
      </c>
      <c r="K15" s="608">
        <v>111.19197344437158</v>
      </c>
      <c r="L15" s="608">
        <v>114.24303119834447</v>
      </c>
      <c r="M15" s="608">
        <v>112.51423614807834</v>
      </c>
      <c r="N15" s="608">
        <v>108.68056283169314</v>
      </c>
      <c r="O15" s="608">
        <v>115.42611018106905</v>
      </c>
      <c r="P15" s="329">
        <f t="shared" si="0"/>
        <v>1354.0271380643089</v>
      </c>
      <c r="Q15" s="617"/>
    </row>
    <row r="16" spans="1:17">
      <c r="A16" s="389">
        <f t="shared" si="1"/>
        <v>5</v>
      </c>
      <c r="B16" s="382">
        <v>8180</v>
      </c>
      <c r="C16" s="1" t="s">
        <v>855</v>
      </c>
      <c r="D16" s="608">
        <v>136.60930615326924</v>
      </c>
      <c r="E16" s="608">
        <v>136.77276349232181</v>
      </c>
      <c r="F16" s="608">
        <v>159.3152068086257</v>
      </c>
      <c r="G16" s="608">
        <v>135.16118787977325</v>
      </c>
      <c r="H16" s="608">
        <v>146.10028232926959</v>
      </c>
      <c r="I16" s="608">
        <v>148.30083117121376</v>
      </c>
      <c r="J16" s="608">
        <v>135.53645774025404</v>
      </c>
      <c r="K16" s="608">
        <v>140.08957256507051</v>
      </c>
      <c r="L16" s="608">
        <v>143.93356744514369</v>
      </c>
      <c r="M16" s="608">
        <v>141.75547713752314</v>
      </c>
      <c r="N16" s="608">
        <v>136.92547331970979</v>
      </c>
      <c r="O16" s="608">
        <v>145.42411594308464</v>
      </c>
      <c r="P16" s="329">
        <f t="shared" si="0"/>
        <v>1705.9242419852592</v>
      </c>
      <c r="Q16" s="617"/>
    </row>
    <row r="17" spans="1:17">
      <c r="A17" s="389">
        <f t="shared" si="1"/>
        <v>6</v>
      </c>
      <c r="B17" s="382">
        <v>8190</v>
      </c>
      <c r="C17" s="1" t="s">
        <v>856</v>
      </c>
      <c r="D17" s="608">
        <v>0</v>
      </c>
      <c r="E17" s="608">
        <v>0</v>
      </c>
      <c r="F17" s="608">
        <v>0</v>
      </c>
      <c r="G17" s="608">
        <v>0</v>
      </c>
      <c r="H17" s="608">
        <v>0</v>
      </c>
      <c r="I17" s="608">
        <v>0</v>
      </c>
      <c r="J17" s="608">
        <v>0</v>
      </c>
      <c r="K17" s="608">
        <v>0</v>
      </c>
      <c r="L17" s="608">
        <v>0</v>
      </c>
      <c r="M17" s="608">
        <v>0</v>
      </c>
      <c r="N17" s="608">
        <v>0</v>
      </c>
      <c r="O17" s="608">
        <v>0</v>
      </c>
      <c r="P17" s="329">
        <f t="shared" si="0"/>
        <v>0</v>
      </c>
      <c r="Q17" s="617"/>
    </row>
    <row r="18" spans="1:17">
      <c r="A18" s="389">
        <f t="shared" si="1"/>
        <v>7</v>
      </c>
      <c r="B18" s="382">
        <v>8210</v>
      </c>
      <c r="C18" s="1" t="s">
        <v>858</v>
      </c>
      <c r="D18" s="608">
        <v>245.10955623461339</v>
      </c>
      <c r="E18" s="608">
        <v>245.40283754147757</v>
      </c>
      <c r="F18" s="608">
        <v>285.84933736853884</v>
      </c>
      <c r="G18" s="608">
        <v>242.5112879512387</v>
      </c>
      <c r="H18" s="608">
        <v>262.13862273263561</v>
      </c>
      <c r="I18" s="608">
        <v>266.08693024776494</v>
      </c>
      <c r="J18" s="608">
        <v>243.18461125226969</v>
      </c>
      <c r="K18" s="608">
        <v>251.35398115554608</v>
      </c>
      <c r="L18" s="608">
        <v>258.2510213774309</v>
      </c>
      <c r="M18" s="608">
        <v>254.34300980945753</v>
      </c>
      <c r="N18" s="608">
        <v>245.67683525860031</v>
      </c>
      <c r="O18" s="608">
        <v>260.92541956569625</v>
      </c>
      <c r="P18" s="329">
        <f t="shared" si="0"/>
        <v>3060.8334504952704</v>
      </c>
      <c r="Q18" s="617"/>
    </row>
    <row r="19" spans="1:17">
      <c r="A19" s="389">
        <f t="shared" si="1"/>
        <v>8</v>
      </c>
      <c r="B19" s="382">
        <v>8240</v>
      </c>
      <c r="C19" s="1" t="s">
        <v>859</v>
      </c>
      <c r="D19" s="608">
        <v>0</v>
      </c>
      <c r="E19" s="608">
        <v>0</v>
      </c>
      <c r="F19" s="608">
        <v>0</v>
      </c>
      <c r="G19" s="608">
        <v>0</v>
      </c>
      <c r="H19" s="608">
        <v>0</v>
      </c>
      <c r="I19" s="608">
        <v>0</v>
      </c>
      <c r="J19" s="608">
        <v>0</v>
      </c>
      <c r="K19" s="608">
        <v>0</v>
      </c>
      <c r="L19" s="608">
        <v>0</v>
      </c>
      <c r="M19" s="608">
        <v>0</v>
      </c>
      <c r="N19" s="608">
        <v>0</v>
      </c>
      <c r="O19" s="608">
        <v>0</v>
      </c>
      <c r="P19" s="329">
        <f t="shared" si="0"/>
        <v>0</v>
      </c>
      <c r="Q19" s="617"/>
    </row>
    <row r="20" spans="1:17">
      <c r="A20" s="389">
        <f t="shared" si="1"/>
        <v>9</v>
      </c>
      <c r="B20" s="382">
        <v>8250</v>
      </c>
      <c r="C20" s="1" t="s">
        <v>870</v>
      </c>
      <c r="D20" s="608">
        <v>1069.21151356879</v>
      </c>
      <c r="E20" s="608">
        <v>1070.4908588331318</v>
      </c>
      <c r="F20" s="608">
        <v>1246.9256905181844</v>
      </c>
      <c r="G20" s="608">
        <v>1057.8774048273676</v>
      </c>
      <c r="H20" s="608">
        <v>1143.4953327911867</v>
      </c>
      <c r="I20" s="608">
        <v>1160.7185529672524</v>
      </c>
      <c r="J20" s="608">
        <v>1060.8145609173871</v>
      </c>
      <c r="K20" s="608">
        <v>1096.4508065757359</v>
      </c>
      <c r="L20" s="608">
        <v>1126.5369236903525</v>
      </c>
      <c r="M20" s="608">
        <v>1109.4894816084225</v>
      </c>
      <c r="N20" s="608">
        <v>1071.6860856465605</v>
      </c>
      <c r="O20" s="608">
        <v>1138.2031246279601</v>
      </c>
      <c r="P20" s="329">
        <f t="shared" si="0"/>
        <v>13351.900336572335</v>
      </c>
      <c r="Q20" s="617"/>
    </row>
    <row r="21" spans="1:17">
      <c r="A21" s="389">
        <f t="shared" si="1"/>
        <v>10</v>
      </c>
      <c r="B21" s="212">
        <v>8500</v>
      </c>
      <c r="C21" s="30" t="s">
        <v>875</v>
      </c>
      <c r="D21" s="608">
        <v>0</v>
      </c>
      <c r="E21" s="608">
        <v>0</v>
      </c>
      <c r="F21" s="608">
        <v>0</v>
      </c>
      <c r="G21" s="608">
        <v>0</v>
      </c>
      <c r="H21" s="608">
        <v>0</v>
      </c>
      <c r="I21" s="608">
        <v>0</v>
      </c>
      <c r="J21" s="608">
        <v>0</v>
      </c>
      <c r="K21" s="608">
        <v>0</v>
      </c>
      <c r="L21" s="608">
        <v>0</v>
      </c>
      <c r="M21" s="608">
        <v>0</v>
      </c>
      <c r="N21" s="608">
        <v>0</v>
      </c>
      <c r="O21" s="608">
        <v>0</v>
      </c>
      <c r="P21" s="329">
        <f t="shared" si="0"/>
        <v>0</v>
      </c>
      <c r="Q21" s="617"/>
    </row>
    <row r="22" spans="1:17">
      <c r="A22" s="389">
        <f t="shared" si="1"/>
        <v>11</v>
      </c>
      <c r="B22" s="382">
        <v>8560</v>
      </c>
      <c r="C22" s="1" t="s">
        <v>876</v>
      </c>
      <c r="D22" s="608">
        <v>175.60017326630191</v>
      </c>
      <c r="E22" s="608">
        <v>175.81028440636635</v>
      </c>
      <c r="F22" s="608">
        <v>204.78676531863709</v>
      </c>
      <c r="G22" s="608">
        <v>173.73873478237692</v>
      </c>
      <c r="H22" s="608">
        <v>187.80005267350805</v>
      </c>
      <c r="I22" s="608">
        <v>190.62867957168464</v>
      </c>
      <c r="J22" s="608">
        <v>174.22111372402901</v>
      </c>
      <c r="K22" s="608">
        <v>180.07377321445995</v>
      </c>
      <c r="L22" s="608">
        <v>185.01491658150348</v>
      </c>
      <c r="M22" s="608">
        <v>182.21515830604085</v>
      </c>
      <c r="N22" s="608">
        <v>176.00658049265712</v>
      </c>
      <c r="O22" s="608">
        <v>186.93089567451341</v>
      </c>
      <c r="P22" s="329">
        <f t="shared" si="0"/>
        <v>2192.8271280120789</v>
      </c>
    </row>
    <row r="23" spans="1:17">
      <c r="A23" s="389">
        <f t="shared" si="1"/>
        <v>12</v>
      </c>
      <c r="B23" s="382">
        <v>8570</v>
      </c>
      <c r="C23" s="1" t="s">
        <v>877</v>
      </c>
      <c r="D23" s="608">
        <v>216.87884991303977</v>
      </c>
      <c r="E23" s="608">
        <v>217.13835229030659</v>
      </c>
      <c r="F23" s="608">
        <v>252.9263913217373</v>
      </c>
      <c r="G23" s="608">
        <v>214.57983943902767</v>
      </c>
      <c r="H23" s="608">
        <v>231.94657886624569</v>
      </c>
      <c r="I23" s="608">
        <v>235.44013662930826</v>
      </c>
      <c r="J23" s="608">
        <v>215.17561214324436</v>
      </c>
      <c r="K23" s="608">
        <v>222.4040677626609</v>
      </c>
      <c r="L23" s="608">
        <v>228.50673537833964</v>
      </c>
      <c r="M23" s="608">
        <v>225.0488324416722</v>
      </c>
      <c r="N23" s="608">
        <v>217.38079208205218</v>
      </c>
      <c r="O23" s="608">
        <v>230.87310742923319</v>
      </c>
      <c r="P23" s="329">
        <f t="shared" si="0"/>
        <v>2708.2992956968678</v>
      </c>
    </row>
    <row r="24" spans="1:17">
      <c r="A24" s="389">
        <f t="shared" si="1"/>
        <v>13</v>
      </c>
      <c r="B24" s="212">
        <v>8600</v>
      </c>
      <c r="C24" s="30" t="s">
        <v>877</v>
      </c>
      <c r="D24" s="608">
        <v>2584.5254036804445</v>
      </c>
      <c r="E24" s="608">
        <v>2584.5254036804445</v>
      </c>
      <c r="F24" s="608">
        <v>2584.5254036804445</v>
      </c>
      <c r="G24" s="608">
        <v>2584.5254036804445</v>
      </c>
      <c r="H24" s="608">
        <v>2584.5254036804445</v>
      </c>
      <c r="I24" s="608">
        <v>2584.5254036804445</v>
      </c>
      <c r="J24" s="608">
        <v>2419.8381132950599</v>
      </c>
      <c r="K24" s="608">
        <v>2419.8381132950599</v>
      </c>
      <c r="L24" s="608">
        <v>2419.8381132950599</v>
      </c>
      <c r="M24" s="608">
        <v>2419.8381132950599</v>
      </c>
      <c r="N24" s="608">
        <v>2419.8381132950599</v>
      </c>
      <c r="O24" s="608">
        <v>2537.2371797221954</v>
      </c>
      <c r="P24" s="329">
        <f t="shared" ref="P24" si="2">SUM(D24:O24)</f>
        <v>30143.580168280161</v>
      </c>
    </row>
    <row r="25" spans="1:17">
      <c r="A25" s="389">
        <f t="shared" si="1"/>
        <v>14</v>
      </c>
      <c r="B25" s="382">
        <v>8650</v>
      </c>
      <c r="C25" s="353" t="s">
        <v>1317</v>
      </c>
      <c r="D25" s="608">
        <v>0</v>
      </c>
      <c r="E25" s="608">
        <v>0</v>
      </c>
      <c r="F25" s="608">
        <v>0</v>
      </c>
      <c r="G25" s="608">
        <v>0</v>
      </c>
      <c r="H25" s="608">
        <v>0</v>
      </c>
      <c r="I25" s="608">
        <v>0</v>
      </c>
      <c r="J25" s="608">
        <v>0</v>
      </c>
      <c r="K25" s="608">
        <v>0</v>
      </c>
      <c r="L25" s="608">
        <v>0</v>
      </c>
      <c r="M25" s="608">
        <v>0</v>
      </c>
      <c r="N25" s="608">
        <v>0</v>
      </c>
      <c r="O25" s="608">
        <v>0</v>
      </c>
      <c r="P25" s="329">
        <f t="shared" si="0"/>
        <v>0</v>
      </c>
    </row>
    <row r="26" spans="1:17">
      <c r="A26" s="389">
        <f t="shared" si="1"/>
        <v>15</v>
      </c>
      <c r="B26" s="382">
        <v>8700</v>
      </c>
      <c r="C26" s="1" t="s">
        <v>880</v>
      </c>
      <c r="D26" s="608">
        <v>281160.21869529196</v>
      </c>
      <c r="E26" s="608">
        <v>207393.24399236104</v>
      </c>
      <c r="F26" s="608">
        <v>236468.00177622738</v>
      </c>
      <c r="G26" s="608">
        <v>227288.826805499</v>
      </c>
      <c r="H26" s="608">
        <v>279940.182330565</v>
      </c>
      <c r="I26" s="608">
        <v>262642.9403677152</v>
      </c>
      <c r="J26" s="608">
        <v>228669.16152418643</v>
      </c>
      <c r="K26" s="608">
        <v>215137.72707519494</v>
      </c>
      <c r="L26" s="608">
        <v>238736.02681467045</v>
      </c>
      <c r="M26" s="608">
        <v>235822.41055183677</v>
      </c>
      <c r="N26" s="608">
        <v>204618.5383028732</v>
      </c>
      <c r="O26" s="608">
        <v>261707.7959605685</v>
      </c>
      <c r="P26" s="329">
        <f t="shared" si="0"/>
        <v>2879585.0741969896</v>
      </c>
    </row>
    <row r="27" spans="1:17">
      <c r="A27" s="389">
        <f t="shared" si="1"/>
        <v>16</v>
      </c>
      <c r="B27" s="382">
        <v>8711</v>
      </c>
      <c r="C27" s="1" t="s">
        <v>183</v>
      </c>
      <c r="D27" s="608">
        <v>0</v>
      </c>
      <c r="E27" s="608">
        <v>0</v>
      </c>
      <c r="F27" s="608">
        <v>0</v>
      </c>
      <c r="G27" s="608">
        <v>0</v>
      </c>
      <c r="H27" s="608">
        <v>0</v>
      </c>
      <c r="I27" s="608">
        <v>0</v>
      </c>
      <c r="J27" s="608">
        <v>0</v>
      </c>
      <c r="K27" s="608">
        <v>0</v>
      </c>
      <c r="L27" s="608">
        <v>0</v>
      </c>
      <c r="M27" s="608">
        <v>0</v>
      </c>
      <c r="N27" s="608">
        <v>0</v>
      </c>
      <c r="O27" s="608">
        <v>0</v>
      </c>
      <c r="P27" s="329">
        <f t="shared" si="0"/>
        <v>0</v>
      </c>
    </row>
    <row r="28" spans="1:17">
      <c r="A28" s="389">
        <f t="shared" si="1"/>
        <v>17</v>
      </c>
      <c r="B28" s="382">
        <v>8740</v>
      </c>
      <c r="C28" s="1" t="s">
        <v>882</v>
      </c>
      <c r="D28" s="608">
        <v>34629.292870518257</v>
      </c>
      <c r="E28" s="608">
        <v>35779.572378976562</v>
      </c>
      <c r="F28" s="608">
        <v>37092.147533456176</v>
      </c>
      <c r="G28" s="608">
        <v>36985.581207007912</v>
      </c>
      <c r="H28" s="608">
        <v>35074.805820746042</v>
      </c>
      <c r="I28" s="608">
        <v>38291.575648674348</v>
      </c>
      <c r="J28" s="608">
        <v>35524.403872271745</v>
      </c>
      <c r="K28" s="608">
        <v>33566.331400106916</v>
      </c>
      <c r="L28" s="608">
        <v>37051.965943217576</v>
      </c>
      <c r="M28" s="608">
        <v>36179.780818043502</v>
      </c>
      <c r="N28" s="608">
        <v>32870.310146056581</v>
      </c>
      <c r="O28" s="608">
        <v>36379.169199201599</v>
      </c>
      <c r="P28" s="329">
        <f t="shared" si="0"/>
        <v>429424.93683827727</v>
      </c>
    </row>
    <row r="29" spans="1:17">
      <c r="A29" s="389">
        <f t="shared" si="1"/>
        <v>18</v>
      </c>
      <c r="B29" s="382">
        <v>8750</v>
      </c>
      <c r="C29" s="1" t="s">
        <v>1183</v>
      </c>
      <c r="D29" s="608">
        <v>10467.678422696823</v>
      </c>
      <c r="E29" s="608">
        <v>10642.316562464179</v>
      </c>
      <c r="F29" s="608">
        <v>10441.768455305531</v>
      </c>
      <c r="G29" s="608">
        <v>10865.332523896986</v>
      </c>
      <c r="H29" s="608">
        <v>12033.431131472598</v>
      </c>
      <c r="I29" s="608">
        <v>11307.747722004971</v>
      </c>
      <c r="J29" s="608">
        <v>10999.916648568393</v>
      </c>
      <c r="K29" s="608">
        <v>10140.629850749552</v>
      </c>
      <c r="L29" s="608">
        <v>10738.646149647931</v>
      </c>
      <c r="M29" s="608">
        <v>11310.449847618871</v>
      </c>
      <c r="N29" s="608">
        <v>9845.2361408821544</v>
      </c>
      <c r="O29" s="608">
        <v>11713.167559236806</v>
      </c>
      <c r="P29" s="329">
        <f t="shared" si="0"/>
        <v>130506.32101454481</v>
      </c>
    </row>
    <row r="30" spans="1:17">
      <c r="A30" s="389">
        <f t="shared" si="1"/>
        <v>19</v>
      </c>
      <c r="B30" s="212">
        <v>8760</v>
      </c>
      <c r="C30" t="s">
        <v>884</v>
      </c>
      <c r="D30" s="608">
        <v>0</v>
      </c>
      <c r="E30" s="608">
        <v>0</v>
      </c>
      <c r="F30" s="608">
        <v>0</v>
      </c>
      <c r="G30" s="608">
        <v>0</v>
      </c>
      <c r="H30" s="608">
        <v>0</v>
      </c>
      <c r="I30" s="608">
        <v>0</v>
      </c>
      <c r="J30" s="608">
        <v>0</v>
      </c>
      <c r="K30" s="608">
        <v>0</v>
      </c>
      <c r="L30" s="608">
        <v>0</v>
      </c>
      <c r="M30" s="608">
        <v>0</v>
      </c>
      <c r="N30" s="608">
        <v>0</v>
      </c>
      <c r="O30" s="608">
        <v>0</v>
      </c>
      <c r="P30" s="329">
        <f t="shared" si="0"/>
        <v>0</v>
      </c>
    </row>
    <row r="31" spans="1:17">
      <c r="A31" s="389">
        <f t="shared" si="1"/>
        <v>20</v>
      </c>
      <c r="B31" s="382">
        <v>8770</v>
      </c>
      <c r="C31" s="1" t="s">
        <v>885</v>
      </c>
      <c r="D31" s="608">
        <v>0</v>
      </c>
      <c r="E31" s="608">
        <v>0</v>
      </c>
      <c r="F31" s="608">
        <v>0</v>
      </c>
      <c r="G31" s="608">
        <v>0</v>
      </c>
      <c r="H31" s="608">
        <v>0</v>
      </c>
      <c r="I31" s="608">
        <v>0</v>
      </c>
      <c r="J31" s="608">
        <v>0</v>
      </c>
      <c r="K31" s="608">
        <v>0</v>
      </c>
      <c r="L31" s="608">
        <v>0</v>
      </c>
      <c r="M31" s="608">
        <v>0</v>
      </c>
      <c r="N31" s="608">
        <v>0</v>
      </c>
      <c r="O31" s="608">
        <v>0</v>
      </c>
      <c r="P31" s="329">
        <f t="shared" si="0"/>
        <v>0</v>
      </c>
    </row>
    <row r="32" spans="1:17">
      <c r="A32" s="389">
        <f t="shared" si="1"/>
        <v>21</v>
      </c>
      <c r="B32" s="212">
        <v>8780</v>
      </c>
      <c r="C32" s="30" t="s">
        <v>886</v>
      </c>
      <c r="D32" s="608">
        <v>8910.7876812457107</v>
      </c>
      <c r="E32" s="608">
        <v>8880.8702844808759</v>
      </c>
      <c r="F32" s="608">
        <v>8440.3838106989861</v>
      </c>
      <c r="G32" s="608">
        <v>9326.1140226200387</v>
      </c>
      <c r="H32" s="608">
        <v>8421.7763346099327</v>
      </c>
      <c r="I32" s="608">
        <v>8864.2285232427166</v>
      </c>
      <c r="J32" s="608">
        <v>9547.1057264849442</v>
      </c>
      <c r="K32" s="608">
        <v>8681.6321054850468</v>
      </c>
      <c r="L32" s="608">
        <v>9226.1714517666769</v>
      </c>
      <c r="M32" s="608">
        <v>9734.1929474880653</v>
      </c>
      <c r="N32" s="608">
        <v>8356.7417009826604</v>
      </c>
      <c r="O32" s="608">
        <v>8765.6750089761063</v>
      </c>
      <c r="P32" s="329">
        <f t="shared" ref="P32" si="3">SUM(D32:O32)</f>
        <v>107155.67959808174</v>
      </c>
    </row>
    <row r="33" spans="1:16">
      <c r="A33" s="389">
        <f t="shared" si="1"/>
        <v>22</v>
      </c>
      <c r="B33" s="382">
        <v>8800</v>
      </c>
      <c r="C33" s="1" t="s">
        <v>888</v>
      </c>
      <c r="D33" s="608">
        <v>172880.653776892</v>
      </c>
      <c r="E33" s="608">
        <v>172788.31244175349</v>
      </c>
      <c r="F33" s="608">
        <v>174435.28657234239</v>
      </c>
      <c r="G33" s="608">
        <v>142668.78048575495</v>
      </c>
      <c r="H33" s="608">
        <v>141547.07857733345</v>
      </c>
      <c r="I33" s="608">
        <v>171040.7765740297</v>
      </c>
      <c r="J33" s="608">
        <v>135490.54174455453</v>
      </c>
      <c r="K33" s="608">
        <v>138515.80091220574</v>
      </c>
      <c r="L33" s="608">
        <v>165073.76176079561</v>
      </c>
      <c r="M33" s="608">
        <v>142527.9612994591</v>
      </c>
      <c r="N33" s="608">
        <v>153428.53274662385</v>
      </c>
      <c r="O33" s="608">
        <v>196056.29303124754</v>
      </c>
      <c r="P33" s="329">
        <f t="shared" si="0"/>
        <v>1906453.7799229922</v>
      </c>
    </row>
    <row r="34" spans="1:16">
      <c r="A34" s="389">
        <f t="shared" si="1"/>
        <v>23</v>
      </c>
      <c r="B34" s="382">
        <v>8810</v>
      </c>
      <c r="C34" s="1" t="s">
        <v>889</v>
      </c>
      <c r="D34" s="608">
        <v>40176.949198698676</v>
      </c>
      <c r="E34" s="608">
        <v>40225.0221842967</v>
      </c>
      <c r="F34" s="608">
        <v>46854.779888486672</v>
      </c>
      <c r="G34" s="608">
        <v>39751.056000451354</v>
      </c>
      <c r="H34" s="608">
        <v>42968.255870305642</v>
      </c>
      <c r="I34" s="608">
        <v>43615.439737361208</v>
      </c>
      <c r="J34" s="608">
        <v>39861.423284678858</v>
      </c>
      <c r="K34" s="608">
        <v>41200.499429368792</v>
      </c>
      <c r="L34" s="608">
        <v>42331.022607954379</v>
      </c>
      <c r="M34" s="608">
        <v>41690.443820874752</v>
      </c>
      <c r="N34" s="608">
        <v>40269.934314735474</v>
      </c>
      <c r="O34" s="608">
        <v>42769.394582501889</v>
      </c>
      <c r="P34" s="329">
        <f t="shared" si="0"/>
        <v>501714.22091971437</v>
      </c>
    </row>
    <row r="35" spans="1:16">
      <c r="A35" s="389">
        <f t="shared" si="1"/>
        <v>24</v>
      </c>
      <c r="B35" s="212">
        <v>8870</v>
      </c>
      <c r="C35" s="30" t="s">
        <v>892</v>
      </c>
      <c r="D35" s="608">
        <v>56.628165463709088</v>
      </c>
      <c r="E35" s="608">
        <v>56.438040038792032</v>
      </c>
      <c r="F35" s="608">
        <v>53.638743072672476</v>
      </c>
      <c r="G35" s="608">
        <v>59.267569478494735</v>
      </c>
      <c r="H35" s="608">
        <v>53.520492332948251</v>
      </c>
      <c r="I35" s="608">
        <v>56.332281441155885</v>
      </c>
      <c r="J35" s="608">
        <v>60.671974478392492</v>
      </c>
      <c r="K35" s="608">
        <v>55.171878957363752</v>
      </c>
      <c r="L35" s="608">
        <v>58.632433209782569</v>
      </c>
      <c r="M35" s="608">
        <v>61.860916072120283</v>
      </c>
      <c r="N35" s="608">
        <v>53.107196435250231</v>
      </c>
      <c r="O35" s="608">
        <v>55.705972644160809</v>
      </c>
      <c r="P35" s="329">
        <f t="shared" ref="P35:P38" si="4">SUM(D35:O35)</f>
        <v>680.97566362484258</v>
      </c>
    </row>
    <row r="36" spans="1:16">
      <c r="A36" s="389">
        <f t="shared" si="1"/>
        <v>25</v>
      </c>
      <c r="B36" s="212">
        <v>8890</v>
      </c>
      <c r="C36" s="30" t="s">
        <v>893</v>
      </c>
      <c r="D36" s="608">
        <v>0</v>
      </c>
      <c r="E36" s="608">
        <v>0</v>
      </c>
      <c r="F36" s="608">
        <v>0</v>
      </c>
      <c r="G36" s="608">
        <v>0</v>
      </c>
      <c r="H36" s="608">
        <v>0</v>
      </c>
      <c r="I36" s="608">
        <v>0</v>
      </c>
      <c r="J36" s="608">
        <v>0</v>
      </c>
      <c r="K36" s="608">
        <v>0</v>
      </c>
      <c r="L36" s="608">
        <v>0</v>
      </c>
      <c r="M36" s="608">
        <v>0</v>
      </c>
      <c r="N36" s="608">
        <v>0</v>
      </c>
      <c r="O36" s="608">
        <v>0</v>
      </c>
      <c r="P36" s="329">
        <f t="shared" si="4"/>
        <v>0</v>
      </c>
    </row>
    <row r="37" spans="1:16">
      <c r="A37" s="389">
        <f t="shared" si="1"/>
        <v>26</v>
      </c>
      <c r="B37" s="212">
        <v>8900</v>
      </c>
      <c r="C37" s="30" t="s">
        <v>894</v>
      </c>
      <c r="D37" s="608">
        <v>0</v>
      </c>
      <c r="E37" s="608">
        <v>0</v>
      </c>
      <c r="F37" s="608">
        <v>0</v>
      </c>
      <c r="G37" s="608">
        <v>0</v>
      </c>
      <c r="H37" s="608">
        <v>0</v>
      </c>
      <c r="I37" s="608">
        <v>0</v>
      </c>
      <c r="J37" s="608">
        <v>0</v>
      </c>
      <c r="K37" s="608">
        <v>0</v>
      </c>
      <c r="L37" s="608">
        <v>0</v>
      </c>
      <c r="M37" s="608">
        <v>0</v>
      </c>
      <c r="N37" s="608">
        <v>0</v>
      </c>
      <c r="O37" s="608">
        <v>0</v>
      </c>
      <c r="P37" s="329">
        <f t="shared" si="4"/>
        <v>0</v>
      </c>
    </row>
    <row r="38" spans="1:16">
      <c r="A38" s="389">
        <f t="shared" si="1"/>
        <v>27</v>
      </c>
      <c r="B38" s="212">
        <v>8910</v>
      </c>
      <c r="C38" s="30" t="s">
        <v>895</v>
      </c>
      <c r="D38" s="608">
        <v>15.958993548919157</v>
      </c>
      <c r="E38" s="608">
        <v>15.905412254083085</v>
      </c>
      <c r="F38" s="608">
        <v>15.116512210121023</v>
      </c>
      <c r="G38" s="608">
        <v>16.702832437218479</v>
      </c>
      <c r="H38" s="608">
        <v>15.08318669485913</v>
      </c>
      <c r="I38" s="608">
        <v>15.875607284001552</v>
      </c>
      <c r="J38" s="608">
        <v>17.09862294446706</v>
      </c>
      <c r="K38" s="608">
        <v>15.548581755250201</v>
      </c>
      <c r="L38" s="608">
        <v>16.523837840941862</v>
      </c>
      <c r="M38" s="608">
        <v>17.433691387334125</v>
      </c>
      <c r="N38" s="608">
        <v>14.966711324146576</v>
      </c>
      <c r="O38" s="608">
        <v>15.699100452656619</v>
      </c>
      <c r="P38" s="329">
        <f t="shared" si="4"/>
        <v>191.91309013399885</v>
      </c>
    </row>
    <row r="39" spans="1:16">
      <c r="A39" s="389">
        <f t="shared" si="1"/>
        <v>28</v>
      </c>
      <c r="B39" s="212">
        <v>9010</v>
      </c>
      <c r="C39" t="s">
        <v>175</v>
      </c>
      <c r="D39" s="608">
        <v>9445.8918315654246</v>
      </c>
      <c r="E39" s="608">
        <v>9457.9305992309419</v>
      </c>
      <c r="F39" s="608">
        <v>9031.062512407545</v>
      </c>
      <c r="G39" s="608">
        <v>9862.6138688248284</v>
      </c>
      <c r="H39" s="608">
        <v>9431.4826825998516</v>
      </c>
      <c r="I39" s="608">
        <v>9573.3414762692628</v>
      </c>
      <c r="J39" s="608">
        <v>10084.595647531156</v>
      </c>
      <c r="K39" s="608">
        <v>9183.700933579401</v>
      </c>
      <c r="L39" s="608">
        <v>9732.3102165332366</v>
      </c>
      <c r="M39" s="608">
        <v>10303.950810674763</v>
      </c>
      <c r="N39" s="608">
        <v>8850.4516427690469</v>
      </c>
      <c r="O39" s="608">
        <v>9584.2576855381194</v>
      </c>
      <c r="P39" s="329">
        <f t="shared" si="0"/>
        <v>114541.58990752359</v>
      </c>
    </row>
    <row r="40" spans="1:16">
      <c r="A40" s="389">
        <f t="shared" si="1"/>
        <v>29</v>
      </c>
      <c r="B40" s="212">
        <v>9020</v>
      </c>
      <c r="C40" t="s">
        <v>899</v>
      </c>
      <c r="D40" s="608">
        <v>3712.8246989677186</v>
      </c>
      <c r="E40" s="608">
        <v>3700.3591287386043</v>
      </c>
      <c r="F40" s="608">
        <v>3516.8232710881425</v>
      </c>
      <c r="G40" s="608">
        <v>3885.8771780018651</v>
      </c>
      <c r="H40" s="608">
        <v>3509.0701633629651</v>
      </c>
      <c r="I40" s="608">
        <v>3693.4250680955251</v>
      </c>
      <c r="J40" s="608">
        <v>3977.9569677721311</v>
      </c>
      <c r="K40" s="608">
        <v>3617.3432991155996</v>
      </c>
      <c r="L40" s="608">
        <v>3844.2344794193737</v>
      </c>
      <c r="M40" s="608">
        <v>4055.9099030063048</v>
      </c>
      <c r="N40" s="608">
        <v>3481.9724249073793</v>
      </c>
      <c r="O40" s="608">
        <v>3652.3611425450085</v>
      </c>
      <c r="P40" s="329">
        <f t="shared" si="0"/>
        <v>44648.157725020617</v>
      </c>
    </row>
    <row r="41" spans="1:16">
      <c r="A41" s="389">
        <f t="shared" si="1"/>
        <v>30</v>
      </c>
      <c r="B41" s="382">
        <v>9030</v>
      </c>
      <c r="C41" s="1" t="s">
        <v>903</v>
      </c>
      <c r="D41" s="608">
        <v>673561.90267911914</v>
      </c>
      <c r="E41" s="608">
        <v>673077.47322913969</v>
      </c>
      <c r="F41" s="608">
        <v>675274.27103147493</v>
      </c>
      <c r="G41" s="608">
        <v>571947.53639862488</v>
      </c>
      <c r="H41" s="608">
        <v>561630.09099760524</v>
      </c>
      <c r="I41" s="608">
        <v>667114.60178001458</v>
      </c>
      <c r="J41" s="608">
        <v>548792.59689201566</v>
      </c>
      <c r="K41" s="608">
        <v>552253.42850472231</v>
      </c>
      <c r="L41" s="608">
        <v>648932.96674236399</v>
      </c>
      <c r="M41" s="608">
        <v>574813.2151583021</v>
      </c>
      <c r="N41" s="608">
        <v>601429.08585987438</v>
      </c>
      <c r="O41" s="608">
        <v>753436.8083937125</v>
      </c>
      <c r="P41" s="329">
        <f t="shared" si="0"/>
        <v>7502263.9776669685</v>
      </c>
    </row>
    <row r="42" spans="1:16">
      <c r="A42" s="389">
        <f t="shared" si="1"/>
        <v>31</v>
      </c>
      <c r="B42" s="212">
        <v>9040</v>
      </c>
      <c r="C42" s="30" t="s">
        <v>904</v>
      </c>
      <c r="D42" s="608">
        <v>0</v>
      </c>
      <c r="E42" s="608">
        <v>0</v>
      </c>
      <c r="F42" s="608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0</v>
      </c>
      <c r="N42" s="608">
        <v>0</v>
      </c>
      <c r="O42" s="608">
        <v>0</v>
      </c>
      <c r="P42" s="329">
        <f t="shared" ref="P42:P43" si="5">SUM(D42:O42)</f>
        <v>0</v>
      </c>
    </row>
    <row r="43" spans="1:16">
      <c r="A43" s="389">
        <f t="shared" si="1"/>
        <v>32</v>
      </c>
      <c r="B43" s="212">
        <v>9090</v>
      </c>
      <c r="C43" s="30" t="s">
        <v>905</v>
      </c>
      <c r="D43" s="608">
        <v>14866.012077354591</v>
      </c>
      <c r="E43" s="608">
        <v>14698.539467491506</v>
      </c>
      <c r="F43" s="608">
        <v>14042.140393219006</v>
      </c>
      <c r="G43" s="608">
        <v>15317.861537744509</v>
      </c>
      <c r="H43" s="608">
        <v>14708.823659522748</v>
      </c>
      <c r="I43" s="608">
        <v>14892.4340072004</v>
      </c>
      <c r="J43" s="608">
        <v>15660.527222200302</v>
      </c>
      <c r="K43" s="608">
        <v>14266.764801686491</v>
      </c>
      <c r="L43" s="608">
        <v>15113.638036967724</v>
      </c>
      <c r="M43" s="608">
        <v>16002.425655687357</v>
      </c>
      <c r="N43" s="608">
        <v>13751.834757802771</v>
      </c>
      <c r="O43" s="608">
        <v>14922.191787013506</v>
      </c>
      <c r="P43" s="329">
        <f t="shared" si="5"/>
        <v>178243.19340389088</v>
      </c>
    </row>
    <row r="44" spans="1:16">
      <c r="A44" s="389">
        <f t="shared" si="1"/>
        <v>33</v>
      </c>
      <c r="B44" s="382">
        <v>9100</v>
      </c>
      <c r="C44" s="1" t="s">
        <v>906</v>
      </c>
      <c r="D44" s="608">
        <v>361.3296199693188</v>
      </c>
      <c r="E44" s="608">
        <v>361.3296199693188</v>
      </c>
      <c r="F44" s="608">
        <v>375.22001295672897</v>
      </c>
      <c r="G44" s="608">
        <v>361.3296199693188</v>
      </c>
      <c r="H44" s="608">
        <v>364.52441035642318</v>
      </c>
      <c r="I44" s="608">
        <v>383.04493433963671</v>
      </c>
      <c r="J44" s="608">
        <v>361.3296199693188</v>
      </c>
      <c r="K44" s="608">
        <v>361.3296199693188</v>
      </c>
      <c r="L44" s="608">
        <v>375.22001295672897</v>
      </c>
      <c r="M44" s="608">
        <v>361.3296199693188</v>
      </c>
      <c r="N44" s="608">
        <v>361.3296199693188</v>
      </c>
      <c r="O44" s="608">
        <v>379.85014395253239</v>
      </c>
      <c r="P44" s="329">
        <f t="shared" si="0"/>
        <v>4407.1668543472815</v>
      </c>
    </row>
    <row r="45" spans="1:16">
      <c r="A45" s="389">
        <f t="shared" si="1"/>
        <v>34</v>
      </c>
      <c r="B45" s="382">
        <v>9110</v>
      </c>
      <c r="C45" s="1" t="s">
        <v>907</v>
      </c>
      <c r="D45" s="608">
        <v>16155.497282625063</v>
      </c>
      <c r="E45" s="608">
        <v>16469.353841643049</v>
      </c>
      <c r="F45" s="608">
        <v>15979.260182273798</v>
      </c>
      <c r="G45" s="608">
        <v>16779.59284466699</v>
      </c>
      <c r="H45" s="608">
        <v>19159.905217223331</v>
      </c>
      <c r="I45" s="608">
        <v>17434.199963474439</v>
      </c>
      <c r="J45" s="608">
        <v>17015.533510422614</v>
      </c>
      <c r="K45" s="608">
        <v>15596.140071255644</v>
      </c>
      <c r="L45" s="608">
        <v>16373.073284796836</v>
      </c>
      <c r="M45" s="608">
        <v>17541.336854781297</v>
      </c>
      <c r="N45" s="608">
        <v>15110.073333967292</v>
      </c>
      <c r="O45" s="608">
        <v>18192.765489034926</v>
      </c>
      <c r="P45" s="329">
        <f t="shared" si="0"/>
        <v>201806.73187616532</v>
      </c>
    </row>
    <row r="46" spans="1:16">
      <c r="A46" s="389">
        <f t="shared" si="1"/>
        <v>35</v>
      </c>
      <c r="B46" s="382">
        <v>9120</v>
      </c>
      <c r="C46" s="1" t="s">
        <v>908</v>
      </c>
      <c r="D46" s="608">
        <v>919.39282840442536</v>
      </c>
      <c r="E46" s="608">
        <v>919.39282840442536</v>
      </c>
      <c r="F46" s="608">
        <v>954.73653395900567</v>
      </c>
      <c r="G46" s="608">
        <v>919.39282840442536</v>
      </c>
      <c r="H46" s="608">
        <v>927.52188068197881</v>
      </c>
      <c r="I46" s="608">
        <v>974.64682142141919</v>
      </c>
      <c r="J46" s="608">
        <v>919.39282840442536</v>
      </c>
      <c r="K46" s="608">
        <v>919.39282840442536</v>
      </c>
      <c r="L46" s="608">
        <v>954.73653395900567</v>
      </c>
      <c r="M46" s="608">
        <v>919.39282840442536</v>
      </c>
      <c r="N46" s="608">
        <v>919.39282840442536</v>
      </c>
      <c r="O46" s="608">
        <v>966.51776914386573</v>
      </c>
      <c r="P46" s="329">
        <f t="shared" si="0"/>
        <v>11213.909337996251</v>
      </c>
    </row>
    <row r="47" spans="1:16">
      <c r="A47" s="389">
        <f t="shared" si="1"/>
        <v>36</v>
      </c>
      <c r="B47" s="382">
        <v>9130</v>
      </c>
      <c r="C47" s="1" t="s">
        <v>909</v>
      </c>
      <c r="D47" s="608">
        <v>20.877291279333072</v>
      </c>
      <c r="E47" s="608">
        <v>20.877291279333072</v>
      </c>
      <c r="F47" s="608">
        <v>21.679865340123303</v>
      </c>
      <c r="G47" s="608">
        <v>20.877291279333072</v>
      </c>
      <c r="H47" s="608">
        <v>21.061883313314826</v>
      </c>
      <c r="I47" s="608">
        <v>22.131982061035131</v>
      </c>
      <c r="J47" s="608">
        <v>20.877291279333072</v>
      </c>
      <c r="K47" s="608">
        <v>20.877291279333072</v>
      </c>
      <c r="L47" s="608">
        <v>21.679865340123303</v>
      </c>
      <c r="M47" s="608">
        <v>20.877291279333072</v>
      </c>
      <c r="N47" s="608">
        <v>20.877291279333072</v>
      </c>
      <c r="O47" s="608">
        <v>21.94739002705338</v>
      </c>
      <c r="P47" s="329">
        <f t="shared" si="0"/>
        <v>254.64202503698144</v>
      </c>
    </row>
    <row r="48" spans="1:16">
      <c r="A48" s="389">
        <f t="shared" si="1"/>
        <v>37</v>
      </c>
      <c r="B48" s="382">
        <v>9200</v>
      </c>
      <c r="C48" s="1" t="s">
        <v>176</v>
      </c>
      <c r="D48" s="608">
        <v>1474.7968604689361</v>
      </c>
      <c r="E48" s="608">
        <v>1374.7882591991465</v>
      </c>
      <c r="F48" s="608">
        <v>1374.7882591991465</v>
      </c>
      <c r="G48" s="608">
        <v>1474.7968604689361</v>
      </c>
      <c r="H48" s="608">
        <v>1374.7882591991465</v>
      </c>
      <c r="I48" s="608">
        <v>1378.788603249938</v>
      </c>
      <c r="J48" s="608">
        <v>5375.1323099907277</v>
      </c>
      <c r="K48" s="608">
        <v>1374.7882591991465</v>
      </c>
      <c r="L48" s="608">
        <v>1474.7968604689361</v>
      </c>
      <c r="M48" s="608">
        <v>1374.7882591991465</v>
      </c>
      <c r="N48" s="608">
        <v>1374.7882591991465</v>
      </c>
      <c r="O48" s="608">
        <v>1374.7882591991465</v>
      </c>
      <c r="P48" s="329">
        <f t="shared" si="0"/>
        <v>20801.829309041503</v>
      </c>
    </row>
    <row r="49" spans="1:17">
      <c r="A49" s="389">
        <f t="shared" si="1"/>
        <v>38</v>
      </c>
      <c r="B49" s="382">
        <v>9210</v>
      </c>
      <c r="C49" s="1" t="s">
        <v>910</v>
      </c>
      <c r="D49" s="608">
        <v>-126616.83417742788</v>
      </c>
      <c r="E49" s="608">
        <v>-126547.30569089837</v>
      </c>
      <c r="F49" s="608">
        <v>-127552.95727704492</v>
      </c>
      <c r="G49" s="608">
        <v>-104274.93953418857</v>
      </c>
      <c r="H49" s="608">
        <v>-103343.14045114894</v>
      </c>
      <c r="I49" s="608">
        <v>-125140.1131297633</v>
      </c>
      <c r="J49" s="608">
        <v>-98947.16070208342</v>
      </c>
      <c r="K49" s="608">
        <v>-101156.24275074415</v>
      </c>
      <c r="L49" s="608">
        <v>-120769.11716800163</v>
      </c>
      <c r="M49" s="608">
        <v>-104109.50869620433</v>
      </c>
      <c r="N49" s="608">
        <v>-112220.52411822218</v>
      </c>
      <c r="O49" s="608">
        <v>-143677.33762959254</v>
      </c>
      <c r="P49" s="329">
        <f t="shared" si="0"/>
        <v>-1394355.1813253202</v>
      </c>
      <c r="Q49" s="617"/>
    </row>
    <row r="50" spans="1:17">
      <c r="A50" s="389">
        <f t="shared" si="1"/>
        <v>39</v>
      </c>
      <c r="B50" s="382">
        <v>9220</v>
      </c>
      <c r="C50" s="1" t="s">
        <v>911</v>
      </c>
      <c r="D50" s="332">
        <f t="shared" ref="D50:O50" si="6">-(SUM(D12:D49,D51:D57))</f>
        <v>-1425956.244248203</v>
      </c>
      <c r="E50" s="332">
        <f t="shared" si="6"/>
        <v>-1398658.2713915987</v>
      </c>
      <c r="F50" s="332">
        <f t="shared" si="6"/>
        <v>-1395906.833270211</v>
      </c>
      <c r="G50" s="332">
        <f t="shared" si="6"/>
        <v>-1362238.8279819342</v>
      </c>
      <c r="H50" s="332">
        <f t="shared" si="6"/>
        <v>-1265428.2210780953</v>
      </c>
      <c r="I50" s="332">
        <f t="shared" si="6"/>
        <v>-1388755.9402842543</v>
      </c>
      <c r="J50" s="332">
        <f t="shared" si="6"/>
        <v>-1281938.4599275903</v>
      </c>
      <c r="K50" s="332">
        <f t="shared" si="6"/>
        <v>-1231929.7828187905</v>
      </c>
      <c r="L50" s="332">
        <f t="shared" si="6"/>
        <v>-1377671.3826793469</v>
      </c>
      <c r="M50" s="332">
        <f t="shared" si="6"/>
        <v>-1335455.5213777611</v>
      </c>
      <c r="N50" s="332">
        <f t="shared" si="6"/>
        <v>-1262955.6268959574</v>
      </c>
      <c r="O50" s="332">
        <f t="shared" si="6"/>
        <v>-1486303.3722108509</v>
      </c>
      <c r="P50" s="329">
        <f t="shared" si="0"/>
        <v>-16213198.484164592</v>
      </c>
      <c r="Q50" s="617"/>
    </row>
    <row r="51" spans="1:17">
      <c r="A51" s="389">
        <f t="shared" si="1"/>
        <v>40</v>
      </c>
      <c r="B51" s="382">
        <v>9230</v>
      </c>
      <c r="C51" s="1" t="s">
        <v>912</v>
      </c>
      <c r="D51" s="608">
        <v>-45865.220560274174</v>
      </c>
      <c r="E51" s="608">
        <v>-45840.721337812633</v>
      </c>
      <c r="F51" s="608">
        <v>-46277.682591980891</v>
      </c>
      <c r="G51" s="608">
        <v>-37849.661724904203</v>
      </c>
      <c r="H51" s="608">
        <v>-37552.061256503686</v>
      </c>
      <c r="I51" s="608">
        <v>-45376.526711174272</v>
      </c>
      <c r="J51" s="608">
        <v>-35945.192100993016</v>
      </c>
      <c r="K51" s="608">
        <v>-36747.828290310827</v>
      </c>
      <c r="L51" s="608">
        <v>-43793.961963583381</v>
      </c>
      <c r="M51" s="608">
        <v>-37812.300768765323</v>
      </c>
      <c r="N51" s="608">
        <v>-40704.348240695355</v>
      </c>
      <c r="O51" s="608">
        <v>-52013.436728621469</v>
      </c>
      <c r="P51" s="329">
        <f t="shared" si="0"/>
        <v>-505778.94227561925</v>
      </c>
      <c r="Q51" s="617"/>
    </row>
    <row r="52" spans="1:17">
      <c r="A52" s="389">
        <f t="shared" si="1"/>
        <v>41</v>
      </c>
      <c r="B52" s="382">
        <v>9240</v>
      </c>
      <c r="C52" s="1" t="s">
        <v>913</v>
      </c>
      <c r="D52" s="608">
        <v>-8954.6697210042057</v>
      </c>
      <c r="E52" s="608">
        <v>-8954.6697210042057</v>
      </c>
      <c r="F52" s="608">
        <v>-8954.6697210042057</v>
      </c>
      <c r="G52" s="608">
        <v>-8954.6697210042057</v>
      </c>
      <c r="H52" s="608">
        <v>-8954.6697210042057</v>
      </c>
      <c r="I52" s="608">
        <v>-8954.6697210042057</v>
      </c>
      <c r="J52" s="608">
        <v>-8384.0735525362215</v>
      </c>
      <c r="K52" s="608">
        <v>-8384.0735525362215</v>
      </c>
      <c r="L52" s="608">
        <v>-8384.0735525362215</v>
      </c>
      <c r="M52" s="608">
        <v>-8384.0735525362215</v>
      </c>
      <c r="N52" s="608">
        <v>-8384.0735525362215</v>
      </c>
      <c r="O52" s="608">
        <v>-8790.8290303164704</v>
      </c>
      <c r="P52" s="329">
        <f t="shared" si="0"/>
        <v>-104439.21511902282</v>
      </c>
      <c r="Q52" s="617"/>
    </row>
    <row r="53" spans="1:17">
      <c r="A53" s="389">
        <f t="shared" si="1"/>
        <v>42</v>
      </c>
      <c r="B53" s="382">
        <v>9250</v>
      </c>
      <c r="C53" s="1" t="s">
        <v>914</v>
      </c>
      <c r="D53" s="608">
        <v>83929.671044297851</v>
      </c>
      <c r="E53" s="608">
        <v>85680.717242835031</v>
      </c>
      <c r="F53" s="608">
        <v>81418.878909920997</v>
      </c>
      <c r="G53" s="608">
        <v>85933.191419129857</v>
      </c>
      <c r="H53" s="608">
        <v>80206.240012670562</v>
      </c>
      <c r="I53" s="608">
        <v>83250.124598719456</v>
      </c>
      <c r="J53" s="608">
        <v>86175.034724074721</v>
      </c>
      <c r="K53" s="608">
        <v>81268.011512097728</v>
      </c>
      <c r="L53" s="608">
        <v>84618.456224513124</v>
      </c>
      <c r="M53" s="608">
        <v>88686.161550709905</v>
      </c>
      <c r="N53" s="608">
        <v>76954.051325498222</v>
      </c>
      <c r="O53" s="608">
        <v>80480.699381928716</v>
      </c>
      <c r="P53" s="329">
        <f t="shared" si="0"/>
        <v>998601.23794639623</v>
      </c>
      <c r="Q53" s="617"/>
    </row>
    <row r="54" spans="1:17">
      <c r="A54" s="389">
        <f t="shared" si="1"/>
        <v>43</v>
      </c>
      <c r="B54" s="482">
        <v>9260</v>
      </c>
      <c r="C54" s="1" t="s">
        <v>915</v>
      </c>
      <c r="D54" s="608">
        <v>240095.89497212457</v>
      </c>
      <c r="E54" s="608">
        <v>275835.21982830507</v>
      </c>
      <c r="F54" s="608">
        <v>232861.61257682729</v>
      </c>
      <c r="G54" s="608">
        <v>314890.37321564154</v>
      </c>
      <c r="H54" s="608">
        <v>188797.72409373624</v>
      </c>
      <c r="I54" s="608">
        <v>197830.27061610352</v>
      </c>
      <c r="J54" s="608">
        <v>243289.53399671239</v>
      </c>
      <c r="K54" s="608">
        <v>237548.35004961857</v>
      </c>
      <c r="L54" s="608">
        <v>251202.71294226678</v>
      </c>
      <c r="M54" s="608">
        <v>279741.31554270477</v>
      </c>
      <c r="N54" s="608">
        <v>238260.95887426456</v>
      </c>
      <c r="O54" s="608">
        <v>234351.26589607529</v>
      </c>
      <c r="P54" s="329">
        <f t="shared" si="0"/>
        <v>2934705.2326043807</v>
      </c>
      <c r="Q54" s="617"/>
    </row>
    <row r="55" spans="1:17">
      <c r="A55" s="389">
        <f t="shared" si="1"/>
        <v>44</v>
      </c>
      <c r="B55" s="482">
        <v>9280</v>
      </c>
      <c r="C55" t="s">
        <v>917</v>
      </c>
      <c r="D55" s="608">
        <v>0</v>
      </c>
      <c r="E55" s="608">
        <v>0</v>
      </c>
      <c r="F55" s="608">
        <v>0</v>
      </c>
      <c r="G55" s="608">
        <v>0</v>
      </c>
      <c r="H55" s="608">
        <v>0</v>
      </c>
      <c r="I55" s="608">
        <v>0</v>
      </c>
      <c r="J55" s="608">
        <v>0</v>
      </c>
      <c r="K55" s="608">
        <v>0</v>
      </c>
      <c r="L55" s="608">
        <v>0</v>
      </c>
      <c r="M55" s="608">
        <v>0</v>
      </c>
      <c r="N55" s="608">
        <v>0</v>
      </c>
      <c r="O55" s="608">
        <v>0</v>
      </c>
      <c r="P55" s="329">
        <f t="shared" ref="P55" si="7">SUM(D55:O55)</f>
        <v>0</v>
      </c>
      <c r="Q55" s="617"/>
    </row>
    <row r="56" spans="1:17">
      <c r="A56" s="389">
        <f t="shared" si="1"/>
        <v>45</v>
      </c>
      <c r="B56" s="382">
        <v>9302</v>
      </c>
      <c r="C56" s="1" t="s">
        <v>826</v>
      </c>
      <c r="D56" s="608">
        <v>10014.349223309418</v>
      </c>
      <c r="E56" s="608">
        <v>18084.609583202528</v>
      </c>
      <c r="F56" s="608">
        <v>25179.770046655263</v>
      </c>
      <c r="G56" s="608">
        <v>20447.324262960559</v>
      </c>
      <c r="H56" s="608">
        <v>10420.760628841963</v>
      </c>
      <c r="I56" s="608">
        <v>31141.917841083738</v>
      </c>
      <c r="J56" s="608">
        <v>29015.707226359667</v>
      </c>
      <c r="K56" s="608">
        <v>10073.060743791717</v>
      </c>
      <c r="L56" s="608">
        <v>10265.638990408639</v>
      </c>
      <c r="M56" s="608">
        <v>10150.966791050423</v>
      </c>
      <c r="N56" s="608">
        <v>9916.1988199195384</v>
      </c>
      <c r="O56" s="608">
        <v>11343.606070651171</v>
      </c>
      <c r="P56" s="329">
        <f t="shared" si="0"/>
        <v>196053.91022823466</v>
      </c>
      <c r="Q56" s="617"/>
    </row>
    <row r="57" spans="1:17">
      <c r="A57" s="389">
        <f t="shared" si="1"/>
        <v>46</v>
      </c>
      <c r="B57" s="382">
        <v>9310</v>
      </c>
      <c r="C57" s="1" t="s">
        <v>178</v>
      </c>
      <c r="D57" s="608">
        <v>-3.9242016015531827E-3</v>
      </c>
      <c r="E57" s="608">
        <v>-3.9288970324118655E-3</v>
      </c>
      <c r="F57" s="608">
        <v>-4.5764450996387939E-3</v>
      </c>
      <c r="G57" s="608">
        <v>-3.8826033517112861E-3</v>
      </c>
      <c r="H57" s="608">
        <v>-4.1968367898790535E-3</v>
      </c>
      <c r="I57" s="608">
        <v>-4.2600491546367324E-3</v>
      </c>
      <c r="J57" s="608">
        <v>-3.8933832511850539E-3</v>
      </c>
      <c r="K57" s="608">
        <v>-4.0241747835536735E-3</v>
      </c>
      <c r="L57" s="608">
        <v>-4.1345963301489055E-3</v>
      </c>
      <c r="M57" s="608">
        <v>-4.0720291031116611E-3</v>
      </c>
      <c r="N57" s="608">
        <v>-3.9332837331871127E-3</v>
      </c>
      <c r="O57" s="608">
        <v>-4.1774134190246098E-3</v>
      </c>
      <c r="P57" s="329">
        <f t="shared" si="0"/>
        <v>-4.9003913650041933E-2</v>
      </c>
      <c r="Q57" s="617"/>
    </row>
    <row r="58" spans="1:17">
      <c r="A58" s="389">
        <f t="shared" si="1"/>
        <v>47</v>
      </c>
      <c r="B58" s="1"/>
      <c r="C58" s="460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1"/>
      <c r="P58" s="1"/>
      <c r="Q58" s="617"/>
    </row>
    <row r="59" spans="1:17" ht="15.75" thickBot="1">
      <c r="A59" s="389">
        <f t="shared" si="1"/>
        <v>48</v>
      </c>
      <c r="B59" s="1" t="s">
        <v>706</v>
      </c>
      <c r="C59" s="460"/>
      <c r="D59" s="827">
        <f t="shared" ref="D59:P59" si="8">SUM(D12:D58)</f>
        <v>1.8313137291336989E-10</v>
      </c>
      <c r="E59" s="827">
        <f t="shared" si="8"/>
        <v>-1.0865866539866431E-10</v>
      </c>
      <c r="F59" s="827">
        <f t="shared" si="8"/>
        <v>-8.1230144138855209E-12</v>
      </c>
      <c r="G59" s="827">
        <f t="shared" si="8"/>
        <v>-1.7757759412234675E-10</v>
      </c>
      <c r="H59" s="827">
        <f t="shared" si="8"/>
        <v>-2.1374221836900631E-12</v>
      </c>
      <c r="I59" s="827">
        <f t="shared" si="8"/>
        <v>2.106204134710854E-10</v>
      </c>
      <c r="J59" s="827">
        <f t="shared" si="8"/>
        <v>-1.0919965799660591E-10</v>
      </c>
      <c r="K59" s="827">
        <f t="shared" si="8"/>
        <v>-5.3405739899869964E-11</v>
      </c>
      <c r="L59" s="827">
        <f t="shared" si="8"/>
        <v>-4.8347555126060371E-11</v>
      </c>
      <c r="M59" s="827">
        <f t="shared" si="8"/>
        <v>-4.5032309478609811E-11</v>
      </c>
      <c r="N59" s="827">
        <f t="shared" si="8"/>
        <v>-9.0780525457967443E-12</v>
      </c>
      <c r="O59" s="827">
        <f t="shared" si="8"/>
        <v>7.6174679411455948E-11</v>
      </c>
      <c r="P59" s="827">
        <f t="shared" si="8"/>
        <v>-2.9692747843812484E-9</v>
      </c>
      <c r="Q59" s="617"/>
    </row>
    <row r="60" spans="1:17" ht="15.75" thickTop="1">
      <c r="A60" s="389">
        <f t="shared" si="1"/>
        <v>49</v>
      </c>
      <c r="B60" s="1"/>
      <c r="C60" s="46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617"/>
    </row>
    <row r="61" spans="1:17">
      <c r="A61" s="389">
        <f t="shared" si="1"/>
        <v>50</v>
      </c>
      <c r="B61" s="829">
        <f t="shared" ref="B61:O61" si="9">B50</f>
        <v>9220</v>
      </c>
      <c r="C61" s="329" t="str">
        <f t="shared" si="9"/>
        <v>A&amp;G-Administrative expense transferred-Credit</v>
      </c>
      <c r="D61" s="329">
        <f t="shared" si="9"/>
        <v>-1425956.244248203</v>
      </c>
      <c r="E61" s="329">
        <f t="shared" si="9"/>
        <v>-1398658.2713915987</v>
      </c>
      <c r="F61" s="329">
        <f t="shared" si="9"/>
        <v>-1395906.833270211</v>
      </c>
      <c r="G61" s="329">
        <f t="shared" si="9"/>
        <v>-1362238.8279819342</v>
      </c>
      <c r="H61" s="329">
        <f t="shared" si="9"/>
        <v>-1265428.2210780953</v>
      </c>
      <c r="I61" s="329">
        <f t="shared" si="9"/>
        <v>-1388755.9402842543</v>
      </c>
      <c r="J61" s="329">
        <f t="shared" si="9"/>
        <v>-1281938.4599275903</v>
      </c>
      <c r="K61" s="329">
        <f t="shared" si="9"/>
        <v>-1231929.7828187905</v>
      </c>
      <c r="L61" s="329">
        <f t="shared" si="9"/>
        <v>-1377671.3826793469</v>
      </c>
      <c r="M61" s="329">
        <f t="shared" si="9"/>
        <v>-1335455.5213777611</v>
      </c>
      <c r="N61" s="329">
        <f t="shared" si="9"/>
        <v>-1262955.6268959574</v>
      </c>
      <c r="O61" s="329">
        <f t="shared" si="9"/>
        <v>-1486303.3722108509</v>
      </c>
      <c r="P61" s="329">
        <f>SUM(D61:O61)</f>
        <v>-16213198.484164592</v>
      </c>
      <c r="Q61" s="617"/>
    </row>
    <row r="62" spans="1:17">
      <c r="A62" s="389">
        <f t="shared" si="1"/>
        <v>51</v>
      </c>
      <c r="B62" s="1"/>
      <c r="C62" s="1" t="s">
        <v>189</v>
      </c>
      <c r="D62" s="832">
        <f>Allocation!$E$17</f>
        <v>0.48899999999999999</v>
      </c>
      <c r="E62" s="831">
        <f>D62</f>
        <v>0.48899999999999999</v>
      </c>
      <c r="F62" s="831">
        <f t="shared" ref="F62:O62" si="10">E62</f>
        <v>0.48899999999999999</v>
      </c>
      <c r="G62" s="831">
        <f t="shared" si="10"/>
        <v>0.48899999999999999</v>
      </c>
      <c r="H62" s="831">
        <f t="shared" si="10"/>
        <v>0.48899999999999999</v>
      </c>
      <c r="I62" s="831">
        <f t="shared" si="10"/>
        <v>0.48899999999999999</v>
      </c>
      <c r="J62" s="831">
        <f t="shared" si="10"/>
        <v>0.48899999999999999</v>
      </c>
      <c r="K62" s="831">
        <f t="shared" si="10"/>
        <v>0.48899999999999999</v>
      </c>
      <c r="L62" s="831">
        <f t="shared" si="10"/>
        <v>0.48899999999999999</v>
      </c>
      <c r="M62" s="831">
        <f t="shared" si="10"/>
        <v>0.48899999999999999</v>
      </c>
      <c r="N62" s="831">
        <f t="shared" si="10"/>
        <v>0.48899999999999999</v>
      </c>
      <c r="O62" s="831">
        <f t="shared" si="10"/>
        <v>0.48899999999999999</v>
      </c>
      <c r="P62" s="835">
        <f>P63/P61</f>
        <v>0.4890000000000001</v>
      </c>
      <c r="Q62" s="617"/>
    </row>
    <row r="63" spans="1:17">
      <c r="A63" s="389">
        <f t="shared" si="1"/>
        <v>52</v>
      </c>
      <c r="B63" s="1"/>
      <c r="C63" s="1" t="s">
        <v>202</v>
      </c>
      <c r="D63" s="329">
        <f>D61*D62</f>
        <v>-697292.6034373712</v>
      </c>
      <c r="E63" s="329">
        <f t="shared" ref="E63:O63" si="11">E61*E62</f>
        <v>-683943.89471049176</v>
      </c>
      <c r="F63" s="329">
        <f t="shared" si="11"/>
        <v>-682598.44146913313</v>
      </c>
      <c r="G63" s="329">
        <f t="shared" si="11"/>
        <v>-666134.78688316583</v>
      </c>
      <c r="H63" s="329">
        <f t="shared" si="11"/>
        <v>-618794.40010718862</v>
      </c>
      <c r="I63" s="329">
        <f t="shared" si="11"/>
        <v>-679101.65479900036</v>
      </c>
      <c r="J63" s="329">
        <f t="shared" si="11"/>
        <v>-626867.90690459171</v>
      </c>
      <c r="K63" s="329">
        <f t="shared" si="11"/>
        <v>-602413.66379838856</v>
      </c>
      <c r="L63" s="329">
        <f t="shared" si="11"/>
        <v>-673681.30613020062</v>
      </c>
      <c r="M63" s="329">
        <f t="shared" si="11"/>
        <v>-653037.74995372514</v>
      </c>
      <c r="N63" s="329">
        <f t="shared" si="11"/>
        <v>-617585.30155212316</v>
      </c>
      <c r="O63" s="329">
        <f t="shared" si="11"/>
        <v>-726802.34901110607</v>
      </c>
      <c r="P63" s="329">
        <f>SUM(D63:O63)</f>
        <v>-7928254.0587564874</v>
      </c>
      <c r="Q63" s="617"/>
    </row>
    <row r="64" spans="1:17">
      <c r="A64" s="1"/>
      <c r="B64" s="1"/>
      <c r="C64" s="460"/>
      <c r="D64" s="35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617"/>
    </row>
    <row r="65" spans="1:17">
      <c r="A65" s="1"/>
      <c r="B65" s="1"/>
      <c r="C65" s="46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617"/>
    </row>
    <row r="66" spans="1:17">
      <c r="A66" s="1"/>
      <c r="B66" s="1" t="s">
        <v>535</v>
      </c>
      <c r="C66" s="46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617"/>
    </row>
    <row r="67" spans="1:17">
      <c r="A67" s="1"/>
      <c r="B67" s="1"/>
      <c r="C67" s="46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617"/>
    </row>
    <row r="68" spans="1:17">
      <c r="A68" s="1"/>
      <c r="B68" s="1"/>
      <c r="C68" s="8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617"/>
    </row>
    <row r="69" spans="1:17">
      <c r="A69" s="1"/>
      <c r="B69" s="1"/>
      <c r="C69" s="1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1"/>
      <c r="Q69" s="617"/>
    </row>
    <row r="70" spans="1:17">
      <c r="A70" s="1"/>
      <c r="B70" s="1"/>
      <c r="C70" s="1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782"/>
      <c r="P70" s="1"/>
      <c r="Q70" s="617"/>
    </row>
    <row r="71" spans="1:17">
      <c r="A71" s="1"/>
      <c r="B71" s="1" t="s">
        <v>919</v>
      </c>
      <c r="C71" s="1"/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1"/>
      <c r="Q71" s="617"/>
    </row>
    <row r="72" spans="1:17">
      <c r="A72" s="1"/>
      <c r="B72" t="s">
        <v>1671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84"/>
      <c r="P72" s="1"/>
      <c r="Q72" s="617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84"/>
      <c r="P73" s="1"/>
      <c r="Q73" s="617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84"/>
      <c r="P74" s="1"/>
      <c r="Q74" s="617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617"/>
    </row>
    <row r="76" spans="1:17">
      <c r="A76" s="1"/>
      <c r="Q76" s="617"/>
    </row>
    <row r="77" spans="1:17">
      <c r="A77" s="1"/>
      <c r="Q77" s="617"/>
    </row>
    <row r="78" spans="1:17">
      <c r="Q78" s="617"/>
    </row>
    <row r="79" spans="1:17">
      <c r="Q79" s="617"/>
    </row>
    <row r="80" spans="1:17">
      <c r="Q80" s="617"/>
    </row>
    <row r="81" spans="17:17">
      <c r="Q81" s="617"/>
    </row>
    <row r="82" spans="17:17">
      <c r="Q82" s="617"/>
    </row>
    <row r="83" spans="17:17">
      <c r="Q83" s="617"/>
    </row>
    <row r="84" spans="17:17">
      <c r="Q84" s="617"/>
    </row>
    <row r="85" spans="17:17">
      <c r="Q85" s="617"/>
    </row>
    <row r="86" spans="17:17">
      <c r="Q86" s="617"/>
    </row>
    <row r="87" spans="17:17">
      <c r="Q87" s="617"/>
    </row>
    <row r="88" spans="17:17">
      <c r="Q88" s="617"/>
    </row>
    <row r="89" spans="17:17">
      <c r="Q89" s="617"/>
    </row>
    <row r="90" spans="17:17">
      <c r="Q90" s="617"/>
    </row>
    <row r="91" spans="17:17">
      <c r="Q91" s="617"/>
    </row>
    <row r="92" spans="17:17">
      <c r="Q92" s="617"/>
    </row>
    <row r="93" spans="17:17">
      <c r="Q93" s="617"/>
    </row>
    <row r="94" spans="17:17">
      <c r="Q94" s="617"/>
    </row>
    <row r="95" spans="17:17">
      <c r="Q95" s="617"/>
    </row>
    <row r="96" spans="17:17">
      <c r="Q96" s="617"/>
    </row>
  </sheetData>
  <sortState ref="Q14:Q96">
    <sortCondition ref="Q14:Q96"/>
  </sortState>
  <mergeCells count="4">
    <mergeCell ref="A1:P1"/>
    <mergeCell ref="A2:P2"/>
    <mergeCell ref="A3:P3"/>
    <mergeCell ref="A4:P4"/>
  </mergeCells>
  <phoneticPr fontId="20" type="noConversion"/>
  <printOptions horizontalCentered="1"/>
  <pageMargins left="0.5" right="0.5" top="0.75" bottom="0.5" header="0.5" footer="0.25"/>
  <pageSetup scale="47" fitToHeight="2" orientation="landscape" verticalDpi="300" r:id="rId1"/>
  <headerFooter alignWithMargins="0">
    <oddFooter>&amp;RSchedule &amp;A
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S75"/>
  <sheetViews>
    <sheetView view="pageBreakPreview" zoomScale="80" zoomScaleNormal="100" zoomScaleSheetLayoutView="80" workbookViewId="0">
      <selection activeCell="C14" sqref="C14"/>
    </sheetView>
  </sheetViews>
  <sheetFormatPr defaultColWidth="8.88671875" defaultRowHeight="15"/>
  <cols>
    <col min="1" max="1" width="4.6640625" style="30" customWidth="1"/>
    <col min="2" max="2" width="40.6640625" style="30" customWidth="1"/>
    <col min="3" max="8" width="11" style="30" bestFit="1" customWidth="1"/>
    <col min="9" max="10" width="10.88671875" style="30" customWidth="1"/>
    <col min="11" max="11" width="11" style="30" bestFit="1" customWidth="1"/>
    <col min="12" max="12" width="11.109375" style="30" customWidth="1"/>
    <col min="13" max="13" width="12.33203125" style="30" customWidth="1"/>
    <col min="14" max="14" width="12.6640625" style="30" customWidth="1"/>
    <col min="15" max="15" width="13.77734375" style="30" customWidth="1"/>
    <col min="16" max="16" width="9.77734375" style="30" bestFit="1" customWidth="1"/>
    <col min="17" max="17" width="11.44140625" style="30" bestFit="1" customWidth="1"/>
    <col min="18" max="16384" width="8.88671875" style="30"/>
  </cols>
  <sheetData>
    <row r="1" spans="1:19" s="1" customFormat="1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</row>
    <row r="2" spans="1:19" s="1" customFormat="1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</row>
    <row r="3" spans="1:19" s="1" customFormat="1">
      <c r="A3" s="1072" t="s">
        <v>186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</row>
    <row r="4" spans="1:19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"/>
      <c r="Q4" s="375"/>
    </row>
    <row r="5" spans="1:19">
      <c r="A5" s="1"/>
      <c r="B5" s="25"/>
      <c r="C5" s="25"/>
      <c r="D5" s="25"/>
      <c r="E5" s="25"/>
      <c r="F5" s="456"/>
      <c r="G5" s="110"/>
      <c r="H5" s="110"/>
      <c r="I5" s="110"/>
      <c r="J5" s="329"/>
      <c r="K5" s="375"/>
      <c r="Q5" s="429"/>
    </row>
    <row r="6" spans="1:19">
      <c r="A6" s="699" t="str">
        <f>'C.2.1 B'!A6</f>
        <v>Data:___X____Base Period________Forecasted Period</v>
      </c>
      <c r="I6" s="110"/>
      <c r="O6" s="291" t="s">
        <v>1344</v>
      </c>
      <c r="P6" s="1"/>
    </row>
    <row r="7" spans="1:19">
      <c r="A7" s="699" t="str">
        <f>'C.2.1 B'!A7</f>
        <v>Type of Filing:___X____Original________Updated ________Revised</v>
      </c>
      <c r="E7" s="329"/>
      <c r="I7" s="110"/>
      <c r="J7" s="329"/>
      <c r="N7" s="113"/>
      <c r="O7" s="292" t="s">
        <v>686</v>
      </c>
    </row>
    <row r="8" spans="1:19">
      <c r="A8" s="717" t="str">
        <f>'C.2.1 B'!A8</f>
        <v>Workpaper Reference No(s).____________________</v>
      </c>
      <c r="B8" s="43"/>
      <c r="C8" s="106"/>
      <c r="D8" s="106"/>
      <c r="E8" s="106"/>
      <c r="F8" s="106"/>
      <c r="G8" s="106"/>
      <c r="H8" s="106"/>
      <c r="I8" s="110"/>
      <c r="J8" s="106"/>
      <c r="K8" s="43"/>
      <c r="L8" s="43"/>
      <c r="M8" s="43"/>
      <c r="N8" s="112"/>
      <c r="O8" s="1041" t="s">
        <v>1646</v>
      </c>
    </row>
    <row r="9" spans="1:19">
      <c r="A9" s="179" t="s">
        <v>88</v>
      </c>
      <c r="C9" s="793" t="str">
        <f>'C.2.2 B 09'!D9</f>
        <v>actual</v>
      </c>
      <c r="D9" s="793" t="str">
        <f>'C.2.2 B 09'!E9</f>
        <v>actual</v>
      </c>
      <c r="E9" s="793" t="str">
        <f>'C.2.2 B 09'!F9</f>
        <v>actual</v>
      </c>
      <c r="F9" s="793" t="str">
        <f>'C.2.2 B 09'!G9</f>
        <v>actual</v>
      </c>
      <c r="G9" s="793" t="str">
        <f>'C.2.2 B 09'!H9</f>
        <v>actual</v>
      </c>
      <c r="H9" s="793" t="str">
        <f>'C.2.2 B 09'!I9</f>
        <v>actual</v>
      </c>
      <c r="I9" s="836" t="str">
        <f>'C.2.2 B 09'!J9</f>
        <v>Budgeted</v>
      </c>
      <c r="J9" s="793" t="str">
        <f>'C.2.2 B 09'!K9</f>
        <v>Budgeted</v>
      </c>
      <c r="K9" s="793" t="str">
        <f>'C.2.2 B 09'!L9</f>
        <v>Budgeted</v>
      </c>
      <c r="L9" s="793" t="str">
        <f>'C.2.2 B 09'!M9</f>
        <v>Budgeted</v>
      </c>
      <c r="M9" s="793" t="str">
        <f>'C.2.2 B 09'!N9</f>
        <v>Budgeted</v>
      </c>
      <c r="N9" s="793" t="str">
        <f>'C.2.2 B 09'!O9</f>
        <v>Budgeted</v>
      </c>
      <c r="O9" s="459"/>
    </row>
    <row r="10" spans="1:19">
      <c r="A10" s="180" t="s">
        <v>94</v>
      </c>
      <c r="B10" s="112" t="s">
        <v>185</v>
      </c>
      <c r="C10" s="828">
        <f>'C.2.2 B 09'!D10</f>
        <v>45292</v>
      </c>
      <c r="D10" s="828">
        <f>'C.2.2 B 09'!E10</f>
        <v>45323</v>
      </c>
      <c r="E10" s="828">
        <f>'C.2.2 B 09'!F10</f>
        <v>45352</v>
      </c>
      <c r="F10" s="828">
        <f>'C.2.2 B 09'!G10</f>
        <v>45383</v>
      </c>
      <c r="G10" s="828">
        <f>'C.2.2 B 09'!H10</f>
        <v>45413</v>
      </c>
      <c r="H10" s="828">
        <f>'C.2.2 B 09'!I10</f>
        <v>45444</v>
      </c>
      <c r="I10" s="828">
        <f>'C.2.2 B 09'!J10</f>
        <v>45474</v>
      </c>
      <c r="J10" s="828">
        <f>'C.2.2 B 09'!K10</f>
        <v>45505</v>
      </c>
      <c r="K10" s="828">
        <f>'C.2.2 B 09'!L10</f>
        <v>45536</v>
      </c>
      <c r="L10" s="828">
        <f>'C.2.2 B 09'!M10</f>
        <v>45566</v>
      </c>
      <c r="M10" s="828">
        <f>'C.2.2 B 09'!N10</f>
        <v>45597</v>
      </c>
      <c r="N10" s="828">
        <f>'C.2.2 B 09'!O10</f>
        <v>45627</v>
      </c>
      <c r="O10" s="828" t="str">
        <f>'C.2.2 B 09'!P10</f>
        <v>Total</v>
      </c>
      <c r="P10" s="50"/>
    </row>
    <row r="11" spans="1:19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19" ht="15.75">
      <c r="A12" s="50">
        <v>1</v>
      </c>
      <c r="B12" s="22" t="s">
        <v>187</v>
      </c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4"/>
      <c r="Q12" s="375"/>
      <c r="R12" s="329"/>
    </row>
    <row r="13" spans="1:19">
      <c r="A13" s="389">
        <f>A12+1</f>
        <v>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P13" s="484"/>
    </row>
    <row r="14" spans="1:19">
      <c r="A14" s="389">
        <f t="shared" ref="A14:A58" si="0">A13+1</f>
        <v>3</v>
      </c>
      <c r="B14" s="30" t="s">
        <v>1514</v>
      </c>
      <c r="C14" s="720">
        <v>31158.06</v>
      </c>
      <c r="D14" s="720">
        <v>24299.229999999996</v>
      </c>
      <c r="E14" s="720">
        <v>25933.730000000003</v>
      </c>
      <c r="F14" s="720">
        <v>16416.84</v>
      </c>
      <c r="G14" s="720">
        <v>55529.839999999989</v>
      </c>
      <c r="H14" s="720">
        <v>24109.53</v>
      </c>
      <c r="I14" s="720">
        <v>34521.22</v>
      </c>
      <c r="J14" s="720">
        <v>34521.21</v>
      </c>
      <c r="K14" s="720">
        <v>34521.22</v>
      </c>
      <c r="L14" s="720">
        <v>36713.451889204982</v>
      </c>
      <c r="M14" s="720">
        <v>36713.451889204982</v>
      </c>
      <c r="N14" s="720">
        <v>36713.451889204982</v>
      </c>
      <c r="O14" s="707">
        <f>SUM(C14:N14)</f>
        <v>391151.23566761491</v>
      </c>
      <c r="P14" s="484"/>
    </row>
    <row r="15" spans="1:19">
      <c r="A15" s="389">
        <f t="shared" si="0"/>
        <v>4</v>
      </c>
      <c r="B15" s="1" t="s">
        <v>1180</v>
      </c>
      <c r="C15" s="709">
        <v>0</v>
      </c>
      <c r="D15" s="709">
        <v>210.89</v>
      </c>
      <c r="E15" s="709">
        <v>92.490000000000009</v>
      </c>
      <c r="F15" s="709">
        <v>-303.38</v>
      </c>
      <c r="G15" s="709">
        <v>0</v>
      </c>
      <c r="H15" s="709">
        <v>0</v>
      </c>
      <c r="I15" s="720">
        <v>0</v>
      </c>
      <c r="J15" s="720">
        <v>0</v>
      </c>
      <c r="K15" s="720">
        <v>0</v>
      </c>
      <c r="L15" s="720">
        <v>0</v>
      </c>
      <c r="M15" s="720">
        <v>0</v>
      </c>
      <c r="N15" s="720">
        <v>0</v>
      </c>
      <c r="O15" s="345">
        <f t="shared" ref="O15:O22" si="1">SUM(C15:N15)</f>
        <v>0</v>
      </c>
      <c r="P15" s="484"/>
    </row>
    <row r="16" spans="1:19">
      <c r="A16" s="389">
        <f t="shared" si="0"/>
        <v>5</v>
      </c>
      <c r="B16" s="30" t="s">
        <v>104</v>
      </c>
      <c r="C16" s="709">
        <v>1107840</v>
      </c>
      <c r="D16" s="709">
        <v>107840</v>
      </c>
      <c r="E16" s="709">
        <v>1107840</v>
      </c>
      <c r="F16" s="709">
        <v>1107840</v>
      </c>
      <c r="G16" s="709">
        <v>1107840</v>
      </c>
      <c r="H16" s="709">
        <v>1107840</v>
      </c>
      <c r="I16" s="720">
        <v>1107840</v>
      </c>
      <c r="J16" s="720">
        <v>1107840</v>
      </c>
      <c r="K16" s="720">
        <v>1107840</v>
      </c>
      <c r="L16" s="720">
        <v>783971</v>
      </c>
      <c r="M16" s="720">
        <v>783971</v>
      </c>
      <c r="N16" s="720">
        <v>783971</v>
      </c>
      <c r="O16" s="345">
        <f>SUM(C16:N16)</f>
        <v>11322473</v>
      </c>
      <c r="P16" s="484"/>
      <c r="R16" s="485"/>
      <c r="S16" s="485"/>
    </row>
    <row r="17" spans="1:18">
      <c r="A17" s="389">
        <f t="shared" si="0"/>
        <v>6</v>
      </c>
      <c r="B17" s="30" t="s">
        <v>1278</v>
      </c>
      <c r="C17" s="709">
        <v>5654.22</v>
      </c>
      <c r="D17" s="709">
        <v>5654.22</v>
      </c>
      <c r="E17" s="709">
        <v>5654.22</v>
      </c>
      <c r="F17" s="709">
        <v>67477.429999999993</v>
      </c>
      <c r="G17" s="709">
        <v>13385.25</v>
      </c>
      <c r="H17" s="709">
        <v>13385.25</v>
      </c>
      <c r="I17" s="720">
        <v>85809.68</v>
      </c>
      <c r="J17" s="720">
        <v>11619.68</v>
      </c>
      <c r="K17" s="720">
        <v>11619.68</v>
      </c>
      <c r="L17" s="720">
        <v>5810</v>
      </c>
      <c r="M17" s="720">
        <v>5810</v>
      </c>
      <c r="N17" s="720">
        <v>5810</v>
      </c>
      <c r="O17" s="345">
        <f t="shared" si="1"/>
        <v>237689.62999999998</v>
      </c>
      <c r="P17" s="484"/>
      <c r="Q17" s="650"/>
    </row>
    <row r="18" spans="1:18">
      <c r="A18" s="389">
        <f t="shared" si="0"/>
        <v>7</v>
      </c>
      <c r="B18" s="30" t="s">
        <v>103</v>
      </c>
      <c r="C18" s="709">
        <v>95.4</v>
      </c>
      <c r="D18" s="709">
        <v>0</v>
      </c>
      <c r="E18" s="709">
        <v>82.25</v>
      </c>
      <c r="F18" s="709">
        <v>89.2</v>
      </c>
      <c r="G18" s="709">
        <v>49</v>
      </c>
      <c r="H18" s="709">
        <v>0</v>
      </c>
      <c r="I18" s="720">
        <v>0</v>
      </c>
      <c r="J18" s="720">
        <v>218</v>
      </c>
      <c r="K18" s="720">
        <v>102</v>
      </c>
      <c r="L18" s="720">
        <v>0</v>
      </c>
      <c r="M18" s="720">
        <v>80</v>
      </c>
      <c r="N18" s="720">
        <v>387</v>
      </c>
      <c r="O18" s="345">
        <f t="shared" si="1"/>
        <v>1102.8499999999999</v>
      </c>
      <c r="P18" s="484"/>
    </row>
    <row r="19" spans="1:18" ht="17.25" customHeight="1">
      <c r="A19" s="389">
        <f t="shared" si="0"/>
        <v>8</v>
      </c>
      <c r="B19" s="30" t="s">
        <v>281</v>
      </c>
      <c r="C19" s="709">
        <v>25148.2</v>
      </c>
      <c r="D19" s="709">
        <v>25148.2</v>
      </c>
      <c r="E19" s="709">
        <v>25148.2</v>
      </c>
      <c r="F19" s="709">
        <v>25148.2</v>
      </c>
      <c r="G19" s="709">
        <v>25148.2</v>
      </c>
      <c r="H19" s="709">
        <v>25148.23</v>
      </c>
      <c r="I19" s="720">
        <v>25239</v>
      </c>
      <c r="J19" s="720">
        <v>25239</v>
      </c>
      <c r="K19" s="720">
        <v>25239</v>
      </c>
      <c r="L19" s="720">
        <v>25239</v>
      </c>
      <c r="M19" s="720">
        <v>25239</v>
      </c>
      <c r="N19" s="720">
        <v>25239</v>
      </c>
      <c r="O19" s="345">
        <f t="shared" si="1"/>
        <v>302323.23</v>
      </c>
      <c r="P19" s="484"/>
    </row>
    <row r="20" spans="1:18">
      <c r="A20" s="389">
        <f t="shared" si="0"/>
        <v>9</v>
      </c>
      <c r="B20" s="30" t="s">
        <v>40</v>
      </c>
      <c r="C20" s="709">
        <v>20767</v>
      </c>
      <c r="D20" s="709">
        <v>15546</v>
      </c>
      <c r="E20" s="709">
        <v>15634.49</v>
      </c>
      <c r="F20" s="709">
        <v>16310.68</v>
      </c>
      <c r="G20" s="709">
        <v>22873.65</v>
      </c>
      <c r="H20" s="709">
        <v>7358.75</v>
      </c>
      <c r="I20" s="709">
        <v>10539.93</v>
      </c>
      <c r="J20" s="709">
        <v>10539.93</v>
      </c>
      <c r="K20" s="709">
        <v>10539.93</v>
      </c>
      <c r="L20" s="709">
        <v>10843.474128119682</v>
      </c>
      <c r="M20" s="709">
        <v>10843.474128119682</v>
      </c>
      <c r="N20" s="709">
        <v>10843.474128119682</v>
      </c>
      <c r="O20" s="345">
        <f t="shared" si="1"/>
        <v>162640.78238435902</v>
      </c>
      <c r="P20" s="329"/>
      <c r="Q20" s="329"/>
      <c r="R20" s="375"/>
    </row>
    <row r="21" spans="1:18" ht="15.75">
      <c r="A21" s="389">
        <f t="shared" si="0"/>
        <v>10</v>
      </c>
      <c r="B21" s="30" t="s">
        <v>965</v>
      </c>
      <c r="C21" s="709">
        <v>27330.79</v>
      </c>
      <c r="D21" s="709">
        <v>21967.22</v>
      </c>
      <c r="E21" s="709">
        <v>21765.17</v>
      </c>
      <c r="F21" s="709">
        <v>22787.3</v>
      </c>
      <c r="G21" s="709">
        <v>33520.120000000003</v>
      </c>
      <c r="H21" s="709">
        <v>10614.44</v>
      </c>
      <c r="I21" s="709">
        <v>17445.96</v>
      </c>
      <c r="J21" s="709">
        <v>17445.96</v>
      </c>
      <c r="K21" s="709">
        <v>17445.96</v>
      </c>
      <c r="L21" s="709">
        <v>16170.353634810284</v>
      </c>
      <c r="M21" s="709">
        <v>38592.753634810288</v>
      </c>
      <c r="N21" s="709">
        <v>16170.353634810283</v>
      </c>
      <c r="O21" s="345">
        <f t="shared" si="1"/>
        <v>261256.38090443084</v>
      </c>
      <c r="P21" s="329"/>
      <c r="Q21" s="329"/>
      <c r="R21" s="330"/>
    </row>
    <row r="22" spans="1:18">
      <c r="A22" s="389">
        <f t="shared" si="0"/>
        <v>11</v>
      </c>
      <c r="B22" s="30" t="s">
        <v>1181</v>
      </c>
      <c r="C22" s="709">
        <v>21435.4</v>
      </c>
      <c r="D22" s="709">
        <v>19642.05</v>
      </c>
      <c r="E22" s="709">
        <v>17954.439999999999</v>
      </c>
      <c r="F22" s="709">
        <v>23681.77</v>
      </c>
      <c r="G22" s="709">
        <v>20744.68</v>
      </c>
      <c r="H22" s="709">
        <v>17708.060000000001</v>
      </c>
      <c r="I22" s="709">
        <v>6288</v>
      </c>
      <c r="J22" s="709">
        <v>6288</v>
      </c>
      <c r="K22" s="709">
        <v>6288</v>
      </c>
      <c r="L22" s="709">
        <v>7842.4321811012924</v>
      </c>
      <c r="M22" s="709">
        <v>7842.4321811012933</v>
      </c>
      <c r="N22" s="709">
        <v>7842.4321811012924</v>
      </c>
      <c r="O22" s="345">
        <f t="shared" si="1"/>
        <v>163557.69654330387</v>
      </c>
      <c r="P22" s="329"/>
      <c r="Q22" s="329"/>
      <c r="R22" s="375"/>
    </row>
    <row r="23" spans="1:18">
      <c r="A23" s="389">
        <f t="shared" si="0"/>
        <v>12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</row>
    <row r="24" spans="1:18">
      <c r="A24" s="389">
        <f t="shared" si="0"/>
        <v>13</v>
      </c>
      <c r="B24" s="30" t="s">
        <v>91</v>
      </c>
      <c r="C24" s="781">
        <f t="shared" ref="C24" si="2">SUM(C12:C22)</f>
        <v>1239429.0699999998</v>
      </c>
      <c r="D24" s="781">
        <f t="shared" ref="D24:H24" si="3">SUM(D12:D22)</f>
        <v>220307.81</v>
      </c>
      <c r="E24" s="781">
        <f t="shared" si="3"/>
        <v>1220104.9899999998</v>
      </c>
      <c r="F24" s="781">
        <f t="shared" si="3"/>
        <v>1279448.0399999998</v>
      </c>
      <c r="G24" s="781">
        <f t="shared" si="3"/>
        <v>1279090.74</v>
      </c>
      <c r="H24" s="781">
        <f t="shared" si="3"/>
        <v>1206164.26</v>
      </c>
      <c r="I24" s="781">
        <f t="shared" ref="I24:N24" si="4">SUM(I12:I23)</f>
        <v>1287683.7899999998</v>
      </c>
      <c r="J24" s="781">
        <f t="shared" si="4"/>
        <v>1213711.7799999998</v>
      </c>
      <c r="K24" s="781">
        <f t="shared" si="4"/>
        <v>1213595.7899999998</v>
      </c>
      <c r="L24" s="781">
        <f t="shared" si="4"/>
        <v>886589.71183323627</v>
      </c>
      <c r="M24" s="781">
        <f t="shared" si="4"/>
        <v>909092.1118332363</v>
      </c>
      <c r="N24" s="781">
        <f t="shared" si="4"/>
        <v>886976.71183323627</v>
      </c>
      <c r="O24" s="781">
        <f>SUM(C24:N24)</f>
        <v>12842194.805499708</v>
      </c>
      <c r="P24" s="329"/>
    </row>
    <row r="25" spans="1:18">
      <c r="A25" s="389">
        <f t="shared" si="0"/>
        <v>14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</row>
    <row r="26" spans="1:18">
      <c r="A26" s="389">
        <f t="shared" si="0"/>
        <v>15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P26" s="375"/>
    </row>
    <row r="27" spans="1:18" ht="15.75">
      <c r="A27" s="389">
        <f>A26+1</f>
        <v>16</v>
      </c>
      <c r="B27" s="22" t="s">
        <v>71</v>
      </c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Q27" s="375"/>
    </row>
    <row r="28" spans="1:18">
      <c r="A28" s="389">
        <f t="shared" si="0"/>
        <v>17</v>
      </c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</row>
    <row r="29" spans="1:18">
      <c r="A29" s="389">
        <f t="shared" si="0"/>
        <v>18</v>
      </c>
      <c r="B29" s="30" t="s">
        <v>1514</v>
      </c>
      <c r="C29" s="720">
        <v>537320.01</v>
      </c>
      <c r="D29" s="720">
        <v>431152.57999999984</v>
      </c>
      <c r="E29" s="720">
        <v>420679.5199999999</v>
      </c>
      <c r="F29" s="720">
        <v>442603.00999999989</v>
      </c>
      <c r="G29" s="720">
        <v>678464.2899999998</v>
      </c>
      <c r="H29" s="720">
        <v>176422.84999999998</v>
      </c>
      <c r="I29" s="720">
        <v>375942</v>
      </c>
      <c r="J29" s="720">
        <v>375942</v>
      </c>
      <c r="K29" s="720">
        <v>375942</v>
      </c>
      <c r="L29" s="720">
        <v>388440.48447281</v>
      </c>
      <c r="M29" s="720">
        <v>388440.48447281006</v>
      </c>
      <c r="N29" s="720">
        <v>388440.48447280994</v>
      </c>
      <c r="O29" s="707">
        <f t="shared" ref="O29:O34" si="5">SUM(C29:N29)</f>
        <v>4979789.7134184297</v>
      </c>
    </row>
    <row r="30" spans="1:18">
      <c r="A30" s="389">
        <f t="shared" si="0"/>
        <v>19</v>
      </c>
      <c r="B30" s="30" t="s">
        <v>280</v>
      </c>
      <c r="C30" s="709">
        <v>61460.53</v>
      </c>
      <c r="D30" s="709">
        <v>50200</v>
      </c>
      <c r="E30" s="709">
        <v>55700</v>
      </c>
      <c r="F30" s="709">
        <v>55700</v>
      </c>
      <c r="G30" s="709">
        <v>55700</v>
      </c>
      <c r="H30" s="709">
        <v>55700</v>
      </c>
      <c r="I30" s="709">
        <v>61300</v>
      </c>
      <c r="J30" s="709">
        <v>61300</v>
      </c>
      <c r="K30" s="709">
        <v>61300</v>
      </c>
      <c r="L30" s="709">
        <v>55800</v>
      </c>
      <c r="M30" s="709">
        <v>55800</v>
      </c>
      <c r="N30" s="709">
        <v>55800</v>
      </c>
      <c r="O30" s="345">
        <f t="shared" si="5"/>
        <v>685760.53</v>
      </c>
      <c r="P30" s="329"/>
    </row>
    <row r="31" spans="1:18">
      <c r="A31" s="389">
        <f t="shared" si="0"/>
        <v>20</v>
      </c>
      <c r="B31" s="30" t="s">
        <v>1180</v>
      </c>
      <c r="C31" s="709">
        <v>281.74</v>
      </c>
      <c r="D31" s="709">
        <v>145.88999999999999</v>
      </c>
      <c r="E31" s="709">
        <v>690.23</v>
      </c>
      <c r="F31" s="709">
        <v>730.09</v>
      </c>
      <c r="G31" s="709">
        <v>561.62</v>
      </c>
      <c r="H31" s="709">
        <v>534.63</v>
      </c>
      <c r="I31" s="709">
        <v>0</v>
      </c>
      <c r="J31" s="709">
        <v>0</v>
      </c>
      <c r="K31" s="709">
        <v>0</v>
      </c>
      <c r="L31" s="709">
        <v>0</v>
      </c>
      <c r="M31" s="709">
        <v>0</v>
      </c>
      <c r="N31" s="709">
        <v>0</v>
      </c>
      <c r="O31" s="345">
        <f t="shared" si="5"/>
        <v>2944.2000000000003</v>
      </c>
    </row>
    <row r="32" spans="1:18">
      <c r="A32" s="389">
        <f t="shared" si="0"/>
        <v>21</v>
      </c>
      <c r="B32" s="30" t="s">
        <v>200</v>
      </c>
      <c r="C32" s="709">
        <v>0</v>
      </c>
      <c r="D32" s="709">
        <v>0</v>
      </c>
      <c r="E32" s="709">
        <v>0</v>
      </c>
      <c r="F32" s="709">
        <v>0</v>
      </c>
      <c r="G32" s="709">
        <v>0</v>
      </c>
      <c r="H32" s="709">
        <v>0</v>
      </c>
      <c r="I32" s="709">
        <v>0</v>
      </c>
      <c r="J32" s="709">
        <v>0</v>
      </c>
      <c r="K32" s="709">
        <v>0</v>
      </c>
      <c r="L32" s="709">
        <v>0</v>
      </c>
      <c r="M32" s="709">
        <v>0</v>
      </c>
      <c r="N32" s="709">
        <v>0</v>
      </c>
      <c r="O32" s="345">
        <f t="shared" si="5"/>
        <v>0</v>
      </c>
      <c r="Q32"/>
      <c r="R32" s="375"/>
    </row>
    <row r="33" spans="1:17">
      <c r="A33" s="389">
        <f t="shared" si="0"/>
        <v>22</v>
      </c>
      <c r="B33"/>
      <c r="C33" s="348"/>
      <c r="D33" s="348"/>
      <c r="E33" s="348"/>
      <c r="F33" s="293"/>
      <c r="G33" s="293"/>
      <c r="H33" s="293"/>
      <c r="I33" s="293"/>
      <c r="J33" s="293"/>
      <c r="K33" s="293"/>
      <c r="L33" s="293"/>
      <c r="M33" s="293"/>
      <c r="N33" s="293"/>
    </row>
    <row r="34" spans="1:17">
      <c r="A34" s="389">
        <f t="shared" si="0"/>
        <v>23</v>
      </c>
      <c r="B34" s="30" t="s">
        <v>201</v>
      </c>
      <c r="C34" s="781">
        <f t="shared" ref="C34:N34" si="6">SUM(C27:C32)</f>
        <v>599062.28</v>
      </c>
      <c r="D34" s="781">
        <f t="shared" si="6"/>
        <v>481498.46999999986</v>
      </c>
      <c r="E34" s="781">
        <f t="shared" si="6"/>
        <v>477069.74999999988</v>
      </c>
      <c r="F34" s="781">
        <f t="shared" si="6"/>
        <v>499033.09999999992</v>
      </c>
      <c r="G34" s="781">
        <f t="shared" si="6"/>
        <v>734725.9099999998</v>
      </c>
      <c r="H34" s="781">
        <f t="shared" si="6"/>
        <v>232657.47999999998</v>
      </c>
      <c r="I34" s="781">
        <f t="shared" si="6"/>
        <v>437242</v>
      </c>
      <c r="J34" s="781">
        <f t="shared" si="6"/>
        <v>437242</v>
      </c>
      <c r="K34" s="781">
        <f t="shared" si="6"/>
        <v>437242</v>
      </c>
      <c r="L34" s="781">
        <f t="shared" si="6"/>
        <v>444240.48447281</v>
      </c>
      <c r="M34" s="781">
        <f t="shared" si="6"/>
        <v>444240.48447281006</v>
      </c>
      <c r="N34" s="781">
        <f t="shared" si="6"/>
        <v>444240.48447280994</v>
      </c>
      <c r="O34" s="781">
        <f t="shared" si="5"/>
        <v>5668494.4434184311</v>
      </c>
    </row>
    <row r="35" spans="1:17">
      <c r="A35" s="389">
        <f t="shared" si="0"/>
        <v>24</v>
      </c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</row>
    <row r="36" spans="1:17">
      <c r="A36" s="389">
        <f t="shared" si="0"/>
        <v>25</v>
      </c>
      <c r="B36" s="30" t="s">
        <v>1617</v>
      </c>
      <c r="C36" s="781">
        <f>+C21</f>
        <v>27330.79</v>
      </c>
      <c r="D36" s="781">
        <f t="shared" ref="D36:O36" si="7">+D21</f>
        <v>21967.22</v>
      </c>
      <c r="E36" s="781">
        <f t="shared" si="7"/>
        <v>21765.17</v>
      </c>
      <c r="F36" s="781">
        <f t="shared" si="7"/>
        <v>22787.3</v>
      </c>
      <c r="G36" s="781">
        <f t="shared" si="7"/>
        <v>33520.120000000003</v>
      </c>
      <c r="H36" s="781">
        <f t="shared" si="7"/>
        <v>10614.44</v>
      </c>
      <c r="I36" s="781">
        <f t="shared" si="7"/>
        <v>17445.96</v>
      </c>
      <c r="J36" s="781">
        <f t="shared" si="7"/>
        <v>17445.96</v>
      </c>
      <c r="K36" s="781">
        <f t="shared" si="7"/>
        <v>17445.96</v>
      </c>
      <c r="L36" s="781">
        <f t="shared" si="7"/>
        <v>16170.353634810284</v>
      </c>
      <c r="M36" s="781">
        <f t="shared" si="7"/>
        <v>38592.753634810288</v>
      </c>
      <c r="N36" s="781">
        <f t="shared" si="7"/>
        <v>16170.353634810283</v>
      </c>
      <c r="O36" s="781">
        <f t="shared" si="7"/>
        <v>261256.38090443084</v>
      </c>
    </row>
    <row r="37" spans="1:17">
      <c r="A37" s="389">
        <f t="shared" si="0"/>
        <v>26</v>
      </c>
    </row>
    <row r="38" spans="1:17">
      <c r="A38" s="389">
        <f t="shared" si="0"/>
        <v>27</v>
      </c>
    </row>
    <row r="39" spans="1:17" ht="15.75">
      <c r="A39" s="389">
        <f t="shared" si="0"/>
        <v>28</v>
      </c>
      <c r="B39" s="22" t="s">
        <v>72</v>
      </c>
      <c r="C39" s="483"/>
      <c r="D39" s="483"/>
      <c r="E39" s="483"/>
      <c r="F39" s="483"/>
      <c r="G39" s="483"/>
      <c r="H39" s="483"/>
      <c r="I39" s="483"/>
      <c r="J39" s="483"/>
      <c r="K39" s="483"/>
      <c r="L39" s="483"/>
      <c r="M39" s="483"/>
      <c r="N39" s="483"/>
      <c r="O39" s="483"/>
      <c r="P39" s="329"/>
    </row>
    <row r="40" spans="1:17">
      <c r="A40" s="389">
        <f t="shared" si="0"/>
        <v>29</v>
      </c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</row>
    <row r="41" spans="1:17">
      <c r="A41" s="389">
        <f t="shared" si="0"/>
        <v>30</v>
      </c>
      <c r="B41" s="30" t="s">
        <v>1514</v>
      </c>
      <c r="C41" s="720">
        <v>337006.07000000007</v>
      </c>
      <c r="D41" s="720">
        <v>248261.93</v>
      </c>
      <c r="E41" s="720">
        <v>245803.37</v>
      </c>
      <c r="F41" s="720">
        <v>258346.00000000003</v>
      </c>
      <c r="G41" s="720">
        <v>380082.30000000005</v>
      </c>
      <c r="H41" s="720">
        <v>92297.18</v>
      </c>
      <c r="I41" s="720">
        <v>215959</v>
      </c>
      <c r="J41" s="720">
        <v>215959</v>
      </c>
      <c r="K41" s="720">
        <v>215959</v>
      </c>
      <c r="L41" s="720">
        <v>251797.6408824088</v>
      </c>
      <c r="M41" s="720">
        <v>251797.64088240883</v>
      </c>
      <c r="N41" s="720">
        <v>251797.64088240883</v>
      </c>
      <c r="O41" s="707">
        <f t="shared" ref="O41:O44" si="8">SUM(C41:N41)</f>
        <v>2965066.7726472262</v>
      </c>
    </row>
    <row r="42" spans="1:17">
      <c r="A42" s="389">
        <f t="shared" si="0"/>
        <v>31</v>
      </c>
      <c r="B42" s="30" t="s">
        <v>280</v>
      </c>
      <c r="C42" s="709">
        <v>48200</v>
      </c>
      <c r="D42" s="709">
        <v>40100</v>
      </c>
      <c r="E42" s="709">
        <v>44200</v>
      </c>
      <c r="F42" s="709">
        <v>44200</v>
      </c>
      <c r="G42" s="709">
        <v>44200</v>
      </c>
      <c r="H42" s="709">
        <v>44200</v>
      </c>
      <c r="I42" s="709">
        <v>48200</v>
      </c>
      <c r="J42" s="709">
        <v>48200</v>
      </c>
      <c r="K42" s="709">
        <v>48200</v>
      </c>
      <c r="L42" s="709">
        <v>46100</v>
      </c>
      <c r="M42" s="709">
        <v>46100</v>
      </c>
      <c r="N42" s="709">
        <v>46100</v>
      </c>
      <c r="O42" s="345">
        <f t="shared" si="8"/>
        <v>548000</v>
      </c>
      <c r="P42" s="329"/>
    </row>
    <row r="43" spans="1:17">
      <c r="A43" s="389">
        <f t="shared" si="0"/>
        <v>32</v>
      </c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</row>
    <row r="44" spans="1:17">
      <c r="A44" s="389">
        <f t="shared" si="0"/>
        <v>33</v>
      </c>
      <c r="B44" s="30" t="s">
        <v>201</v>
      </c>
      <c r="C44" s="781">
        <f t="shared" ref="C44:N44" si="9">SUM(C39:C42)</f>
        <v>385206.07000000007</v>
      </c>
      <c r="D44" s="781">
        <f t="shared" si="9"/>
        <v>288361.93</v>
      </c>
      <c r="E44" s="781">
        <f t="shared" si="9"/>
        <v>290003.37</v>
      </c>
      <c r="F44" s="781">
        <f t="shared" si="9"/>
        <v>302546</v>
      </c>
      <c r="G44" s="781">
        <f t="shared" si="9"/>
        <v>424282.30000000005</v>
      </c>
      <c r="H44" s="781">
        <f t="shared" si="9"/>
        <v>136497.18</v>
      </c>
      <c r="I44" s="781">
        <f>SUM(I39:I42)</f>
        <v>264159</v>
      </c>
      <c r="J44" s="781">
        <f>SUM(J39:J42)</f>
        <v>264159</v>
      </c>
      <c r="K44" s="781">
        <f t="shared" si="9"/>
        <v>264159</v>
      </c>
      <c r="L44" s="781">
        <f t="shared" si="9"/>
        <v>297897.64088240883</v>
      </c>
      <c r="M44" s="781">
        <f t="shared" si="9"/>
        <v>297897.64088240883</v>
      </c>
      <c r="N44" s="781">
        <f t="shared" si="9"/>
        <v>297897.64088240883</v>
      </c>
      <c r="O44" s="781">
        <f t="shared" si="8"/>
        <v>3513066.7726472262</v>
      </c>
      <c r="Q44"/>
    </row>
    <row r="45" spans="1:17">
      <c r="A45" s="389">
        <f t="shared" si="0"/>
        <v>34</v>
      </c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</row>
    <row r="46" spans="1:17">
      <c r="A46" s="389">
        <f t="shared" si="0"/>
        <v>35</v>
      </c>
      <c r="B46" s="30" t="s">
        <v>1617</v>
      </c>
      <c r="C46" s="781">
        <f>+C20</f>
        <v>20767</v>
      </c>
      <c r="D46" s="781">
        <f t="shared" ref="D46:O46" si="10">+D20</f>
        <v>15546</v>
      </c>
      <c r="E46" s="781">
        <f t="shared" si="10"/>
        <v>15634.49</v>
      </c>
      <c r="F46" s="781">
        <f t="shared" si="10"/>
        <v>16310.68</v>
      </c>
      <c r="G46" s="781">
        <f t="shared" si="10"/>
        <v>22873.65</v>
      </c>
      <c r="H46" s="781">
        <f t="shared" si="10"/>
        <v>7358.75</v>
      </c>
      <c r="I46" s="781">
        <f t="shared" si="10"/>
        <v>10539.93</v>
      </c>
      <c r="J46" s="781">
        <f t="shared" si="10"/>
        <v>10539.93</v>
      </c>
      <c r="K46" s="781">
        <f t="shared" si="10"/>
        <v>10539.93</v>
      </c>
      <c r="L46" s="781">
        <f t="shared" si="10"/>
        <v>10843.474128119682</v>
      </c>
      <c r="M46" s="781">
        <f t="shared" si="10"/>
        <v>10843.474128119682</v>
      </c>
      <c r="N46" s="781">
        <f t="shared" si="10"/>
        <v>10843.474128119682</v>
      </c>
      <c r="O46" s="781">
        <f t="shared" si="10"/>
        <v>162640.78238435902</v>
      </c>
    </row>
    <row r="47" spans="1:17">
      <c r="A47" s="389">
        <f t="shared" si="0"/>
        <v>36</v>
      </c>
      <c r="J47" s="324"/>
    </row>
    <row r="48" spans="1:17">
      <c r="A48" s="389">
        <f t="shared" si="0"/>
        <v>37</v>
      </c>
    </row>
    <row r="49" spans="1:17" ht="15.75">
      <c r="A49" s="389">
        <f t="shared" si="0"/>
        <v>38</v>
      </c>
      <c r="B49" s="22" t="s">
        <v>73</v>
      </c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</row>
    <row r="50" spans="1:17">
      <c r="A50" s="389">
        <f t="shared" si="0"/>
        <v>39</v>
      </c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</row>
    <row r="51" spans="1:17">
      <c r="A51" s="389">
        <f t="shared" si="0"/>
        <v>40</v>
      </c>
      <c r="B51" s="30" t="s">
        <v>1514</v>
      </c>
      <c r="C51" s="720">
        <v>42796.54</v>
      </c>
      <c r="D51" s="720">
        <v>39217.69</v>
      </c>
      <c r="E51" s="720">
        <v>35830.430000000008</v>
      </c>
      <c r="F51" s="720">
        <v>47291.969999999994</v>
      </c>
      <c r="G51" s="720">
        <v>41414.239999999998</v>
      </c>
      <c r="H51" s="720">
        <v>35317.339999999997</v>
      </c>
      <c r="I51" s="720">
        <v>12230</v>
      </c>
      <c r="J51" s="720">
        <v>12230</v>
      </c>
      <c r="K51" s="720">
        <v>12230</v>
      </c>
      <c r="L51" s="720">
        <v>15897.896170892544</v>
      </c>
      <c r="M51" s="720">
        <v>15897.896170892545</v>
      </c>
      <c r="N51" s="720">
        <v>15897.896170892544</v>
      </c>
      <c r="O51" s="707">
        <f>SUM(C51:N51)</f>
        <v>326251.89851267752</v>
      </c>
    </row>
    <row r="52" spans="1:17">
      <c r="A52" s="389">
        <f t="shared" si="0"/>
        <v>41</v>
      </c>
      <c r="B52" t="s">
        <v>1180</v>
      </c>
      <c r="C52" s="709">
        <v>0</v>
      </c>
      <c r="D52" s="709">
        <v>0</v>
      </c>
      <c r="E52" s="709">
        <v>0</v>
      </c>
      <c r="F52" s="709">
        <v>0</v>
      </c>
      <c r="G52" s="709">
        <v>0</v>
      </c>
      <c r="H52" s="709">
        <v>0</v>
      </c>
      <c r="I52" s="709">
        <v>0</v>
      </c>
      <c r="J52" s="709">
        <v>0</v>
      </c>
      <c r="K52" s="709">
        <v>0</v>
      </c>
      <c r="L52" s="709">
        <v>0</v>
      </c>
      <c r="M52" s="709">
        <v>0</v>
      </c>
      <c r="N52" s="709">
        <v>0</v>
      </c>
      <c r="O52" s="345">
        <f t="shared" ref="O52:O56" si="11">SUM(C52:N52)</f>
        <v>0</v>
      </c>
    </row>
    <row r="53" spans="1:17">
      <c r="A53" s="389">
        <f t="shared" si="0"/>
        <v>42</v>
      </c>
      <c r="B53" s="30" t="s">
        <v>280</v>
      </c>
      <c r="C53" s="709">
        <v>100</v>
      </c>
      <c r="D53" s="709">
        <v>100</v>
      </c>
      <c r="E53" s="709">
        <v>100</v>
      </c>
      <c r="F53" s="709">
        <v>100</v>
      </c>
      <c r="G53" s="709">
        <v>100</v>
      </c>
      <c r="H53" s="709">
        <v>100</v>
      </c>
      <c r="I53" s="709">
        <v>100</v>
      </c>
      <c r="J53" s="709">
        <v>100</v>
      </c>
      <c r="K53" s="709">
        <v>100</v>
      </c>
      <c r="L53" s="709">
        <v>0</v>
      </c>
      <c r="M53" s="709">
        <v>0</v>
      </c>
      <c r="N53" s="709">
        <v>0</v>
      </c>
      <c r="O53" s="345">
        <f>SUM(C53:N53)</f>
        <v>900</v>
      </c>
    </row>
    <row r="54" spans="1:17">
      <c r="A54" s="389">
        <f t="shared" si="0"/>
        <v>43</v>
      </c>
      <c r="B54" t="s">
        <v>1277</v>
      </c>
      <c r="C54" s="709">
        <v>0</v>
      </c>
      <c r="D54" s="709">
        <v>0</v>
      </c>
      <c r="E54" s="709">
        <v>0</v>
      </c>
      <c r="F54" s="709">
        <v>0</v>
      </c>
      <c r="G54" s="709">
        <v>0</v>
      </c>
      <c r="H54" s="709">
        <v>0</v>
      </c>
      <c r="I54" s="709">
        <v>0</v>
      </c>
      <c r="J54" s="709">
        <v>0</v>
      </c>
      <c r="K54" s="709">
        <v>0</v>
      </c>
      <c r="L54" s="709">
        <v>0</v>
      </c>
      <c r="M54" s="709">
        <v>0</v>
      </c>
      <c r="N54" s="709">
        <v>0</v>
      </c>
      <c r="O54" s="345">
        <f t="shared" si="11"/>
        <v>0</v>
      </c>
    </row>
    <row r="55" spans="1:17">
      <c r="A55" s="389">
        <f t="shared" si="0"/>
        <v>44</v>
      </c>
      <c r="B55"/>
      <c r="C55" s="293"/>
      <c r="D55" s="293"/>
      <c r="E55" s="348"/>
      <c r="F55" s="348"/>
      <c r="G55" s="293"/>
      <c r="H55" s="293"/>
      <c r="I55" s="293"/>
      <c r="J55" s="293"/>
      <c r="K55" s="293"/>
      <c r="L55" s="293"/>
      <c r="M55" s="293"/>
      <c r="N55" s="293"/>
      <c r="Q55"/>
    </row>
    <row r="56" spans="1:17">
      <c r="A56" s="389">
        <f t="shared" si="0"/>
        <v>45</v>
      </c>
      <c r="B56" s="30" t="s">
        <v>201</v>
      </c>
      <c r="C56" s="781">
        <f t="shared" ref="C56:N56" si="12">SUM(C49:C54)</f>
        <v>42896.54</v>
      </c>
      <c r="D56" s="781">
        <f t="shared" si="12"/>
        <v>39317.69</v>
      </c>
      <c r="E56" s="781">
        <f t="shared" si="12"/>
        <v>35930.430000000008</v>
      </c>
      <c r="F56" s="781">
        <f t="shared" si="12"/>
        <v>47391.969999999994</v>
      </c>
      <c r="G56" s="781">
        <f t="shared" si="12"/>
        <v>41514.239999999998</v>
      </c>
      <c r="H56" s="781">
        <f t="shared" si="12"/>
        <v>35417.339999999997</v>
      </c>
      <c r="I56" s="781">
        <f t="shared" si="12"/>
        <v>12330</v>
      </c>
      <c r="J56" s="781">
        <f t="shared" si="12"/>
        <v>12330</v>
      </c>
      <c r="K56" s="781">
        <f t="shared" si="12"/>
        <v>12330</v>
      </c>
      <c r="L56" s="781">
        <f t="shared" si="12"/>
        <v>15897.896170892544</v>
      </c>
      <c r="M56" s="781">
        <f t="shared" si="12"/>
        <v>15897.896170892545</v>
      </c>
      <c r="N56" s="781">
        <f t="shared" si="12"/>
        <v>15897.896170892544</v>
      </c>
      <c r="O56" s="781">
        <f t="shared" si="11"/>
        <v>327151.89851267752</v>
      </c>
    </row>
    <row r="57" spans="1:17">
      <c r="A57" s="389">
        <f t="shared" si="0"/>
        <v>46</v>
      </c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</row>
    <row r="58" spans="1:17">
      <c r="A58" s="389">
        <f t="shared" si="0"/>
        <v>47</v>
      </c>
      <c r="B58" s="30" t="s">
        <v>202</v>
      </c>
      <c r="C58" s="781">
        <f>+C22</f>
        <v>21435.4</v>
      </c>
      <c r="D58" s="781">
        <f t="shared" ref="D58:O58" si="13">+D22</f>
        <v>19642.05</v>
      </c>
      <c r="E58" s="781">
        <f t="shared" si="13"/>
        <v>17954.439999999999</v>
      </c>
      <c r="F58" s="781">
        <f t="shared" si="13"/>
        <v>23681.77</v>
      </c>
      <c r="G58" s="781">
        <f t="shared" si="13"/>
        <v>20744.68</v>
      </c>
      <c r="H58" s="781">
        <f t="shared" si="13"/>
        <v>17708.060000000001</v>
      </c>
      <c r="I58" s="781">
        <f t="shared" si="13"/>
        <v>6288</v>
      </c>
      <c r="J58" s="781">
        <f t="shared" si="13"/>
        <v>6288</v>
      </c>
      <c r="K58" s="781">
        <f t="shared" si="13"/>
        <v>6288</v>
      </c>
      <c r="L58" s="781">
        <f t="shared" si="13"/>
        <v>7842.4321811012924</v>
      </c>
      <c r="M58" s="781">
        <f t="shared" si="13"/>
        <v>7842.4321811012933</v>
      </c>
      <c r="N58" s="781">
        <f t="shared" si="13"/>
        <v>7842.4321811012924</v>
      </c>
      <c r="O58" s="781">
        <f t="shared" si="13"/>
        <v>163557.69654330387</v>
      </c>
    </row>
    <row r="59" spans="1:17">
      <c r="C59" s="329"/>
    </row>
    <row r="61" spans="1:17">
      <c r="B61" s="626" t="s">
        <v>1536</v>
      </c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9"/>
    </row>
    <row r="62" spans="1:17">
      <c r="B62" s="1052" t="s">
        <v>1674</v>
      </c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P62" s="329"/>
    </row>
    <row r="63" spans="1:17">
      <c r="B63" s="626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P63" s="329"/>
    </row>
    <row r="64" spans="1:17">
      <c r="P64" s="329"/>
    </row>
    <row r="65" spans="5:16">
      <c r="P65" s="329"/>
    </row>
    <row r="66" spans="5:16">
      <c r="E66" s="329"/>
      <c r="J66" s="375"/>
    </row>
    <row r="69" spans="5:16">
      <c r="J69" s="329"/>
      <c r="K69" s="329"/>
    </row>
    <row r="70" spans="5:16">
      <c r="J70" s="329"/>
      <c r="K70" s="329"/>
    </row>
    <row r="71" spans="5:16">
      <c r="J71" s="329"/>
      <c r="K71" s="329"/>
    </row>
    <row r="72" spans="5:16">
      <c r="J72" s="329"/>
      <c r="K72" s="329"/>
    </row>
    <row r="73" spans="5:16">
      <c r="J73" s="329"/>
      <c r="K73" s="329"/>
    </row>
    <row r="74" spans="5:16">
      <c r="J74" s="329"/>
      <c r="K74" s="329"/>
    </row>
    <row r="75" spans="5:16">
      <c r="J75" s="329"/>
      <c r="K75" s="329"/>
    </row>
  </sheetData>
  <mergeCells count="4">
    <mergeCell ref="A1:O1"/>
    <mergeCell ref="A2:O2"/>
    <mergeCell ref="A3:O3"/>
    <mergeCell ref="A4:O4"/>
  </mergeCells>
  <phoneticPr fontId="20" type="noConversion"/>
  <printOptions horizontalCentered="1"/>
  <pageMargins left="0.17" right="0.17" top="0.6" bottom="0.17" header="0.18" footer="0.42"/>
  <pageSetup scale="54" orientation="landscape" r:id="rId1"/>
  <headerFooter alignWithMargins="0">
    <oddFooter>&amp;RSchedule &amp;A
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S63"/>
  <sheetViews>
    <sheetView view="pageBreakPreview" topLeftCell="A33" zoomScale="80" zoomScaleNormal="100" zoomScaleSheetLayoutView="80" workbookViewId="0">
      <selection activeCell="B63" sqref="B63"/>
    </sheetView>
  </sheetViews>
  <sheetFormatPr defaultColWidth="8.88671875" defaultRowHeight="15"/>
  <cols>
    <col min="1" max="1" width="4.6640625" style="1" customWidth="1"/>
    <col min="2" max="2" width="40.6640625" style="1" customWidth="1"/>
    <col min="3" max="3" width="14.5546875" style="1" customWidth="1"/>
    <col min="4" max="5" width="11.109375" style="1" bestFit="1" customWidth="1"/>
    <col min="6" max="7" width="11" style="1" bestFit="1" customWidth="1"/>
    <col min="8" max="8" width="11.109375" style="1" bestFit="1" customWidth="1"/>
    <col min="9" max="12" width="11" style="1" bestFit="1" customWidth="1"/>
    <col min="13" max="13" width="12" style="1" bestFit="1" customWidth="1"/>
    <col min="14" max="14" width="11" style="1" bestFit="1" customWidth="1"/>
    <col min="15" max="15" width="13.88671875" style="1" customWidth="1"/>
    <col min="16" max="16" width="13.109375" style="1" bestFit="1" customWidth="1"/>
    <col min="17" max="17" width="12.5546875" style="1" bestFit="1" customWidth="1"/>
    <col min="18" max="18" width="11.44140625" style="1" bestFit="1" customWidth="1"/>
    <col min="19" max="16384" width="8.88671875" style="1"/>
  </cols>
  <sheetData>
    <row r="1" spans="1:19" ht="14.25" customHeight="1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</row>
    <row r="2" spans="1:19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</row>
    <row r="3" spans="1:19">
      <c r="A3" s="1072" t="s">
        <v>186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Q3" s="375"/>
    </row>
    <row r="4" spans="1:19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</row>
    <row r="5" spans="1:19">
      <c r="B5" s="25"/>
      <c r="C5" s="25"/>
      <c r="D5" s="25"/>
      <c r="E5" s="25"/>
      <c r="F5" s="456"/>
      <c r="G5" s="25"/>
      <c r="H5" s="25"/>
      <c r="I5" s="25"/>
      <c r="J5" s="25"/>
      <c r="K5" s="25"/>
      <c r="L5" s="25"/>
      <c r="M5" s="25"/>
      <c r="N5" s="25"/>
    </row>
    <row r="6" spans="1:19">
      <c r="A6" s="699" t="str">
        <f>'C.2.1 F'!A6</f>
        <v>Data:________Base Period___X____Forecasted Period</v>
      </c>
      <c r="O6" s="84" t="s">
        <v>1344</v>
      </c>
    </row>
    <row r="7" spans="1:19">
      <c r="A7" s="699" t="str">
        <f>'C.2.1 F'!A7</f>
        <v>Type of Filing:___X____Original________Updated ________Revised</v>
      </c>
      <c r="N7" s="138"/>
      <c r="O7" s="283" t="s">
        <v>687</v>
      </c>
    </row>
    <row r="8" spans="1:19">
      <c r="A8" s="717" t="str">
        <f>'C.2.1 F'!A8</f>
        <v>Workpaper Reference No(s).____________________</v>
      </c>
      <c r="B8" s="28"/>
      <c r="C8" s="6"/>
      <c r="D8" s="6"/>
      <c r="E8" s="6"/>
      <c r="F8" s="6"/>
      <c r="G8" s="6"/>
      <c r="H8" s="6"/>
      <c r="I8" s="6"/>
      <c r="J8" s="6"/>
      <c r="K8" s="6"/>
      <c r="L8" s="28"/>
      <c r="M8" s="28"/>
      <c r="N8" s="139"/>
      <c r="O8" s="801" t="str">
        <f>'C.2.3 B'!O8</f>
        <v>Witness: Waller</v>
      </c>
    </row>
    <row r="9" spans="1:19">
      <c r="A9" s="135" t="s">
        <v>88</v>
      </c>
      <c r="C9" s="793" t="str">
        <f>'C.2.2-F 09'!D9</f>
        <v>Forecasted</v>
      </c>
      <c r="D9" s="793" t="str">
        <f>'C.2.2-F 09'!E9</f>
        <v>Forecasted</v>
      </c>
      <c r="E9" s="793" t="str">
        <f>'C.2.2-F 09'!F9</f>
        <v>Forecasted</v>
      </c>
      <c r="F9" s="793" t="str">
        <f>'C.2.2-F 09'!G9</f>
        <v>Forecasted</v>
      </c>
      <c r="G9" s="793" t="str">
        <f>'C.2.2-F 09'!H9</f>
        <v>Forecasted</v>
      </c>
      <c r="H9" s="793" t="str">
        <f>'C.2.2-F 09'!I9</f>
        <v>Forecasted</v>
      </c>
      <c r="I9" s="793" t="str">
        <f>'C.2.2-F 09'!J9</f>
        <v>Forecasted</v>
      </c>
      <c r="J9" s="793" t="str">
        <f>'C.2.2-F 09'!K9</f>
        <v>Forecasted</v>
      </c>
      <c r="K9" s="793" t="str">
        <f>'C.2.2-F 09'!L9</f>
        <v>Forecasted</v>
      </c>
      <c r="L9" s="793" t="str">
        <f>'C.2.2-F 09'!M9</f>
        <v>Forecasted</v>
      </c>
      <c r="M9" s="793" t="str">
        <f>'C.2.2-F 09'!N9</f>
        <v>Forecasted</v>
      </c>
      <c r="N9" s="793" t="str">
        <f>'C.2.2-F 09'!O9</f>
        <v>Forecasted</v>
      </c>
      <c r="O9" s="478"/>
    </row>
    <row r="10" spans="1:19">
      <c r="A10" s="229" t="s">
        <v>94</v>
      </c>
      <c r="B10" s="139" t="s">
        <v>185</v>
      </c>
      <c r="C10" s="837">
        <f>'C.2.2-F 09'!D10</f>
        <v>45748</v>
      </c>
      <c r="D10" s="837">
        <f>'C.2.2-F 09'!E10</f>
        <v>45778</v>
      </c>
      <c r="E10" s="837">
        <f>'C.2.2-F 09'!F10</f>
        <v>45809</v>
      </c>
      <c r="F10" s="837">
        <f>'C.2.2-F 09'!G10</f>
        <v>45839</v>
      </c>
      <c r="G10" s="837">
        <f>'C.2.2-F 09'!H10</f>
        <v>45870</v>
      </c>
      <c r="H10" s="837">
        <f>'C.2.2-F 09'!I10</f>
        <v>45901</v>
      </c>
      <c r="I10" s="837">
        <f>'C.2.2-F 09'!J10</f>
        <v>45931</v>
      </c>
      <c r="J10" s="837">
        <f>'C.2.2-F 09'!K10</f>
        <v>45962</v>
      </c>
      <c r="K10" s="837">
        <f>'C.2.2-F 09'!L10</f>
        <v>45992</v>
      </c>
      <c r="L10" s="837">
        <f>'C.2.2-F 09'!M10</f>
        <v>46023</v>
      </c>
      <c r="M10" s="837">
        <f>'C.2.2-F 09'!N10</f>
        <v>46054</v>
      </c>
      <c r="N10" s="837">
        <f>'C.2.2-F 09'!O10</f>
        <v>46082</v>
      </c>
      <c r="O10" s="828" t="str">
        <f>'C.2.2 B 09'!P10</f>
        <v>Total</v>
      </c>
      <c r="P10" s="38"/>
    </row>
    <row r="11" spans="1:19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9" ht="15.75">
      <c r="A12" s="38">
        <v>1</v>
      </c>
      <c r="B12" s="22" t="s">
        <v>187</v>
      </c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203"/>
      <c r="P12" s="329"/>
      <c r="S12" s="375"/>
    </row>
    <row r="13" spans="1:19">
      <c r="A13" s="389">
        <f>A12+1</f>
        <v>2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48"/>
      <c r="P13" s="486"/>
    </row>
    <row r="14" spans="1:19">
      <c r="A14" s="389">
        <f t="shared" ref="A14:A58" si="0">A13+1</f>
        <v>3</v>
      </c>
      <c r="B14" s="1" t="s">
        <v>1513</v>
      </c>
      <c r="C14" s="720">
        <v>36713.451889204982</v>
      </c>
      <c r="D14" s="720">
        <v>36713.451889204982</v>
      </c>
      <c r="E14" s="720">
        <v>36713.451889204982</v>
      </c>
      <c r="F14" s="720">
        <v>36713.451889204982</v>
      </c>
      <c r="G14" s="720">
        <v>36713.451889204982</v>
      </c>
      <c r="H14" s="720">
        <v>36713.451889204982</v>
      </c>
      <c r="I14" s="720">
        <v>37998.422705327153</v>
      </c>
      <c r="J14" s="720">
        <v>37998.422705327153</v>
      </c>
      <c r="K14" s="720">
        <v>37998.422705327153</v>
      </c>
      <c r="L14" s="720">
        <v>37998.422705327153</v>
      </c>
      <c r="M14" s="720">
        <v>37998.422705327153</v>
      </c>
      <c r="N14" s="720">
        <v>37998.422705327153</v>
      </c>
      <c r="O14" s="707">
        <f>SUM(C14:N14)</f>
        <v>448271.24756719283</v>
      </c>
      <c r="P14" s="486"/>
    </row>
    <row r="15" spans="1:19">
      <c r="A15" s="389">
        <f t="shared" si="0"/>
        <v>4</v>
      </c>
      <c r="B15" s="1" t="s">
        <v>1180</v>
      </c>
      <c r="C15" s="709">
        <v>0</v>
      </c>
      <c r="D15" s="709">
        <v>0</v>
      </c>
      <c r="E15" s="709">
        <v>0</v>
      </c>
      <c r="F15" s="709">
        <v>0</v>
      </c>
      <c r="G15" s="709">
        <v>0</v>
      </c>
      <c r="H15" s="709">
        <v>0</v>
      </c>
      <c r="I15" s="709">
        <v>0</v>
      </c>
      <c r="J15" s="709">
        <v>0</v>
      </c>
      <c r="K15" s="709">
        <v>0</v>
      </c>
      <c r="L15" s="709">
        <v>0</v>
      </c>
      <c r="M15" s="709">
        <v>0</v>
      </c>
      <c r="N15" s="709">
        <v>0</v>
      </c>
      <c r="O15" s="707">
        <f t="shared" ref="O15:O22" si="1">SUM(C15:N15)</f>
        <v>0</v>
      </c>
      <c r="P15" s="486"/>
      <c r="Q15"/>
      <c r="R15"/>
    </row>
    <row r="16" spans="1:19">
      <c r="A16" s="389">
        <f t="shared" si="0"/>
        <v>5</v>
      </c>
      <c r="B16" s="1" t="s">
        <v>104</v>
      </c>
      <c r="C16" s="838">
        <f>'WP C.2.3 F'!$E$27/12</f>
        <v>1032089.3131393114</v>
      </c>
      <c r="D16" s="838">
        <f>'WP C.2.3 F'!$E$27/12</f>
        <v>1032089.3131393114</v>
      </c>
      <c r="E16" s="838">
        <f>'WP C.2.3 F'!$E$27/12</f>
        <v>1032089.3131393114</v>
      </c>
      <c r="F16" s="838">
        <f>'WP C.2.3 F'!$E$27/12</f>
        <v>1032089.3131393114</v>
      </c>
      <c r="G16" s="838">
        <f>'WP C.2.3 F'!$E$27/12</f>
        <v>1032089.3131393114</v>
      </c>
      <c r="H16" s="838">
        <f>'WP C.2.3 F'!$E$27/12</f>
        <v>1032089.3131393114</v>
      </c>
      <c r="I16" s="838">
        <f>'WP C.2.3 F'!$E$27/12</f>
        <v>1032089.3131393114</v>
      </c>
      <c r="J16" s="838">
        <f>'WP C.2.3 F'!$E$27/12</f>
        <v>1032089.3131393114</v>
      </c>
      <c r="K16" s="838">
        <f>'WP C.2.3 F'!$E$27/12</f>
        <v>1032089.3131393114</v>
      </c>
      <c r="L16" s="838">
        <f>'WP C.2.3 F'!$E$27/12</f>
        <v>1032089.3131393114</v>
      </c>
      <c r="M16" s="838">
        <f>'WP C.2.3 F'!$E$27/12</f>
        <v>1032089.3131393114</v>
      </c>
      <c r="N16" s="838">
        <f>'WP C.2.3 F'!$E$27/12</f>
        <v>1032089.3131393114</v>
      </c>
      <c r="O16" s="345">
        <f>SUM(C16:N16)</f>
        <v>12385071.757671738</v>
      </c>
      <c r="P16" s="345"/>
      <c r="Q16"/>
      <c r="R16"/>
    </row>
    <row r="17" spans="1:18">
      <c r="A17" s="389">
        <f t="shared" si="0"/>
        <v>6</v>
      </c>
      <c r="B17" s="30" t="s">
        <v>1278</v>
      </c>
      <c r="C17" s="709">
        <v>25000</v>
      </c>
      <c r="D17" s="709">
        <v>5810</v>
      </c>
      <c r="E17" s="709">
        <v>5810</v>
      </c>
      <c r="F17" s="709">
        <v>80000</v>
      </c>
      <c r="G17" s="709">
        <v>5810</v>
      </c>
      <c r="H17" s="709">
        <v>5810</v>
      </c>
      <c r="I17" s="709">
        <v>5810</v>
      </c>
      <c r="J17" s="709">
        <v>5810</v>
      </c>
      <c r="K17" s="709">
        <v>5810</v>
      </c>
      <c r="L17" s="709">
        <v>5810</v>
      </c>
      <c r="M17" s="709">
        <v>5810</v>
      </c>
      <c r="N17" s="709">
        <v>75500</v>
      </c>
      <c r="O17" s="345">
        <f t="shared" si="1"/>
        <v>232790</v>
      </c>
      <c r="Q17"/>
      <c r="R17"/>
    </row>
    <row r="18" spans="1:18">
      <c r="A18" s="389">
        <f t="shared" si="0"/>
        <v>7</v>
      </c>
      <c r="B18" s="1" t="s">
        <v>103</v>
      </c>
      <c r="C18" s="709">
        <v>91</v>
      </c>
      <c r="D18" s="709">
        <v>50</v>
      </c>
      <c r="E18" s="709">
        <v>0</v>
      </c>
      <c r="F18" s="709">
        <v>0</v>
      </c>
      <c r="G18" s="709">
        <v>218</v>
      </c>
      <c r="H18" s="709">
        <v>102</v>
      </c>
      <c r="I18" s="709">
        <v>0</v>
      </c>
      <c r="J18" s="709">
        <v>80</v>
      </c>
      <c r="K18" s="709">
        <v>387</v>
      </c>
      <c r="L18" s="709">
        <v>87</v>
      </c>
      <c r="M18" s="709">
        <v>0</v>
      </c>
      <c r="N18" s="709">
        <v>87</v>
      </c>
      <c r="O18" s="345">
        <f t="shared" si="1"/>
        <v>1102</v>
      </c>
      <c r="P18" s="329"/>
      <c r="Q18"/>
      <c r="R18"/>
    </row>
    <row r="19" spans="1:18">
      <c r="A19" s="389">
        <f t="shared" si="0"/>
        <v>8</v>
      </c>
      <c r="B19" s="1" t="s">
        <v>281</v>
      </c>
      <c r="C19" s="345">
        <f>$O19/12</f>
        <v>24322.950711861937</v>
      </c>
      <c r="D19" s="345">
        <f>C19</f>
        <v>24322.950711861937</v>
      </c>
      <c r="E19" s="345">
        <f t="shared" ref="E19:N19" si="2">D19</f>
        <v>24322.950711861937</v>
      </c>
      <c r="F19" s="345">
        <f t="shared" si="2"/>
        <v>24322.950711861937</v>
      </c>
      <c r="G19" s="345">
        <f t="shared" si="2"/>
        <v>24322.950711861937</v>
      </c>
      <c r="H19" s="345">
        <f t="shared" si="2"/>
        <v>24322.950711861937</v>
      </c>
      <c r="I19" s="345">
        <f t="shared" si="2"/>
        <v>24322.950711861937</v>
      </c>
      <c r="J19" s="345">
        <f t="shared" si="2"/>
        <v>24322.950711861937</v>
      </c>
      <c r="K19" s="345">
        <f t="shared" si="2"/>
        <v>24322.950711861937</v>
      </c>
      <c r="L19" s="345">
        <f t="shared" si="2"/>
        <v>24322.950711861937</v>
      </c>
      <c r="M19" s="345">
        <f t="shared" si="2"/>
        <v>24322.950711861937</v>
      </c>
      <c r="N19" s="345">
        <f t="shared" si="2"/>
        <v>24322.950711861937</v>
      </c>
      <c r="O19" s="838">
        <f>-H.1!$E$21*SUM('C.2.2-F 09'!$P$17:$P$28)</f>
        <v>291875.40854234324</v>
      </c>
      <c r="P19" s="488"/>
      <c r="Q19" s="329"/>
      <c r="R19" s="329"/>
    </row>
    <row r="20" spans="1:18">
      <c r="A20" s="389">
        <f t="shared" si="0"/>
        <v>9</v>
      </c>
      <c r="B20" s="1" t="s">
        <v>40</v>
      </c>
      <c r="C20" s="345">
        <v>10989.074128119682</v>
      </c>
      <c r="D20" s="345">
        <v>10989.074128119682</v>
      </c>
      <c r="E20" s="345">
        <v>10989.074128119682</v>
      </c>
      <c r="F20" s="345">
        <v>10989.074128119682</v>
      </c>
      <c r="G20" s="345">
        <v>10989.074128119682</v>
      </c>
      <c r="H20" s="345">
        <v>10989.074128119682</v>
      </c>
      <c r="I20" s="345">
        <v>10843.474128119682</v>
      </c>
      <c r="J20" s="345">
        <v>10843.474128119682</v>
      </c>
      <c r="K20" s="345">
        <v>10843.474128119682</v>
      </c>
      <c r="L20" s="345">
        <v>10989.074128119682</v>
      </c>
      <c r="M20" s="345">
        <v>10989.074128119682</v>
      </c>
      <c r="N20" s="345">
        <v>10989.074128119682</v>
      </c>
      <c r="O20" s="345">
        <f t="shared" si="1"/>
        <v>131432.08953743617</v>
      </c>
      <c r="P20" s="345"/>
      <c r="Q20" s="329"/>
    </row>
    <row r="21" spans="1:18">
      <c r="A21" s="389">
        <f t="shared" si="0"/>
        <v>10</v>
      </c>
      <c r="B21" s="1" t="s">
        <v>965</v>
      </c>
      <c r="C21" s="345">
        <v>16439.713634810283</v>
      </c>
      <c r="D21" s="345">
        <v>16439.713634810283</v>
      </c>
      <c r="E21" s="345">
        <v>16439.713634810283</v>
      </c>
      <c r="F21" s="345">
        <v>16439.713634810283</v>
      </c>
      <c r="G21" s="345">
        <v>16439.713634810283</v>
      </c>
      <c r="H21" s="345">
        <v>16439.713634810283</v>
      </c>
      <c r="I21" s="345">
        <v>16170.353634810284</v>
      </c>
      <c r="J21" s="345">
        <v>38592.753634810288</v>
      </c>
      <c r="K21" s="345">
        <v>16170.353634810283</v>
      </c>
      <c r="L21" s="345">
        <v>16439.713634810283</v>
      </c>
      <c r="M21" s="345">
        <v>16439.713634810283</v>
      </c>
      <c r="N21" s="345">
        <v>16439.713634810283</v>
      </c>
      <c r="O21" s="345">
        <f t="shared" si="1"/>
        <v>218890.88361772342</v>
      </c>
      <c r="P21" s="345"/>
      <c r="Q21" s="329"/>
    </row>
    <row r="22" spans="1:18">
      <c r="A22" s="389">
        <f t="shared" si="0"/>
        <v>11</v>
      </c>
      <c r="B22" s="1" t="s">
        <v>1181</v>
      </c>
      <c r="C22" s="345">
        <v>7842.4321811012924</v>
      </c>
      <c r="D22" s="345">
        <v>7842.4321811012915</v>
      </c>
      <c r="E22" s="345">
        <v>7842.4321811012915</v>
      </c>
      <c r="F22" s="345">
        <v>7842.4321811012924</v>
      </c>
      <c r="G22" s="345">
        <v>7842.4321811012915</v>
      </c>
      <c r="H22" s="345">
        <v>7842.4321811012924</v>
      </c>
      <c r="I22" s="345">
        <v>7842.4321811012924</v>
      </c>
      <c r="J22" s="345">
        <v>7842.4321811012933</v>
      </c>
      <c r="K22" s="345">
        <v>7842.4321811012924</v>
      </c>
      <c r="L22" s="345">
        <v>7842.4321811012924</v>
      </c>
      <c r="M22" s="345">
        <v>7842.4321811012924</v>
      </c>
      <c r="N22" s="345">
        <v>7842.4321811012915</v>
      </c>
      <c r="O22" s="345">
        <f t="shared" si="1"/>
        <v>94109.186173215508</v>
      </c>
      <c r="P22" s="345"/>
      <c r="Q22" s="329"/>
    </row>
    <row r="23" spans="1:18">
      <c r="A23" s="389">
        <f t="shared" si="0"/>
        <v>12</v>
      </c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</row>
    <row r="24" spans="1:18">
      <c r="A24" s="389">
        <f t="shared" si="0"/>
        <v>13</v>
      </c>
      <c r="B24" s="1" t="s">
        <v>91</v>
      </c>
      <c r="C24" s="781">
        <f>SUM(C12:C23)</f>
        <v>1153487.9356844095</v>
      </c>
      <c r="D24" s="781">
        <f t="shared" ref="D24:N24" si="3">SUM(D12:D23)</f>
        <v>1134256.9356844095</v>
      </c>
      <c r="E24" s="781">
        <f t="shared" si="3"/>
        <v>1134206.9356844095</v>
      </c>
      <c r="F24" s="781">
        <f t="shared" si="3"/>
        <v>1208396.9356844095</v>
      </c>
      <c r="G24" s="781">
        <f t="shared" si="3"/>
        <v>1134424.9356844095</v>
      </c>
      <c r="H24" s="781">
        <f t="shared" si="3"/>
        <v>1134308.9356844095</v>
      </c>
      <c r="I24" s="781">
        <f t="shared" si="3"/>
        <v>1135076.9465005316</v>
      </c>
      <c r="J24" s="781">
        <f t="shared" si="3"/>
        <v>1157579.3465005315</v>
      </c>
      <c r="K24" s="781">
        <f t="shared" si="3"/>
        <v>1135463.9465005316</v>
      </c>
      <c r="L24" s="781">
        <f t="shared" si="3"/>
        <v>1135578.9065005316</v>
      </c>
      <c r="M24" s="781">
        <f t="shared" si="3"/>
        <v>1135491.9065005316</v>
      </c>
      <c r="N24" s="781">
        <f t="shared" si="3"/>
        <v>1205268.9065005316</v>
      </c>
      <c r="O24" s="781">
        <f>SUM(C24:N24)</f>
        <v>13803542.573109645</v>
      </c>
      <c r="P24" s="487"/>
    </row>
    <row r="25" spans="1:18">
      <c r="A25" s="389">
        <f t="shared" si="0"/>
        <v>14</v>
      </c>
    </row>
    <row r="26" spans="1:18">
      <c r="A26" s="389">
        <f t="shared" si="0"/>
        <v>15</v>
      </c>
    </row>
    <row r="27" spans="1:18" ht="15.75">
      <c r="A27" s="389">
        <f t="shared" si="0"/>
        <v>16</v>
      </c>
      <c r="B27" s="22" t="s">
        <v>71</v>
      </c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203"/>
    </row>
    <row r="28" spans="1:18">
      <c r="A28" s="389">
        <f t="shared" si="0"/>
        <v>17</v>
      </c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248"/>
    </row>
    <row r="29" spans="1:18">
      <c r="A29" s="389">
        <f t="shared" si="0"/>
        <v>18</v>
      </c>
      <c r="B29" s="1" t="s">
        <v>1514</v>
      </c>
      <c r="C29" s="687">
        <v>388440.48447280994</v>
      </c>
      <c r="D29" s="687">
        <v>388440.48447280994</v>
      </c>
      <c r="E29" s="687">
        <v>388440.48447280994</v>
      </c>
      <c r="F29" s="687">
        <v>388440.48447281</v>
      </c>
      <c r="G29" s="687">
        <v>388440.48447280994</v>
      </c>
      <c r="H29" s="687">
        <v>388440.48447280994</v>
      </c>
      <c r="I29" s="687">
        <v>402035.90142935835</v>
      </c>
      <c r="J29" s="687">
        <v>402035.9014293584</v>
      </c>
      <c r="K29" s="687">
        <v>402035.90142935823</v>
      </c>
      <c r="L29" s="687">
        <v>402035.90142935835</v>
      </c>
      <c r="M29" s="687">
        <v>402035.90142935835</v>
      </c>
      <c r="N29" s="687">
        <v>402035.90142935823</v>
      </c>
      <c r="O29" s="707">
        <f>SUM(C29:N29)</f>
        <v>4742858.3154130094</v>
      </c>
    </row>
    <row r="30" spans="1:18">
      <c r="A30" s="389">
        <f t="shared" si="0"/>
        <v>19</v>
      </c>
      <c r="B30" s="1" t="s">
        <v>280</v>
      </c>
      <c r="C30" s="838">
        <v>63200</v>
      </c>
      <c r="D30" s="838">
        <v>63200</v>
      </c>
      <c r="E30" s="838">
        <v>63200</v>
      </c>
      <c r="F30" s="838">
        <v>63200</v>
      </c>
      <c r="G30" s="838">
        <v>63200</v>
      </c>
      <c r="H30" s="838">
        <v>63200</v>
      </c>
      <c r="I30" s="838">
        <v>55800</v>
      </c>
      <c r="J30" s="838">
        <v>55800</v>
      </c>
      <c r="K30" s="838">
        <v>55800</v>
      </c>
      <c r="L30" s="838">
        <v>63200</v>
      </c>
      <c r="M30" s="838">
        <v>63200</v>
      </c>
      <c r="N30" s="838">
        <v>63200</v>
      </c>
      <c r="O30" s="345">
        <f>SUM(C30:N30)</f>
        <v>736200</v>
      </c>
      <c r="P30" s="345"/>
      <c r="Q30" s="345"/>
      <c r="R30" s="329"/>
    </row>
    <row r="31" spans="1:18">
      <c r="A31" s="389">
        <f t="shared" si="0"/>
        <v>20</v>
      </c>
      <c r="B31" s="1" t="s">
        <v>199</v>
      </c>
      <c r="C31" s="838">
        <v>0</v>
      </c>
      <c r="D31" s="345">
        <v>0</v>
      </c>
      <c r="E31" s="345">
        <v>0</v>
      </c>
      <c r="F31" s="345">
        <v>0</v>
      </c>
      <c r="G31" s="345">
        <v>0</v>
      </c>
      <c r="H31" s="345">
        <v>0</v>
      </c>
      <c r="I31" s="345">
        <v>0</v>
      </c>
      <c r="J31" s="345">
        <v>0</v>
      </c>
      <c r="K31" s="345">
        <v>0</v>
      </c>
      <c r="L31" s="345">
        <v>0</v>
      </c>
      <c r="M31" s="345">
        <v>0</v>
      </c>
      <c r="N31" s="345">
        <v>0</v>
      </c>
      <c r="O31" s="345">
        <f t="shared" ref="O31:O34" si="4">SUM(C31:N31)</f>
        <v>0</v>
      </c>
    </row>
    <row r="32" spans="1:18">
      <c r="A32" s="389">
        <f t="shared" si="0"/>
        <v>21</v>
      </c>
      <c r="B32" s="1" t="s">
        <v>200</v>
      </c>
      <c r="C32" s="838">
        <v>0</v>
      </c>
      <c r="D32" s="345">
        <v>0</v>
      </c>
      <c r="E32" s="345">
        <v>0</v>
      </c>
      <c r="F32" s="345">
        <v>0</v>
      </c>
      <c r="G32" s="345">
        <v>0</v>
      </c>
      <c r="H32" s="345">
        <v>0</v>
      </c>
      <c r="I32" s="345">
        <v>0</v>
      </c>
      <c r="J32" s="345">
        <v>0</v>
      </c>
      <c r="K32" s="345">
        <v>0</v>
      </c>
      <c r="L32" s="345">
        <v>0</v>
      </c>
      <c r="M32" s="345">
        <v>0</v>
      </c>
      <c r="N32" s="345">
        <v>0</v>
      </c>
      <c r="O32" s="345">
        <f t="shared" si="4"/>
        <v>0</v>
      </c>
    </row>
    <row r="33" spans="1:18">
      <c r="A33" s="389">
        <f t="shared" si="0"/>
        <v>22</v>
      </c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</row>
    <row r="34" spans="1:18">
      <c r="A34" s="389">
        <f t="shared" si="0"/>
        <v>23</v>
      </c>
      <c r="B34" s="1" t="s">
        <v>201</v>
      </c>
      <c r="C34" s="781">
        <f t="shared" ref="C34:N34" si="5">SUM(C27:C33)</f>
        <v>451640.48447280994</v>
      </c>
      <c r="D34" s="781">
        <f t="shared" si="5"/>
        <v>451640.48447280994</v>
      </c>
      <c r="E34" s="781">
        <f t="shared" si="5"/>
        <v>451640.48447280994</v>
      </c>
      <c r="F34" s="781">
        <f t="shared" si="5"/>
        <v>451640.48447281</v>
      </c>
      <c r="G34" s="781">
        <f t="shared" si="5"/>
        <v>451640.48447280994</v>
      </c>
      <c r="H34" s="781">
        <f t="shared" si="5"/>
        <v>451640.48447280994</v>
      </c>
      <c r="I34" s="781">
        <f t="shared" si="5"/>
        <v>457835.90142935835</v>
      </c>
      <c r="J34" s="781">
        <f t="shared" si="5"/>
        <v>457835.9014293584</v>
      </c>
      <c r="K34" s="781">
        <f t="shared" si="5"/>
        <v>457835.90142935823</v>
      </c>
      <c r="L34" s="781">
        <f t="shared" si="5"/>
        <v>465235.90142935835</v>
      </c>
      <c r="M34" s="781">
        <f t="shared" si="5"/>
        <v>465235.90142935835</v>
      </c>
      <c r="N34" s="781">
        <f t="shared" si="5"/>
        <v>465235.90142935823</v>
      </c>
      <c r="O34" s="781">
        <f t="shared" si="4"/>
        <v>5479058.3154130094</v>
      </c>
    </row>
    <row r="35" spans="1:18">
      <c r="A35" s="389">
        <f t="shared" si="0"/>
        <v>24</v>
      </c>
    </row>
    <row r="36" spans="1:18" s="30" customFormat="1">
      <c r="A36" s="389">
        <f t="shared" si="0"/>
        <v>25</v>
      </c>
      <c r="B36" s="30" t="s">
        <v>1617</v>
      </c>
      <c r="C36" s="781">
        <f>+C21</f>
        <v>16439.713634810283</v>
      </c>
      <c r="D36" s="781">
        <f t="shared" ref="D36:O36" si="6">+D21</f>
        <v>16439.713634810283</v>
      </c>
      <c r="E36" s="781">
        <f t="shared" si="6"/>
        <v>16439.713634810283</v>
      </c>
      <c r="F36" s="781">
        <f t="shared" si="6"/>
        <v>16439.713634810283</v>
      </c>
      <c r="G36" s="781">
        <f t="shared" si="6"/>
        <v>16439.713634810283</v>
      </c>
      <c r="H36" s="781">
        <f t="shared" si="6"/>
        <v>16439.713634810283</v>
      </c>
      <c r="I36" s="781">
        <f t="shared" si="6"/>
        <v>16170.353634810284</v>
      </c>
      <c r="J36" s="781">
        <f t="shared" si="6"/>
        <v>38592.753634810288</v>
      </c>
      <c r="K36" s="781">
        <f t="shared" si="6"/>
        <v>16170.353634810283</v>
      </c>
      <c r="L36" s="781">
        <f t="shared" si="6"/>
        <v>16439.713634810283</v>
      </c>
      <c r="M36" s="781">
        <f t="shared" si="6"/>
        <v>16439.713634810283</v>
      </c>
      <c r="N36" s="781">
        <f t="shared" si="6"/>
        <v>16439.713634810283</v>
      </c>
      <c r="O36" s="781">
        <f t="shared" si="6"/>
        <v>218890.88361772342</v>
      </c>
    </row>
    <row r="37" spans="1:18">
      <c r="A37" s="389">
        <f t="shared" si="0"/>
        <v>26</v>
      </c>
    </row>
    <row r="38" spans="1:18">
      <c r="A38" s="389">
        <f t="shared" si="0"/>
        <v>27</v>
      </c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8" ht="15.75">
      <c r="A39" s="389">
        <f t="shared" si="0"/>
        <v>28</v>
      </c>
      <c r="B39" s="22" t="s">
        <v>72</v>
      </c>
      <c r="C39" s="483"/>
      <c r="D39" s="483"/>
      <c r="E39" s="483"/>
      <c r="F39" s="483"/>
      <c r="G39" s="483"/>
      <c r="H39" s="483"/>
      <c r="I39" s="483"/>
      <c r="J39" s="483"/>
      <c r="K39" s="483"/>
      <c r="L39" s="483"/>
      <c r="M39" s="483"/>
      <c r="N39" s="483"/>
      <c r="O39" s="203"/>
      <c r="P39" s="329"/>
    </row>
    <row r="40" spans="1:18">
      <c r="A40" s="389">
        <f t="shared" si="0"/>
        <v>29</v>
      </c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248"/>
    </row>
    <row r="41" spans="1:18">
      <c r="A41" s="389">
        <f t="shared" si="0"/>
        <v>30</v>
      </c>
      <c r="B41" s="1" t="s">
        <v>1514</v>
      </c>
      <c r="C41" s="687">
        <v>251797.64088240883</v>
      </c>
      <c r="D41" s="687">
        <v>251797.6408824088</v>
      </c>
      <c r="E41" s="687">
        <v>251797.64088240883</v>
      </c>
      <c r="F41" s="687">
        <v>251797.6408824088</v>
      </c>
      <c r="G41" s="687">
        <v>251797.64088240883</v>
      </c>
      <c r="H41" s="687">
        <v>251797.64088240883</v>
      </c>
      <c r="I41" s="687">
        <v>260610.55831329309</v>
      </c>
      <c r="J41" s="687">
        <v>260610.55831329312</v>
      </c>
      <c r="K41" s="687">
        <v>260610.55831329312</v>
      </c>
      <c r="L41" s="687">
        <v>260610.55831329309</v>
      </c>
      <c r="M41" s="687">
        <v>260610.55831329312</v>
      </c>
      <c r="N41" s="687">
        <v>260610.55831329312</v>
      </c>
      <c r="O41" s="707">
        <f t="shared" ref="O41:O44" si="7">SUM(C41:N41)</f>
        <v>3074449.1951742107</v>
      </c>
    </row>
    <row r="42" spans="1:18">
      <c r="A42" s="389">
        <f t="shared" si="0"/>
        <v>31</v>
      </c>
      <c r="B42" s="1" t="s">
        <v>280</v>
      </c>
      <c r="C42" s="838">
        <v>50100</v>
      </c>
      <c r="D42" s="345">
        <v>50100</v>
      </c>
      <c r="E42" s="345">
        <v>50100</v>
      </c>
      <c r="F42" s="345">
        <v>50100</v>
      </c>
      <c r="G42" s="345">
        <v>50100</v>
      </c>
      <c r="H42" s="345">
        <v>50100</v>
      </c>
      <c r="I42" s="345">
        <v>46100</v>
      </c>
      <c r="J42" s="345">
        <v>46100</v>
      </c>
      <c r="K42" s="345">
        <v>46100</v>
      </c>
      <c r="L42" s="345">
        <v>50100</v>
      </c>
      <c r="M42" s="345">
        <v>50100</v>
      </c>
      <c r="N42" s="345">
        <v>50100</v>
      </c>
      <c r="O42" s="345">
        <f>SUM(C42:N42)</f>
        <v>589200</v>
      </c>
      <c r="P42" s="345"/>
      <c r="Q42" s="345"/>
      <c r="R42" s="329"/>
    </row>
    <row r="43" spans="1:18">
      <c r="A43" s="389">
        <f t="shared" si="0"/>
        <v>32</v>
      </c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</row>
    <row r="44" spans="1:18">
      <c r="A44" s="389">
        <f t="shared" si="0"/>
        <v>33</v>
      </c>
      <c r="B44" s="1" t="s">
        <v>201</v>
      </c>
      <c r="C44" s="781">
        <f t="shared" ref="C44:N44" si="8">SUM(C39:C42)</f>
        <v>301897.64088240883</v>
      </c>
      <c r="D44" s="781">
        <f t="shared" si="8"/>
        <v>301897.64088240883</v>
      </c>
      <c r="E44" s="781">
        <f t="shared" si="8"/>
        <v>301897.64088240883</v>
      </c>
      <c r="F44" s="781">
        <f t="shared" si="8"/>
        <v>301897.64088240883</v>
      </c>
      <c r="G44" s="781">
        <f t="shared" si="8"/>
        <v>301897.64088240883</v>
      </c>
      <c r="H44" s="781">
        <f t="shared" si="8"/>
        <v>301897.64088240883</v>
      </c>
      <c r="I44" s="781">
        <f t="shared" si="8"/>
        <v>306710.55831329309</v>
      </c>
      <c r="J44" s="781">
        <f t="shared" si="8"/>
        <v>306710.55831329315</v>
      </c>
      <c r="K44" s="781">
        <f t="shared" si="8"/>
        <v>306710.55831329315</v>
      </c>
      <c r="L44" s="781">
        <f t="shared" si="8"/>
        <v>310710.55831329309</v>
      </c>
      <c r="M44" s="781">
        <f t="shared" si="8"/>
        <v>310710.55831329315</v>
      </c>
      <c r="N44" s="781">
        <f t="shared" si="8"/>
        <v>310710.55831329315</v>
      </c>
      <c r="O44" s="781">
        <f t="shared" si="7"/>
        <v>3663649.1951742116</v>
      </c>
    </row>
    <row r="45" spans="1:18">
      <c r="A45" s="389">
        <f t="shared" si="0"/>
        <v>34</v>
      </c>
    </row>
    <row r="46" spans="1:18" s="30" customFormat="1">
      <c r="A46" s="389">
        <f t="shared" si="0"/>
        <v>35</v>
      </c>
      <c r="B46" s="30" t="s">
        <v>1617</v>
      </c>
      <c r="C46" s="781">
        <f>+C20</f>
        <v>10989.074128119682</v>
      </c>
      <c r="D46" s="781">
        <f t="shared" ref="D46:O46" si="9">+D20</f>
        <v>10989.074128119682</v>
      </c>
      <c r="E46" s="781">
        <f t="shared" si="9"/>
        <v>10989.074128119682</v>
      </c>
      <c r="F46" s="781">
        <f t="shared" si="9"/>
        <v>10989.074128119682</v>
      </c>
      <c r="G46" s="781">
        <f t="shared" si="9"/>
        <v>10989.074128119682</v>
      </c>
      <c r="H46" s="781">
        <f t="shared" si="9"/>
        <v>10989.074128119682</v>
      </c>
      <c r="I46" s="781">
        <f t="shared" si="9"/>
        <v>10843.474128119682</v>
      </c>
      <c r="J46" s="781">
        <f t="shared" si="9"/>
        <v>10843.474128119682</v>
      </c>
      <c r="K46" s="781">
        <f t="shared" si="9"/>
        <v>10843.474128119682</v>
      </c>
      <c r="L46" s="781">
        <f t="shared" si="9"/>
        <v>10989.074128119682</v>
      </c>
      <c r="M46" s="781">
        <f t="shared" si="9"/>
        <v>10989.074128119682</v>
      </c>
      <c r="N46" s="781">
        <f t="shared" si="9"/>
        <v>10989.074128119682</v>
      </c>
      <c r="O46" s="781">
        <f t="shared" si="9"/>
        <v>131432.08953743617</v>
      </c>
    </row>
    <row r="47" spans="1:18">
      <c r="A47" s="389">
        <f t="shared" si="0"/>
        <v>36</v>
      </c>
    </row>
    <row r="48" spans="1:18">
      <c r="A48" s="389">
        <f t="shared" si="0"/>
        <v>37</v>
      </c>
    </row>
    <row r="49" spans="1:18" ht="15.75">
      <c r="A49" s="389">
        <f t="shared" si="0"/>
        <v>38</v>
      </c>
      <c r="B49" s="22" t="s">
        <v>73</v>
      </c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203"/>
    </row>
    <row r="50" spans="1:18">
      <c r="A50" s="389">
        <f t="shared" si="0"/>
        <v>39</v>
      </c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  <c r="O50" s="248"/>
    </row>
    <row r="51" spans="1:18">
      <c r="A51" s="389">
        <f t="shared" si="0"/>
        <v>40</v>
      </c>
      <c r="B51" s="1" t="s">
        <v>1514</v>
      </c>
      <c r="C51" s="687">
        <v>15897.896170892544</v>
      </c>
      <c r="D51" s="687">
        <v>15897.896170892542</v>
      </c>
      <c r="E51" s="687">
        <v>15897.896170892542</v>
      </c>
      <c r="F51" s="687">
        <v>15897.896170892544</v>
      </c>
      <c r="G51" s="687">
        <v>15897.896170892542</v>
      </c>
      <c r="H51" s="687">
        <v>15897.896170892544</v>
      </c>
      <c r="I51" s="687">
        <v>16454.32253687378</v>
      </c>
      <c r="J51" s="687">
        <v>16454.322536873784</v>
      </c>
      <c r="K51" s="687">
        <v>16454.32253687378</v>
      </c>
      <c r="L51" s="687">
        <v>16454.32253687378</v>
      </c>
      <c r="M51" s="687">
        <v>16454.32253687378</v>
      </c>
      <c r="N51" s="687">
        <v>16454.32253687378</v>
      </c>
      <c r="O51" s="707">
        <f t="shared" ref="O51:O56" si="10">SUM(C51:N51)</f>
        <v>194113.31224659792</v>
      </c>
    </row>
    <row r="52" spans="1:18">
      <c r="A52" s="389">
        <f t="shared" si="0"/>
        <v>41</v>
      </c>
      <c r="B52" t="s">
        <v>1180</v>
      </c>
      <c r="C52" s="838">
        <v>0</v>
      </c>
      <c r="D52" s="345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0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f t="shared" si="10"/>
        <v>0</v>
      </c>
    </row>
    <row r="53" spans="1:18">
      <c r="A53" s="389">
        <f t="shared" si="0"/>
        <v>42</v>
      </c>
      <c r="B53" s="1" t="s">
        <v>280</v>
      </c>
      <c r="C53" s="838">
        <v>0</v>
      </c>
      <c r="D53" s="345">
        <v>0</v>
      </c>
      <c r="E53" s="345">
        <v>0</v>
      </c>
      <c r="F53" s="345">
        <v>0</v>
      </c>
      <c r="G53" s="345">
        <v>0</v>
      </c>
      <c r="H53" s="345">
        <v>0</v>
      </c>
      <c r="I53" s="345">
        <v>0</v>
      </c>
      <c r="J53" s="345">
        <v>0</v>
      </c>
      <c r="K53" s="345">
        <v>0</v>
      </c>
      <c r="L53" s="345">
        <v>0</v>
      </c>
      <c r="M53" s="345">
        <v>0</v>
      </c>
      <c r="N53" s="345">
        <v>0</v>
      </c>
      <c r="O53" s="345">
        <f>SUM(C53:N53)</f>
        <v>0</v>
      </c>
      <c r="P53" s="345"/>
      <c r="Q53" s="345"/>
      <c r="R53" s="329"/>
    </row>
    <row r="54" spans="1:18">
      <c r="A54" s="389">
        <f t="shared" si="0"/>
        <v>43</v>
      </c>
      <c r="B54" t="s">
        <v>1277</v>
      </c>
      <c r="C54" s="838">
        <v>0</v>
      </c>
      <c r="D54" s="838">
        <v>0</v>
      </c>
      <c r="E54" s="838">
        <v>0</v>
      </c>
      <c r="F54" s="838">
        <v>0</v>
      </c>
      <c r="G54" s="838">
        <v>0</v>
      </c>
      <c r="H54" s="838">
        <v>0</v>
      </c>
      <c r="I54" s="838">
        <v>0</v>
      </c>
      <c r="J54" s="838">
        <v>0</v>
      </c>
      <c r="K54" s="838">
        <v>0</v>
      </c>
      <c r="L54" s="838">
        <v>0</v>
      </c>
      <c r="M54" s="838">
        <v>0</v>
      </c>
      <c r="N54" s="838">
        <v>0</v>
      </c>
      <c r="O54" s="838">
        <v>0</v>
      </c>
      <c r="P54" s="487"/>
    </row>
    <row r="55" spans="1:18">
      <c r="A55" s="389">
        <f t="shared" si="0"/>
        <v>44</v>
      </c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</row>
    <row r="56" spans="1:18">
      <c r="A56" s="389">
        <f t="shared" si="0"/>
        <v>45</v>
      </c>
      <c r="B56" s="1" t="s">
        <v>201</v>
      </c>
      <c r="C56" s="781">
        <f t="shared" ref="C56:N56" si="11">SUM(C49:C55)</f>
        <v>15897.896170892544</v>
      </c>
      <c r="D56" s="781">
        <f t="shared" si="11"/>
        <v>15897.896170892542</v>
      </c>
      <c r="E56" s="781">
        <f t="shared" si="11"/>
        <v>15897.896170892542</v>
      </c>
      <c r="F56" s="781">
        <f t="shared" si="11"/>
        <v>15897.896170892544</v>
      </c>
      <c r="G56" s="781">
        <f t="shared" si="11"/>
        <v>15897.896170892542</v>
      </c>
      <c r="H56" s="781">
        <f t="shared" si="11"/>
        <v>15897.896170892544</v>
      </c>
      <c r="I56" s="781">
        <f t="shared" si="11"/>
        <v>16454.32253687378</v>
      </c>
      <c r="J56" s="781">
        <f t="shared" si="11"/>
        <v>16454.322536873784</v>
      </c>
      <c r="K56" s="781">
        <f t="shared" si="11"/>
        <v>16454.32253687378</v>
      </c>
      <c r="L56" s="781">
        <f t="shared" si="11"/>
        <v>16454.32253687378</v>
      </c>
      <c r="M56" s="781">
        <f t="shared" si="11"/>
        <v>16454.32253687378</v>
      </c>
      <c r="N56" s="781">
        <f t="shared" si="11"/>
        <v>16454.32253687378</v>
      </c>
      <c r="O56" s="781">
        <f t="shared" si="10"/>
        <v>194113.31224659792</v>
      </c>
    </row>
    <row r="57" spans="1:18">
      <c r="A57" s="389">
        <f t="shared" si="0"/>
        <v>46</v>
      </c>
      <c r="G57" s="486"/>
    </row>
    <row r="58" spans="1:18" s="30" customFormat="1">
      <c r="A58" s="389">
        <f t="shared" si="0"/>
        <v>47</v>
      </c>
      <c r="B58" s="30" t="s">
        <v>202</v>
      </c>
      <c r="C58" s="781">
        <f>+C22</f>
        <v>7842.4321811012924</v>
      </c>
      <c r="D58" s="781">
        <f t="shared" ref="D58:O58" si="12">+D22</f>
        <v>7842.4321811012915</v>
      </c>
      <c r="E58" s="781">
        <f t="shared" si="12"/>
        <v>7842.4321811012915</v>
      </c>
      <c r="F58" s="781">
        <f t="shared" si="12"/>
        <v>7842.4321811012924</v>
      </c>
      <c r="G58" s="781">
        <f t="shared" si="12"/>
        <v>7842.4321811012915</v>
      </c>
      <c r="H58" s="781">
        <f t="shared" si="12"/>
        <v>7842.4321811012924</v>
      </c>
      <c r="I58" s="781">
        <f t="shared" si="12"/>
        <v>7842.4321811012924</v>
      </c>
      <c r="J58" s="781">
        <f t="shared" si="12"/>
        <v>7842.4321811012933</v>
      </c>
      <c r="K58" s="781">
        <f t="shared" si="12"/>
        <v>7842.4321811012924</v>
      </c>
      <c r="L58" s="781">
        <f t="shared" si="12"/>
        <v>7842.4321811012924</v>
      </c>
      <c r="M58" s="781">
        <f t="shared" si="12"/>
        <v>7842.4321811012924</v>
      </c>
      <c r="N58" s="781">
        <f t="shared" si="12"/>
        <v>7842.4321811012915</v>
      </c>
      <c r="O58" s="781">
        <f t="shared" si="12"/>
        <v>94109.186173215508</v>
      </c>
    </row>
    <row r="59" spans="1:18" s="30" customFormat="1">
      <c r="A59" s="389"/>
      <c r="C59" s="713"/>
      <c r="D59" s="713"/>
      <c r="E59" s="713"/>
      <c r="F59" s="713"/>
      <c r="G59" s="713"/>
      <c r="H59" s="713"/>
      <c r="I59" s="713"/>
      <c r="J59" s="713"/>
      <c r="K59" s="713"/>
      <c r="L59" s="713"/>
      <c r="M59" s="713"/>
      <c r="N59" s="713"/>
      <c r="O59" s="713"/>
    </row>
    <row r="60" spans="1:18" s="30" customFormat="1">
      <c r="A60" s="389"/>
      <c r="C60" s="713"/>
      <c r="D60" s="713"/>
      <c r="E60" s="713"/>
      <c r="F60" s="713"/>
      <c r="G60" s="713"/>
      <c r="H60" s="713"/>
      <c r="I60" s="713"/>
      <c r="J60" s="713"/>
      <c r="K60" s="713"/>
      <c r="L60" s="713"/>
      <c r="M60" s="713"/>
      <c r="N60" s="713"/>
      <c r="O60" s="713"/>
    </row>
    <row r="61" spans="1:18">
      <c r="B61" s="489"/>
    </row>
    <row r="62" spans="1:18">
      <c r="B62" t="s">
        <v>1537</v>
      </c>
    </row>
    <row r="63" spans="1:18">
      <c r="B63" s="1" t="s">
        <v>1674</v>
      </c>
    </row>
  </sheetData>
  <mergeCells count="4">
    <mergeCell ref="A1:O1"/>
    <mergeCell ref="A2:O2"/>
    <mergeCell ref="A3:O3"/>
    <mergeCell ref="A4:O4"/>
  </mergeCells>
  <phoneticPr fontId="20" type="noConversion"/>
  <printOptions horizontalCentered="1"/>
  <pageMargins left="0.17" right="0.17" top="0.66" bottom="0.17" header="0.5" footer="0.44"/>
  <pageSetup scale="53" orientation="landscape" r:id="rId1"/>
  <headerFooter alignWithMargins="0">
    <oddFooter>&amp;RSchedule &amp;A
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view="pageBreakPreview" zoomScale="85" zoomScaleNormal="85" zoomScaleSheetLayoutView="85" workbookViewId="0">
      <selection activeCell="H21" sqref="H21"/>
    </sheetView>
  </sheetViews>
  <sheetFormatPr defaultRowHeight="15"/>
  <cols>
    <col min="1" max="1" width="6.5546875" customWidth="1"/>
    <col min="2" max="2" width="47.6640625" customWidth="1"/>
    <col min="3" max="3" width="7" bestFit="1" customWidth="1"/>
    <col min="4" max="4" width="5.44140625" customWidth="1"/>
    <col min="5" max="5" width="15.88671875" bestFit="1" customWidth="1"/>
  </cols>
  <sheetData>
    <row r="1" spans="1:7" s="1" customFormat="1" ht="14.25" customHeight="1">
      <c r="A1" s="1057" t="str">
        <f>'Table of Contents'!A1:C1</f>
        <v>Atmos Energy Corporation, Kentucky/Mid-States Division</v>
      </c>
      <c r="B1" s="1057"/>
      <c r="C1" s="1057"/>
      <c r="D1" s="1057"/>
      <c r="E1" s="1057"/>
    </row>
    <row r="2" spans="1:7" s="1" customFormat="1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</row>
    <row r="3" spans="1:7" s="1" customFormat="1">
      <c r="A3" s="1072" t="s">
        <v>1643</v>
      </c>
      <c r="B3" s="1072"/>
      <c r="C3" s="1072"/>
      <c r="D3" s="1072"/>
      <c r="E3" s="1072"/>
      <c r="G3" s="375"/>
    </row>
    <row r="4" spans="1:7" s="1" customFormat="1">
      <c r="A4" s="1057" t="str">
        <f>'Table of Contents'!A4:C4</f>
        <v>Forecasted Test Period:  Twelve Months Ended March 31, 2026</v>
      </c>
      <c r="B4" s="1057"/>
      <c r="C4" s="1057"/>
      <c r="D4" s="1057"/>
      <c r="E4" s="1057"/>
    </row>
    <row r="5" spans="1:7" s="1" customFormat="1">
      <c r="B5" s="25"/>
      <c r="C5" s="25"/>
      <c r="D5" s="25"/>
    </row>
    <row r="6" spans="1:7" s="1" customFormat="1">
      <c r="A6" s="699" t="str">
        <f>'C.2.1 F'!A6</f>
        <v>Data:________Base Period___X____Forecasted Period</v>
      </c>
      <c r="E6" s="84" t="s">
        <v>1344</v>
      </c>
    </row>
    <row r="7" spans="1:7" s="1" customFormat="1">
      <c r="A7" s="699" t="str">
        <f>'C.2.1 F'!A7</f>
        <v>Type of Filing:___X____Original________Updated ________Revised</v>
      </c>
      <c r="E7" s="283" t="s">
        <v>687</v>
      </c>
    </row>
    <row r="8" spans="1:7" s="1" customFormat="1">
      <c r="A8" s="717" t="str">
        <f>'C.2.1 F'!A8</f>
        <v>Workpaper Reference No(s).____________________</v>
      </c>
      <c r="B8" s="28"/>
      <c r="C8" s="6"/>
      <c r="D8" s="6"/>
      <c r="E8" s="801" t="str">
        <f>'C.2.3 B'!O8</f>
        <v>Witness: Waller</v>
      </c>
    </row>
    <row r="9" spans="1:7" s="1" customFormat="1">
      <c r="A9" s="135" t="s">
        <v>88</v>
      </c>
      <c r="C9" s="50" t="s">
        <v>426</v>
      </c>
      <c r="D9" s="50"/>
      <c r="E9" s="793"/>
    </row>
    <row r="10" spans="1:7" s="1" customFormat="1">
      <c r="A10" s="229" t="s">
        <v>94</v>
      </c>
      <c r="B10" s="139" t="s">
        <v>185</v>
      </c>
      <c r="C10" s="142" t="s">
        <v>427</v>
      </c>
      <c r="D10" s="1027"/>
      <c r="E10" s="837" t="s">
        <v>100</v>
      </c>
      <c r="F10" s="38"/>
    </row>
    <row r="12" spans="1:7" ht="15.75">
      <c r="A12" s="37">
        <v>1</v>
      </c>
      <c r="B12" s="22" t="s">
        <v>187</v>
      </c>
    </row>
    <row r="13" spans="1:7">
      <c r="A13" s="37">
        <f>A12+1</f>
        <v>2</v>
      </c>
    </row>
    <row r="14" spans="1:7">
      <c r="A14" s="37">
        <f t="shared" ref="A14:A27" si="0">A13+1</f>
        <v>3</v>
      </c>
      <c r="B14" t="s">
        <v>1629</v>
      </c>
      <c r="C14" t="s">
        <v>1631</v>
      </c>
      <c r="E14" s="636">
        <f>'C.2.3 B'!O16</f>
        <v>11322473</v>
      </c>
    </row>
    <row r="15" spans="1:7">
      <c r="A15" s="37">
        <f t="shared" si="0"/>
        <v>4</v>
      </c>
    </row>
    <row r="16" spans="1:7" ht="15.75">
      <c r="A16" s="37">
        <f t="shared" si="0"/>
        <v>5</v>
      </c>
      <c r="B16" t="s">
        <v>1641</v>
      </c>
      <c r="E16">
        <v>1000000</v>
      </c>
    </row>
    <row r="17" spans="1:5">
      <c r="A17" s="37">
        <f t="shared" si="0"/>
        <v>6</v>
      </c>
      <c r="B17" t="s">
        <v>1640</v>
      </c>
      <c r="E17">
        <v>-339931</v>
      </c>
    </row>
    <row r="18" spans="1:5">
      <c r="A18" s="37">
        <f t="shared" si="0"/>
        <v>7</v>
      </c>
    </row>
    <row r="19" spans="1:5">
      <c r="A19" s="37">
        <f t="shared" si="0"/>
        <v>8</v>
      </c>
      <c r="B19" t="s">
        <v>1630</v>
      </c>
      <c r="E19" s="1028">
        <f>SUM(E14:E18)</f>
        <v>11982542</v>
      </c>
    </row>
    <row r="20" spans="1:5">
      <c r="A20" s="37">
        <f t="shared" si="0"/>
        <v>9</v>
      </c>
    </row>
    <row r="21" spans="1:5">
      <c r="A21" s="37">
        <f t="shared" si="0"/>
        <v>10</v>
      </c>
      <c r="B21" t="s">
        <v>1632</v>
      </c>
      <c r="C21" t="s">
        <v>1633</v>
      </c>
      <c r="E21" s="1029">
        <f>'B.2 B'!$I$117</f>
        <v>909763471.3569653</v>
      </c>
    </row>
    <row r="22" spans="1:5">
      <c r="A22" s="37">
        <f t="shared" si="0"/>
        <v>11</v>
      </c>
    </row>
    <row r="23" spans="1:5">
      <c r="A23" s="37">
        <f t="shared" si="0"/>
        <v>12</v>
      </c>
      <c r="B23" t="s">
        <v>1634</v>
      </c>
      <c r="E23" s="39">
        <f>E19/E21</f>
        <v>1.3171052012153598E-2</v>
      </c>
    </row>
    <row r="24" spans="1:5">
      <c r="A24" s="37">
        <f t="shared" si="0"/>
        <v>13</v>
      </c>
    </row>
    <row r="25" spans="1:5">
      <c r="A25" s="37">
        <f t="shared" si="0"/>
        <v>14</v>
      </c>
      <c r="B25" t="s">
        <v>1635</v>
      </c>
      <c r="C25" t="s">
        <v>1636</v>
      </c>
      <c r="E25" s="1029">
        <f>'B.2 F'!$I$117</f>
        <v>940325172.67742944</v>
      </c>
    </row>
    <row r="26" spans="1:5">
      <c r="A26" s="37">
        <f t="shared" si="0"/>
        <v>15</v>
      </c>
    </row>
    <row r="27" spans="1:5">
      <c r="A27" s="37">
        <f t="shared" si="0"/>
        <v>16</v>
      </c>
      <c r="B27" t="s">
        <v>1637</v>
      </c>
      <c r="E27" s="636">
        <f>E25*E23</f>
        <v>12385071.757671736</v>
      </c>
    </row>
    <row r="29" spans="1:5">
      <c r="A29" s="1030" t="s">
        <v>1642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C23"/>
  <sheetViews>
    <sheetView view="pageBreakPreview" zoomScale="80" zoomScaleNormal="80" zoomScaleSheetLayoutView="80" workbookViewId="0">
      <selection sqref="A1:C1"/>
    </sheetView>
  </sheetViews>
  <sheetFormatPr defaultRowHeight="15"/>
  <cols>
    <col min="2" max="2" width="8.109375" customWidth="1"/>
    <col min="3" max="3" width="68.44140625" bestFit="1" customWidth="1"/>
  </cols>
  <sheetData>
    <row r="1" spans="1:3">
      <c r="A1" s="1057" t="str">
        <f>'Table of Contents'!A1:C1</f>
        <v>Atmos Energy Corporation, Kentucky/Mid-States Division</v>
      </c>
      <c r="B1" s="1057"/>
      <c r="C1" s="1057"/>
    </row>
    <row r="2" spans="1:3">
      <c r="A2" s="1057" t="str">
        <f>'Table of Contents'!A2:C2</f>
        <v xml:space="preserve">Kentucky Jurisdiction Case No. 2024-00276 </v>
      </c>
      <c r="B2" s="1057"/>
      <c r="C2" s="1057"/>
    </row>
    <row r="3" spans="1:3">
      <c r="A3" s="1057" t="str">
        <f>'Table of Contents'!A3:C3</f>
        <v>Base Period: Twelve Months Ended December 31, 2024</v>
      </c>
      <c r="B3" s="1057"/>
      <c r="C3" s="1057"/>
    </row>
    <row r="4" spans="1:3">
      <c r="A4" s="1057" t="str">
        <f>'Table of Contents'!A4:C4</f>
        <v>Forecasted Test Period:  Twelve Months Ended March 31, 2026</v>
      </c>
      <c r="B4" s="1057"/>
      <c r="C4" s="1057"/>
    </row>
    <row r="13" spans="1:3">
      <c r="A13" s="1053" t="s">
        <v>1345</v>
      </c>
      <c r="B13" s="1053"/>
      <c r="C13" s="1053"/>
    </row>
    <row r="15" spans="1:3">
      <c r="A15" s="1053" t="s">
        <v>57</v>
      </c>
      <c r="B15" s="1053"/>
      <c r="C15" s="1053"/>
    </row>
    <row r="18" spans="1:3">
      <c r="A18" s="41" t="s">
        <v>56</v>
      </c>
      <c r="B18" s="41" t="s">
        <v>587</v>
      </c>
      <c r="C18" s="41" t="s">
        <v>949</v>
      </c>
    </row>
    <row r="20" spans="1:3">
      <c r="A20" t="s">
        <v>1026</v>
      </c>
      <c r="B20" s="37">
        <v>4</v>
      </c>
      <c r="C20" t="s">
        <v>1038</v>
      </c>
    </row>
    <row r="21" spans="1:3">
      <c r="A21" t="s">
        <v>448</v>
      </c>
      <c r="B21" s="37">
        <v>1</v>
      </c>
      <c r="C21" t="s">
        <v>409</v>
      </c>
    </row>
    <row r="22" spans="1:3">
      <c r="A22" t="s">
        <v>1050</v>
      </c>
      <c r="B22" s="37">
        <v>1</v>
      </c>
      <c r="C22" t="s">
        <v>409</v>
      </c>
    </row>
    <row r="23" spans="1:3">
      <c r="A23" t="s">
        <v>1052</v>
      </c>
      <c r="B23" s="37">
        <v>1</v>
      </c>
      <c r="C23" t="s">
        <v>409</v>
      </c>
    </row>
  </sheetData>
  <mergeCells count="6">
    <mergeCell ref="A4:C4"/>
    <mergeCell ref="A13:C13"/>
    <mergeCell ref="A15:C15"/>
    <mergeCell ref="A1:C1"/>
    <mergeCell ref="A2:C2"/>
    <mergeCell ref="A3:C3"/>
  </mergeCells>
  <phoneticPr fontId="20" type="noConversion"/>
  <pageMargins left="0.87" right="0.69" top="1" bottom="1" header="0.5" footer="0.5"/>
  <pageSetup scale="86" orientation="portrait" r:id="rId1"/>
  <headerFooter alignWithMargins="0"/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2D050"/>
    <pageSetUpPr fitToPage="1"/>
  </sheetPr>
  <dimension ref="A1:U178"/>
  <sheetViews>
    <sheetView view="pageBreakPreview" topLeftCell="A148" zoomScale="80" zoomScaleNormal="100" zoomScaleSheetLayoutView="80" workbookViewId="0">
      <selection activeCell="B178" sqref="B178"/>
    </sheetView>
  </sheetViews>
  <sheetFormatPr defaultColWidth="7.109375" defaultRowHeight="15.75" customHeight="1"/>
  <cols>
    <col min="1" max="1" width="15.21875" style="45" customWidth="1"/>
    <col min="2" max="2" width="9.109375" style="45" customWidth="1"/>
    <col min="3" max="3" width="43.109375" style="45" customWidth="1"/>
    <col min="4" max="4" width="12.44140625" style="45" customWidth="1"/>
    <col min="5" max="5" width="1.44140625" style="45" customWidth="1"/>
    <col min="6" max="6" width="13.33203125" style="45" customWidth="1"/>
    <col min="7" max="7" width="1.44140625" style="45" customWidth="1"/>
    <col min="8" max="8" width="12.5546875" style="45" customWidth="1"/>
    <col min="9" max="9" width="1.44140625" style="45" customWidth="1"/>
    <col min="10" max="10" width="16" style="45" customWidth="1"/>
    <col min="11" max="11" width="1.44140625" style="45" customWidth="1"/>
    <col min="12" max="12" width="10.5546875" style="45" bestFit="1" customWidth="1"/>
    <col min="13" max="13" width="1.44140625" style="45" customWidth="1"/>
    <col min="14" max="14" width="12" style="45" customWidth="1"/>
    <col min="15" max="15" width="1.44140625" style="45" customWidth="1"/>
    <col min="16" max="16" width="13.5546875" style="45" customWidth="1"/>
    <col min="17" max="17" width="10" style="45" bestFit="1" customWidth="1"/>
    <col min="18" max="18" width="8" style="45" customWidth="1"/>
    <col min="19" max="19" width="9.5546875" style="45" customWidth="1"/>
    <col min="20" max="20" width="6.109375" style="45" customWidth="1"/>
    <col min="21" max="21" width="5.33203125" style="45" customWidth="1"/>
    <col min="22" max="22" width="7.44140625" style="45" customWidth="1"/>
    <col min="23" max="16384" width="7.109375" style="45"/>
  </cols>
  <sheetData>
    <row r="1" spans="1:16" ht="15.75" customHeight="1">
      <c r="A1" s="839" t="str">
        <f>'Table of Contents'!A1:C1</f>
        <v>Atmos Energy Corporation, Kentucky/Mid-States Division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.75" customHeight="1">
      <c r="A2" s="839" t="str">
        <f>'Table of Contents'!A2:C2</f>
        <v xml:space="preserve">Kentucky Jurisdiction Case No. 2024-00276 </v>
      </c>
      <c r="B2" s="109"/>
      <c r="C2" s="109"/>
      <c r="D2" s="565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15.75" customHeight="1">
      <c r="A3" s="47" t="s">
        <v>51</v>
      </c>
      <c r="B3" s="109"/>
      <c r="C3" s="109"/>
      <c r="D3" s="566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15.75" customHeight="1">
      <c r="A4" s="47" t="s">
        <v>820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1:16" ht="15.75" customHeight="1">
      <c r="A5" s="839" t="str">
        <f>Allocation!A4</f>
        <v>Forecasted Test Period:  Twelve Months Ended March 31, 2026</v>
      </c>
      <c r="B5" s="109"/>
      <c r="C5" s="109"/>
      <c r="D5" s="47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6" ht="15.75" customHeight="1">
      <c r="A6" s="47"/>
      <c r="B6" s="109"/>
      <c r="C6" s="109"/>
      <c r="D6" s="47"/>
      <c r="E6" s="109"/>
      <c r="F6" s="109"/>
      <c r="G6" s="109"/>
      <c r="H6" s="109"/>
      <c r="I6" s="109"/>
      <c r="J6" s="109"/>
      <c r="K6" s="109"/>
      <c r="M6" s="109"/>
      <c r="O6" s="109"/>
    </row>
    <row r="7" spans="1:16" ht="15.75" customHeight="1">
      <c r="A7" s="48" t="s">
        <v>653</v>
      </c>
      <c r="N7" s="48"/>
      <c r="P7" s="286" t="s">
        <v>1346</v>
      </c>
    </row>
    <row r="8" spans="1:16" ht="15.75" customHeight="1">
      <c r="A8" s="48" t="s">
        <v>1649</v>
      </c>
      <c r="P8" s="378" t="s">
        <v>650</v>
      </c>
    </row>
    <row r="9" spans="1:16" ht="15.75" customHeight="1">
      <c r="A9" s="129" t="s">
        <v>356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379"/>
      <c r="M9" s="130"/>
      <c r="N9" s="130"/>
      <c r="O9" s="130"/>
      <c r="P9" s="567" t="s">
        <v>1665</v>
      </c>
    </row>
    <row r="10" spans="1:16" ht="15.75" customHeight="1">
      <c r="H10" s="131" t="s">
        <v>210</v>
      </c>
    </row>
    <row r="11" spans="1:16" ht="15.75" customHeight="1">
      <c r="A11" s="131" t="s">
        <v>88</v>
      </c>
      <c r="B11" s="157" t="s">
        <v>1234</v>
      </c>
      <c r="D11" s="131" t="s">
        <v>42</v>
      </c>
      <c r="F11" s="568" t="s">
        <v>448</v>
      </c>
      <c r="G11" s="569"/>
      <c r="H11" s="568" t="s">
        <v>448</v>
      </c>
      <c r="I11" s="570"/>
      <c r="J11" s="568" t="s">
        <v>448</v>
      </c>
      <c r="K11" s="569"/>
      <c r="L11" s="568" t="s">
        <v>1050</v>
      </c>
      <c r="M11" s="570"/>
      <c r="N11" s="568" t="s">
        <v>1050</v>
      </c>
      <c r="O11" s="569"/>
      <c r="P11" s="568" t="s">
        <v>91</v>
      </c>
    </row>
    <row r="12" spans="1:16" ht="15.75" customHeight="1">
      <c r="A12" s="516" t="s">
        <v>94</v>
      </c>
      <c r="B12" s="158" t="s">
        <v>211</v>
      </c>
      <c r="C12" s="130"/>
      <c r="D12" s="516" t="s">
        <v>511</v>
      </c>
      <c r="E12" s="130"/>
      <c r="F12" s="516" t="s">
        <v>579</v>
      </c>
      <c r="G12" s="129" t="s">
        <v>314</v>
      </c>
      <c r="H12" s="516" t="s">
        <v>442</v>
      </c>
      <c r="I12" s="129" t="s">
        <v>314</v>
      </c>
      <c r="J12" s="516" t="s">
        <v>443</v>
      </c>
      <c r="K12" s="129" t="s">
        <v>314</v>
      </c>
      <c r="L12" s="516" t="s">
        <v>444</v>
      </c>
      <c r="M12" s="129" t="s">
        <v>314</v>
      </c>
      <c r="N12" s="516" t="s">
        <v>445</v>
      </c>
      <c r="O12" s="130"/>
      <c r="P12" s="516" t="s">
        <v>449</v>
      </c>
    </row>
    <row r="14" spans="1:16" ht="15.75" customHeight="1">
      <c r="B14" s="48" t="s">
        <v>1072</v>
      </c>
    </row>
    <row r="15" spans="1:16" ht="15.75" customHeight="1">
      <c r="A15" s="131" t="s">
        <v>357</v>
      </c>
      <c r="B15" s="48" t="s">
        <v>979</v>
      </c>
      <c r="D15" s="840">
        <f>'C.2.1 B'!D15</f>
        <v>87647010.4563988</v>
      </c>
      <c r="F15" s="840">
        <f>D.2.1!D15</f>
        <v>15404744.944038972</v>
      </c>
      <c r="G15" s="46"/>
      <c r="H15" s="46"/>
      <c r="I15" s="46"/>
      <c r="J15" s="46"/>
      <c r="K15" s="46"/>
      <c r="L15" s="46"/>
      <c r="M15" s="46"/>
      <c r="N15" s="46"/>
      <c r="O15" s="46"/>
      <c r="P15" s="841">
        <f>SUM(F15:O15)</f>
        <v>15404744.944038972</v>
      </c>
    </row>
    <row r="16" spans="1:16" ht="15.75" customHeight="1">
      <c r="A16" s="842">
        <f>A15+1</f>
        <v>2</v>
      </c>
      <c r="B16" s="48" t="s">
        <v>980</v>
      </c>
      <c r="D16" s="840">
        <f>'C.2.1 B'!D17</f>
        <v>41998643.1162287</v>
      </c>
      <c r="F16" s="840">
        <f>D.2.1!D20</f>
        <v>9445178.9741030335</v>
      </c>
      <c r="G16" s="46"/>
      <c r="H16" s="46"/>
      <c r="I16" s="46"/>
      <c r="J16" s="46"/>
      <c r="K16" s="46"/>
      <c r="L16" s="46"/>
      <c r="M16" s="46"/>
      <c r="N16" s="46"/>
      <c r="O16" s="46"/>
      <c r="P16" s="841">
        <f>SUM(F16:O16)</f>
        <v>9445178.9741030335</v>
      </c>
    </row>
    <row r="17" spans="1:16" ht="15.75" customHeight="1">
      <c r="A17" s="842">
        <f t="shared" ref="A17:A42" si="0">A16+1</f>
        <v>3</v>
      </c>
      <c r="B17" s="48" t="s">
        <v>981</v>
      </c>
      <c r="D17" s="840">
        <f>'C.2.1 B'!D18</f>
        <v>4073458.9587275949</v>
      </c>
      <c r="F17" s="840">
        <f>D.2.1!D25</f>
        <v>1057173.0832992611</v>
      </c>
      <c r="G17" s="46"/>
      <c r="H17" s="46"/>
      <c r="I17" s="46"/>
      <c r="J17" s="46"/>
      <c r="K17" s="46"/>
      <c r="L17" s="46"/>
      <c r="M17" s="46"/>
      <c r="N17" s="46"/>
      <c r="O17" s="46"/>
      <c r="P17" s="841">
        <f>SUM(F17:O17)</f>
        <v>1057173.0832992611</v>
      </c>
    </row>
    <row r="18" spans="1:16" ht="15.75" customHeight="1">
      <c r="A18" s="842">
        <f t="shared" si="0"/>
        <v>4</v>
      </c>
      <c r="B18" s="48" t="s">
        <v>982</v>
      </c>
      <c r="D18" s="840">
        <f>'C.2.1 B'!D21</f>
        <v>5745917.5156199615</v>
      </c>
      <c r="F18" s="840">
        <f>D.2.1!D30</f>
        <v>1452591.5153689552</v>
      </c>
      <c r="G18" s="46"/>
      <c r="H18" s="46"/>
      <c r="I18" s="46"/>
      <c r="J18" s="46"/>
      <c r="K18" s="46"/>
      <c r="L18" s="46"/>
      <c r="M18" s="46"/>
      <c r="N18" s="46"/>
      <c r="O18" s="46"/>
      <c r="P18" s="841">
        <f>SUM(F18:O18)</f>
        <v>1452591.5153689552</v>
      </c>
    </row>
    <row r="19" spans="1:16" ht="15.75" customHeight="1">
      <c r="A19" s="842">
        <f t="shared" si="0"/>
        <v>5</v>
      </c>
      <c r="B19" s="48"/>
      <c r="D19" s="265"/>
      <c r="F19" s="70"/>
      <c r="G19" s="46"/>
      <c r="H19" s="70"/>
      <c r="I19" s="46"/>
      <c r="J19" s="70"/>
      <c r="K19" s="46"/>
      <c r="L19" s="70"/>
      <c r="M19" s="46"/>
      <c r="N19" s="70"/>
      <c r="O19" s="46"/>
      <c r="P19" s="70"/>
    </row>
    <row r="20" spans="1:16" ht="15.75" customHeight="1">
      <c r="A20" s="842">
        <f t="shared" si="0"/>
        <v>6</v>
      </c>
      <c r="D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ht="15.75" customHeight="1">
      <c r="A21" s="842">
        <f t="shared" si="0"/>
        <v>7</v>
      </c>
      <c r="B21" s="48" t="s">
        <v>553</v>
      </c>
      <c r="D21" s="841">
        <f>SUM(D15:D19)</f>
        <v>139465030.04697505</v>
      </c>
      <c r="F21" s="841">
        <f>SUM(F15:F19)</f>
        <v>27359688.516810223</v>
      </c>
      <c r="G21" s="46"/>
      <c r="H21" s="841">
        <f>SUM(H15:H19)</f>
        <v>0</v>
      </c>
      <c r="I21" s="46"/>
      <c r="J21" s="841">
        <f>SUM(J15:J19)</f>
        <v>0</v>
      </c>
      <c r="K21" s="46"/>
      <c r="L21" s="841">
        <f>SUM(L15:L19)</f>
        <v>0</v>
      </c>
      <c r="M21" s="46"/>
      <c r="N21" s="841">
        <f>SUM(N15:N19)</f>
        <v>0</v>
      </c>
      <c r="O21" s="46"/>
      <c r="P21" s="841">
        <f>SUM(F21:O21)</f>
        <v>27359688.516810223</v>
      </c>
    </row>
    <row r="22" spans="1:16" ht="15.75" customHeight="1">
      <c r="A22" s="842">
        <f t="shared" si="0"/>
        <v>8</v>
      </c>
      <c r="D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5.75" customHeight="1">
      <c r="A23" s="842">
        <f t="shared" si="0"/>
        <v>9</v>
      </c>
      <c r="B23" s="48" t="s">
        <v>413</v>
      </c>
      <c r="D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ht="15.75" customHeight="1">
      <c r="A24" s="842">
        <f t="shared" si="0"/>
        <v>10</v>
      </c>
      <c r="B24" s="48" t="s">
        <v>222</v>
      </c>
      <c r="D24" s="840">
        <f>'C.2.1 B'!D26</f>
        <v>197310.00629602867</v>
      </c>
      <c r="F24" s="46"/>
      <c r="G24" s="46"/>
      <c r="H24" s="840">
        <f>D.2.1!D40</f>
        <v>170151.89366981824</v>
      </c>
      <c r="I24" s="46"/>
      <c r="J24" s="46"/>
      <c r="K24" s="46"/>
      <c r="L24" s="46"/>
      <c r="M24" s="46"/>
      <c r="N24" s="46"/>
      <c r="O24" s="46"/>
      <c r="P24" s="841">
        <f>SUM(F24:O24)</f>
        <v>170151.89366981824</v>
      </c>
    </row>
    <row r="25" spans="1:16" ht="15.75" customHeight="1">
      <c r="A25" s="842">
        <f t="shared" si="0"/>
        <v>11</v>
      </c>
      <c r="B25" s="48" t="s">
        <v>539</v>
      </c>
      <c r="D25" s="840">
        <f>'C.2.1 B'!D27</f>
        <v>58913</v>
      </c>
      <c r="F25" s="46"/>
      <c r="G25" s="46"/>
      <c r="H25" s="840">
        <f>D.2.1!D45</f>
        <v>-1</v>
      </c>
      <c r="I25" s="46"/>
      <c r="J25" s="46"/>
      <c r="K25" s="46"/>
      <c r="L25" s="46"/>
      <c r="M25" s="46"/>
      <c r="N25" s="46"/>
      <c r="O25" s="46"/>
      <c r="P25" s="841">
        <f>SUM(F25:O25)</f>
        <v>-1</v>
      </c>
    </row>
    <row r="26" spans="1:16" ht="15.75" customHeight="1">
      <c r="A26" s="842">
        <f t="shared" si="0"/>
        <v>12</v>
      </c>
      <c r="B26" s="48" t="s">
        <v>1179</v>
      </c>
      <c r="D26" s="840">
        <f>'C.2.1 B'!D28</f>
        <v>21748886.757502422</v>
      </c>
      <c r="F26" s="46"/>
      <c r="G26" s="46"/>
      <c r="H26" s="840">
        <f>D.2.1!D50</f>
        <v>-1177966.0022424199</v>
      </c>
      <c r="I26" s="46"/>
      <c r="J26" s="46"/>
      <c r="K26" s="46"/>
      <c r="L26" s="46"/>
      <c r="M26" s="46"/>
      <c r="N26" s="46"/>
      <c r="O26" s="46"/>
      <c r="P26" s="841">
        <f>SUM(F26:O26)</f>
        <v>-1177966.0022424199</v>
      </c>
    </row>
    <row r="27" spans="1:16" ht="15.75" customHeight="1">
      <c r="A27" s="842">
        <f t="shared" si="0"/>
        <v>13</v>
      </c>
      <c r="B27" s="48" t="s">
        <v>214</v>
      </c>
      <c r="D27" s="843">
        <f>'C.2.1 B'!D29</f>
        <v>0</v>
      </c>
      <c r="F27" s="70"/>
      <c r="G27" s="46"/>
      <c r="H27" s="844">
        <f>D.2.1!D55</f>
        <v>0</v>
      </c>
      <c r="I27" s="46"/>
      <c r="J27" s="70"/>
      <c r="K27" s="46"/>
      <c r="L27" s="70"/>
      <c r="M27" s="46"/>
      <c r="N27" s="70"/>
      <c r="O27" s="46"/>
      <c r="P27" s="610">
        <f>SUM(F27:O27)</f>
        <v>0</v>
      </c>
    </row>
    <row r="28" spans="1:16" ht="15.75" customHeight="1">
      <c r="A28" s="842">
        <f t="shared" si="0"/>
        <v>14</v>
      </c>
      <c r="D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6" ht="15.75" customHeight="1">
      <c r="A29" s="842">
        <f t="shared" si="0"/>
        <v>15</v>
      </c>
      <c r="B29" s="48" t="s">
        <v>1114</v>
      </c>
      <c r="D29" s="610">
        <f>SUM(D24:D27)</f>
        <v>22005109.763798449</v>
      </c>
      <c r="F29" s="610">
        <f>SUM(F25:F27)</f>
        <v>0</v>
      </c>
      <c r="G29" s="46"/>
      <c r="H29" s="610">
        <f>SUM(H24:H27)</f>
        <v>-1007815.1085726016</v>
      </c>
      <c r="I29" s="46"/>
      <c r="J29" s="610">
        <f>SUM(J25:J27)</f>
        <v>0</v>
      </c>
      <c r="L29" s="610">
        <f>SUM(L25:L27)</f>
        <v>0</v>
      </c>
      <c r="M29" s="46"/>
      <c r="N29" s="610">
        <f>SUM(N25:N27)</f>
        <v>0</v>
      </c>
      <c r="O29" s="46"/>
      <c r="P29" s="610">
        <f>SUM(F29:O29)</f>
        <v>-1007815.1085726016</v>
      </c>
    </row>
    <row r="30" spans="1:16" ht="15.75" customHeight="1">
      <c r="A30" s="842">
        <f t="shared" si="0"/>
        <v>16</v>
      </c>
      <c r="D30" s="46"/>
      <c r="F30" s="46"/>
      <c r="G30" s="46"/>
      <c r="H30" s="46"/>
      <c r="I30" s="46"/>
      <c r="J30" s="46"/>
      <c r="L30" s="46"/>
      <c r="M30" s="46"/>
      <c r="N30" s="46"/>
      <c r="O30" s="46"/>
      <c r="P30" s="46"/>
    </row>
    <row r="31" spans="1:16" ht="15.75" customHeight="1">
      <c r="A31" s="842">
        <f t="shared" si="0"/>
        <v>17</v>
      </c>
      <c r="B31" s="48" t="s">
        <v>459</v>
      </c>
      <c r="D31" s="845">
        <f>D21+D29</f>
        <v>161470139.81077349</v>
      </c>
      <c r="F31" s="845">
        <f>F21+F29</f>
        <v>27359688.516810223</v>
      </c>
      <c r="G31" s="46"/>
      <c r="H31" s="845">
        <f>H21+H29</f>
        <v>-1007815.1085726016</v>
      </c>
      <c r="I31" s="46"/>
      <c r="J31" s="845">
        <f>J21+J29</f>
        <v>0</v>
      </c>
      <c r="L31" s="845">
        <f>L21+L29</f>
        <v>0</v>
      </c>
      <c r="M31" s="46"/>
      <c r="N31" s="845">
        <f>N21+N29</f>
        <v>0</v>
      </c>
      <c r="O31" s="46"/>
      <c r="P31" s="845">
        <f>SUM(F31:O31)</f>
        <v>26351873.408237621</v>
      </c>
    </row>
    <row r="32" spans="1:16" ht="15.75" customHeight="1">
      <c r="A32" s="842">
        <f t="shared" si="0"/>
        <v>18</v>
      </c>
      <c r="D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1:20" ht="15.75" customHeight="1">
      <c r="A33" s="842">
        <f t="shared" si="0"/>
        <v>19</v>
      </c>
      <c r="B33" s="48" t="s">
        <v>807</v>
      </c>
      <c r="D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1:20" ht="15.75" customHeight="1">
      <c r="A34" s="842">
        <f t="shared" si="0"/>
        <v>20</v>
      </c>
      <c r="B34" s="48" t="s">
        <v>215</v>
      </c>
      <c r="D34" s="844">
        <f>'C.2.1 B'!D105</f>
        <v>52986727.226981685</v>
      </c>
      <c r="F34" s="70"/>
      <c r="G34" s="46"/>
      <c r="H34" s="70"/>
      <c r="I34" s="46"/>
      <c r="J34" s="844">
        <f>D.2.1!D60</f>
        <v>34654170.844917715</v>
      </c>
      <c r="K34" s="46"/>
      <c r="L34" s="70"/>
      <c r="M34" s="46"/>
      <c r="N34" s="70"/>
      <c r="O34" s="46"/>
      <c r="P34" s="610">
        <f>SUM(F34:O34)</f>
        <v>34654170.844917715</v>
      </c>
    </row>
    <row r="35" spans="1:20" ht="15.75" customHeight="1">
      <c r="A35" s="842">
        <f t="shared" si="0"/>
        <v>21</v>
      </c>
      <c r="D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20" ht="15.75" customHeight="1">
      <c r="A36" s="842">
        <f t="shared" si="0"/>
        <v>22</v>
      </c>
      <c r="B36" s="48" t="s">
        <v>808</v>
      </c>
      <c r="D36" s="610">
        <f>SUM(D34:D34)</f>
        <v>52986727.226981685</v>
      </c>
      <c r="F36" s="610">
        <f>SUM(F34:F34)</f>
        <v>0</v>
      </c>
      <c r="G36" s="46"/>
      <c r="H36" s="610">
        <f>SUM(H34:H34)</f>
        <v>0</v>
      </c>
      <c r="I36" s="46"/>
      <c r="J36" s="610">
        <f>SUM(J34:J34)</f>
        <v>34654170.844917715</v>
      </c>
      <c r="K36" s="46"/>
      <c r="L36" s="610">
        <f>SUM(L34:L34)</f>
        <v>0</v>
      </c>
      <c r="N36" s="610">
        <f>SUM(N34:N34)</f>
        <v>0</v>
      </c>
      <c r="O36" s="46"/>
      <c r="P36" s="610">
        <f>SUM(F36:O36)</f>
        <v>34654170.844917715</v>
      </c>
    </row>
    <row r="37" spans="1:20" ht="15.75" customHeight="1">
      <c r="A37" s="842">
        <f t="shared" si="0"/>
        <v>23</v>
      </c>
      <c r="D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20" ht="15.75" customHeight="1">
      <c r="A38" s="842">
        <f t="shared" si="0"/>
        <v>24</v>
      </c>
      <c r="B38" s="48" t="s">
        <v>460</v>
      </c>
      <c r="D38" s="845">
        <f>D31-D36</f>
        <v>108483412.58379181</v>
      </c>
      <c r="F38" s="845">
        <f>F31-F36</f>
        <v>27359688.516810223</v>
      </c>
      <c r="G38" s="46"/>
      <c r="H38" s="845">
        <f>H31-H36</f>
        <v>-1007815.1085726016</v>
      </c>
      <c r="I38" s="46"/>
      <c r="J38" s="845">
        <f>J31-J36</f>
        <v>-34654170.844917715</v>
      </c>
      <c r="K38" s="46"/>
      <c r="L38" s="845">
        <f>L31-L36</f>
        <v>0</v>
      </c>
      <c r="N38" s="845">
        <f>N31-N36</f>
        <v>0</v>
      </c>
      <c r="O38" s="46"/>
      <c r="P38" s="845">
        <f>SUM(F38:O38)</f>
        <v>-8302297.4366800934</v>
      </c>
    </row>
    <row r="39" spans="1:20" ht="15.75" customHeight="1">
      <c r="A39" s="842">
        <f t="shared" si="0"/>
        <v>25</v>
      </c>
      <c r="D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20" ht="15.75" customHeight="1">
      <c r="A40" s="842">
        <f t="shared" si="0"/>
        <v>26</v>
      </c>
      <c r="B40" s="48" t="s">
        <v>216</v>
      </c>
      <c r="D40" s="846">
        <f>Allocation!E25</f>
        <v>0.2495</v>
      </c>
      <c r="F40" s="845">
        <f>F38*$D$40</f>
        <v>6826242.2849441506</v>
      </c>
      <c r="G40" s="46"/>
      <c r="H40" s="845">
        <f>H38*$D$40</f>
        <v>-251449.86958886409</v>
      </c>
      <c r="I40" s="46"/>
      <c r="J40" s="845">
        <f>J38*$D$40</f>
        <v>-8646215.6258069705</v>
      </c>
      <c r="K40" s="46"/>
      <c r="L40" s="845">
        <f>L38*$D$40</f>
        <v>0</v>
      </c>
      <c r="M40" s="46"/>
      <c r="N40" s="845">
        <f>N38*$D$40</f>
        <v>0</v>
      </c>
      <c r="O40" s="46"/>
      <c r="P40" s="845">
        <f>P38*$D$40</f>
        <v>-2071423.2104516833</v>
      </c>
    </row>
    <row r="41" spans="1:20" ht="15.75" customHeight="1">
      <c r="A41" s="842">
        <f t="shared" si="0"/>
        <v>27</v>
      </c>
      <c r="D41" s="132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20" ht="15.75" customHeight="1">
      <c r="A42" s="842">
        <f t="shared" si="0"/>
        <v>28</v>
      </c>
      <c r="B42" s="48" t="s">
        <v>809</v>
      </c>
      <c r="D42" s="46"/>
      <c r="F42" s="845">
        <f>F38-F40</f>
        <v>20533446.231866073</v>
      </c>
      <c r="G42" s="46"/>
      <c r="H42" s="845">
        <f>H38-H40</f>
        <v>-756365.23898373754</v>
      </c>
      <c r="I42" s="46"/>
      <c r="J42" s="845">
        <f>J38-J40</f>
        <v>-26007955.219110742</v>
      </c>
      <c r="K42" s="46"/>
      <c r="L42" s="845">
        <f>L38-L40</f>
        <v>0</v>
      </c>
      <c r="M42" s="46"/>
      <c r="N42" s="845">
        <f>N38-N40</f>
        <v>0</v>
      </c>
      <c r="O42" s="46"/>
      <c r="P42" s="845">
        <f>P38-P40</f>
        <v>-6230874.2262284104</v>
      </c>
    </row>
    <row r="43" spans="1:20" ht="15.75" customHeight="1">
      <c r="A43" s="131"/>
      <c r="B43" s="48"/>
      <c r="D43" s="46"/>
      <c r="F43" s="162"/>
      <c r="G43" s="46"/>
      <c r="H43" s="162"/>
      <c r="I43" s="46"/>
      <c r="J43" s="162"/>
      <c r="K43" s="46"/>
      <c r="L43" s="162"/>
      <c r="M43" s="46"/>
      <c r="N43" s="162"/>
      <c r="O43" s="46"/>
      <c r="P43" s="162"/>
    </row>
    <row r="44" spans="1:20" ht="15.75" customHeight="1">
      <c r="H44" s="131" t="s">
        <v>210</v>
      </c>
      <c r="P44" s="131" t="s">
        <v>1051</v>
      </c>
    </row>
    <row r="45" spans="1:20" ht="15.75" customHeight="1">
      <c r="A45" s="131" t="s">
        <v>88</v>
      </c>
      <c r="B45" s="157" t="s">
        <v>1085</v>
      </c>
      <c r="D45" s="131" t="s">
        <v>42</v>
      </c>
      <c r="F45" s="568" t="s">
        <v>1050</v>
      </c>
      <c r="G45" s="569"/>
      <c r="H45" s="568" t="s">
        <v>1050</v>
      </c>
      <c r="I45" s="570"/>
      <c r="J45" s="568" t="s">
        <v>1050</v>
      </c>
      <c r="K45" s="570"/>
      <c r="L45" s="568" t="s">
        <v>1050</v>
      </c>
      <c r="M45" s="570"/>
      <c r="N45" s="568" t="s">
        <v>1050</v>
      </c>
      <c r="O45" s="570"/>
      <c r="P45" s="131" t="s">
        <v>91</v>
      </c>
    </row>
    <row r="46" spans="1:20" ht="15.75" customHeight="1">
      <c r="A46" s="516" t="s">
        <v>94</v>
      </c>
      <c r="B46" s="158" t="s">
        <v>211</v>
      </c>
      <c r="C46" s="130"/>
      <c r="D46" s="516" t="s">
        <v>511</v>
      </c>
      <c r="E46" s="130"/>
      <c r="F46" s="516" t="s">
        <v>579</v>
      </c>
      <c r="G46" s="129" t="s">
        <v>314</v>
      </c>
      <c r="H46" s="516" t="s">
        <v>442</v>
      </c>
      <c r="I46" s="129" t="s">
        <v>314</v>
      </c>
      <c r="J46" s="516" t="s">
        <v>443</v>
      </c>
      <c r="K46" s="129" t="s">
        <v>314</v>
      </c>
      <c r="L46" s="516" t="s">
        <v>444</v>
      </c>
      <c r="M46" s="129" t="s">
        <v>314</v>
      </c>
      <c r="N46" s="516" t="s">
        <v>445</v>
      </c>
      <c r="O46" s="129" t="s">
        <v>314</v>
      </c>
      <c r="P46" s="516" t="s">
        <v>449</v>
      </c>
    </row>
    <row r="48" spans="1:20" ht="15.75" customHeight="1">
      <c r="A48" s="842">
        <f>A42+1</f>
        <v>29</v>
      </c>
      <c r="B48" s="571">
        <v>7590</v>
      </c>
      <c r="C48" s="45" t="s">
        <v>105</v>
      </c>
      <c r="D48" s="733">
        <f>'C.2.1 B'!D38</f>
        <v>0</v>
      </c>
      <c r="E48" s="204"/>
      <c r="F48" s="847">
        <v>0</v>
      </c>
      <c r="G48" s="230"/>
      <c r="H48" s="847">
        <v>0</v>
      </c>
      <c r="I48" s="204"/>
      <c r="J48" s="847">
        <v>0</v>
      </c>
      <c r="K48" s="204"/>
      <c r="L48" s="847">
        <v>0</v>
      </c>
      <c r="M48" s="204"/>
      <c r="N48" s="847">
        <v>0</v>
      </c>
      <c r="O48" s="262"/>
      <c r="P48" s="848">
        <f t="shared" ref="P48:P93" si="1">SUM(F48:O48)</f>
        <v>0</v>
      </c>
      <c r="T48" s="571"/>
    </row>
    <row r="49" spans="1:21" ht="15.75" customHeight="1">
      <c r="A49" s="842">
        <f t="shared" ref="A49:A93" si="2">A48+1</f>
        <v>30</v>
      </c>
      <c r="B49" s="571">
        <v>8140</v>
      </c>
      <c r="C49" s="45" t="s">
        <v>105</v>
      </c>
      <c r="D49" s="733">
        <f>'C.2.1 B'!D45</f>
        <v>0</v>
      </c>
      <c r="E49" s="204"/>
      <c r="F49" s="847">
        <v>0</v>
      </c>
      <c r="G49" s="230"/>
      <c r="H49" s="847">
        <v>0</v>
      </c>
      <c r="I49" s="204"/>
      <c r="J49" s="847">
        <v>0</v>
      </c>
      <c r="K49" s="204"/>
      <c r="L49" s="847">
        <v>0</v>
      </c>
      <c r="M49" s="204"/>
      <c r="N49" s="847">
        <v>0</v>
      </c>
      <c r="O49" s="262"/>
      <c r="P49" s="848">
        <f t="shared" si="1"/>
        <v>0</v>
      </c>
      <c r="T49" s="571"/>
    </row>
    <row r="50" spans="1:21" ht="15.75" customHeight="1">
      <c r="A50" s="842">
        <f t="shared" si="2"/>
        <v>31</v>
      </c>
      <c r="B50" s="571">
        <v>8150</v>
      </c>
      <c r="C50" s="45" t="s">
        <v>223</v>
      </c>
      <c r="D50" s="733">
        <f>'C.2.1 B'!D46</f>
        <v>0</v>
      </c>
      <c r="E50" s="204"/>
      <c r="F50" s="847">
        <v>0</v>
      </c>
      <c r="G50" s="230"/>
      <c r="H50" s="847">
        <v>0</v>
      </c>
      <c r="I50" s="204"/>
      <c r="J50" s="847">
        <v>0</v>
      </c>
      <c r="K50" s="204"/>
      <c r="L50" s="847">
        <v>0</v>
      </c>
      <c r="M50" s="204"/>
      <c r="N50" s="847">
        <v>0</v>
      </c>
      <c r="O50" s="262"/>
      <c r="P50" s="848">
        <f t="shared" si="1"/>
        <v>0</v>
      </c>
      <c r="T50" s="571"/>
    </row>
    <row r="51" spans="1:21" ht="15.75" customHeight="1">
      <c r="A51" s="842">
        <f t="shared" si="2"/>
        <v>32</v>
      </c>
      <c r="B51" s="571">
        <v>8160</v>
      </c>
      <c r="C51" s="45" t="s">
        <v>106</v>
      </c>
      <c r="D51" s="733">
        <f>'C.2.1 B'!D47</f>
        <v>33549.474566406876</v>
      </c>
      <c r="E51" s="204"/>
      <c r="F51" s="847">
        <v>1949.8195021561007</v>
      </c>
      <c r="G51" s="230"/>
      <c r="H51" s="847">
        <v>0</v>
      </c>
      <c r="I51" s="204"/>
      <c r="J51" s="847">
        <v>-335.73795715184724</v>
      </c>
      <c r="K51" s="204"/>
      <c r="L51" s="847">
        <v>0</v>
      </c>
      <c r="M51" s="204"/>
      <c r="N51" s="847">
        <v>0</v>
      </c>
      <c r="O51" s="204"/>
      <c r="P51" s="848">
        <f t="shared" si="1"/>
        <v>1614.0815450042535</v>
      </c>
      <c r="T51" s="571"/>
      <c r="U51" s="571"/>
    </row>
    <row r="52" spans="1:21" ht="15.75" customHeight="1">
      <c r="A52" s="842">
        <f t="shared" si="2"/>
        <v>33</v>
      </c>
      <c r="B52" s="571">
        <v>8170</v>
      </c>
      <c r="C52" s="45" t="s">
        <v>1150</v>
      </c>
      <c r="D52" s="733">
        <f>'C.2.1 B'!D48</f>
        <v>21362.49709374841</v>
      </c>
      <c r="E52" s="204"/>
      <c r="F52" s="847">
        <v>1517.1046510221558</v>
      </c>
      <c r="G52" s="230"/>
      <c r="H52" s="847">
        <v>113.9788172109794</v>
      </c>
      <c r="I52" s="204"/>
      <c r="J52" s="847">
        <v>-212.00608244654723</v>
      </c>
      <c r="K52" s="204"/>
      <c r="L52" s="847">
        <v>0</v>
      </c>
      <c r="M52" s="204"/>
      <c r="N52" s="847">
        <v>0</v>
      </c>
      <c r="O52" s="204"/>
      <c r="P52" s="848">
        <f t="shared" si="1"/>
        <v>1419.0773857865879</v>
      </c>
      <c r="T52" s="571"/>
      <c r="U52" s="571"/>
    </row>
    <row r="53" spans="1:21" ht="15.75" customHeight="1">
      <c r="A53" s="842">
        <f t="shared" si="2"/>
        <v>34</v>
      </c>
      <c r="B53" s="571">
        <v>8180</v>
      </c>
      <c r="C53" s="45" t="s">
        <v>1151</v>
      </c>
      <c r="D53" s="733">
        <f>'C.2.1 B'!D49</f>
        <v>39826.50315490854</v>
      </c>
      <c r="E53" s="204"/>
      <c r="F53" s="847">
        <v>4997.6537212884195</v>
      </c>
      <c r="G53" s="230"/>
      <c r="H53" s="847">
        <v>5.7542890993413494</v>
      </c>
      <c r="I53" s="204"/>
      <c r="J53" s="847">
        <v>-53.482254504011507</v>
      </c>
      <c r="K53" s="204"/>
      <c r="L53" s="847">
        <v>0</v>
      </c>
      <c r="M53" s="204"/>
      <c r="N53" s="847">
        <v>0</v>
      </c>
      <c r="O53" s="204"/>
      <c r="P53" s="848">
        <f t="shared" si="1"/>
        <v>4949.9257558837489</v>
      </c>
      <c r="T53" s="571"/>
      <c r="U53" s="571"/>
    </row>
    <row r="54" spans="1:21" ht="15.75" customHeight="1">
      <c r="A54" s="842">
        <f t="shared" si="2"/>
        <v>35</v>
      </c>
      <c r="B54" s="571">
        <v>8190</v>
      </c>
      <c r="C54" s="45" t="s">
        <v>1002</v>
      </c>
      <c r="D54" s="733">
        <f>'C.2.1 B'!D50</f>
        <v>0</v>
      </c>
      <c r="E54" s="204"/>
      <c r="F54" s="847">
        <v>0</v>
      </c>
      <c r="G54" s="230"/>
      <c r="H54" s="847">
        <v>0</v>
      </c>
      <c r="I54" s="204"/>
      <c r="J54" s="847">
        <v>0</v>
      </c>
      <c r="K54" s="204"/>
      <c r="L54" s="847">
        <v>0</v>
      </c>
      <c r="M54" s="204"/>
      <c r="N54" s="847">
        <v>0</v>
      </c>
      <c r="O54" s="204"/>
      <c r="P54" s="848">
        <f t="shared" si="1"/>
        <v>0</v>
      </c>
      <c r="T54" s="571"/>
      <c r="U54" s="571"/>
    </row>
    <row r="55" spans="1:21" ht="15.75" customHeight="1">
      <c r="A55" s="842">
        <f t="shared" si="2"/>
        <v>36</v>
      </c>
      <c r="B55" s="571">
        <v>8200</v>
      </c>
      <c r="C55" s="45" t="s">
        <v>1003</v>
      </c>
      <c r="D55" s="733">
        <f>'C.2.1 B'!D51</f>
        <v>8836.0304460746102</v>
      </c>
      <c r="E55" s="204"/>
      <c r="F55" s="847">
        <v>50.907127583346835</v>
      </c>
      <c r="G55" s="230"/>
      <c r="H55" s="847">
        <v>69.317644915152869</v>
      </c>
      <c r="I55" s="204"/>
      <c r="J55" s="847">
        <v>579.77044954942471</v>
      </c>
      <c r="K55" s="204"/>
      <c r="L55" s="847">
        <v>0</v>
      </c>
      <c r="M55" s="204"/>
      <c r="N55" s="847">
        <v>0</v>
      </c>
      <c r="O55" s="204"/>
      <c r="P55" s="848">
        <f t="shared" si="1"/>
        <v>699.99522204792447</v>
      </c>
      <c r="T55" s="571"/>
      <c r="U55" s="571"/>
    </row>
    <row r="56" spans="1:21" ht="15.75" customHeight="1">
      <c r="A56" s="842">
        <f t="shared" si="2"/>
        <v>37</v>
      </c>
      <c r="B56" s="571">
        <v>8210</v>
      </c>
      <c r="C56" s="45" t="s">
        <v>1004</v>
      </c>
      <c r="D56" s="733">
        <f>'C.2.1 B'!D52</f>
        <v>76520.962523018723</v>
      </c>
      <c r="E56" s="204"/>
      <c r="F56" s="847">
        <v>7779.130766926186</v>
      </c>
      <c r="G56" s="230"/>
      <c r="H56" s="847">
        <v>101.38551733308896</v>
      </c>
      <c r="I56" s="262"/>
      <c r="J56" s="847">
        <v>-461.53319443753026</v>
      </c>
      <c r="K56" s="204"/>
      <c r="L56" s="847">
        <v>0</v>
      </c>
      <c r="M56" s="204"/>
      <c r="N56" s="847">
        <v>0</v>
      </c>
      <c r="O56" s="204"/>
      <c r="P56" s="848">
        <f t="shared" si="1"/>
        <v>7418.9830898217442</v>
      </c>
      <c r="T56" s="571"/>
      <c r="U56" s="571"/>
    </row>
    <row r="57" spans="1:21" ht="15.75" customHeight="1">
      <c r="A57" s="842">
        <f t="shared" si="2"/>
        <v>38</v>
      </c>
      <c r="B57" s="571">
        <v>8240</v>
      </c>
      <c r="C57" s="45" t="s">
        <v>1005</v>
      </c>
      <c r="D57" s="733">
        <f>'C.2.1 B'!D53</f>
        <v>0</v>
      </c>
      <c r="E57" s="204"/>
      <c r="F57" s="847">
        <v>0</v>
      </c>
      <c r="G57" s="230"/>
      <c r="H57" s="847">
        <v>0</v>
      </c>
      <c r="I57" s="262"/>
      <c r="J57" s="847">
        <v>0</v>
      </c>
      <c r="K57" s="262"/>
      <c r="L57" s="847">
        <v>0</v>
      </c>
      <c r="M57" s="262"/>
      <c r="N57" s="847">
        <v>0</v>
      </c>
      <c r="O57" s="204"/>
      <c r="P57" s="848">
        <f t="shared" si="1"/>
        <v>0</v>
      </c>
      <c r="T57" s="571"/>
      <c r="U57" s="571"/>
    </row>
    <row r="58" spans="1:21" ht="15.75" customHeight="1">
      <c r="A58" s="842">
        <f t="shared" si="2"/>
        <v>39</v>
      </c>
      <c r="B58" s="571">
        <v>8250</v>
      </c>
      <c r="C58" s="45" t="s">
        <v>1006</v>
      </c>
      <c r="D58" s="733">
        <f>'C.2.1 B'!D54</f>
        <v>10110.669291810842</v>
      </c>
      <c r="E58" s="204"/>
      <c r="F58" s="847">
        <v>0</v>
      </c>
      <c r="G58" s="230"/>
      <c r="H58" s="847">
        <v>371.28176902281325</v>
      </c>
      <c r="I58" s="262"/>
      <c r="J58" s="847">
        <v>0</v>
      </c>
      <c r="K58" s="262"/>
      <c r="L58" s="847">
        <v>0</v>
      </c>
      <c r="M58" s="262"/>
      <c r="N58" s="847">
        <v>0</v>
      </c>
      <c r="O58" s="262"/>
      <c r="P58" s="848">
        <f t="shared" si="1"/>
        <v>371.28176902281325</v>
      </c>
      <c r="T58" s="571"/>
      <c r="U58" s="571"/>
    </row>
    <row r="59" spans="1:21" ht="15.75" customHeight="1">
      <c r="A59" s="842">
        <f t="shared" si="2"/>
        <v>40</v>
      </c>
      <c r="B59" s="571">
        <v>8310</v>
      </c>
      <c r="C59" s="45" t="s">
        <v>1007</v>
      </c>
      <c r="D59" s="733">
        <f>'C.2.1 B'!D58</f>
        <v>0</v>
      </c>
      <c r="E59" s="204"/>
      <c r="F59" s="847">
        <v>0</v>
      </c>
      <c r="G59" s="230"/>
      <c r="H59" s="847">
        <v>0</v>
      </c>
      <c r="I59" s="262"/>
      <c r="J59" s="847">
        <v>0</v>
      </c>
      <c r="K59" s="262"/>
      <c r="L59" s="847">
        <v>0</v>
      </c>
      <c r="M59" s="262"/>
      <c r="N59" s="847">
        <v>0</v>
      </c>
      <c r="O59" s="204"/>
      <c r="P59" s="848">
        <f t="shared" si="1"/>
        <v>0</v>
      </c>
      <c r="T59" s="571"/>
      <c r="U59" s="571"/>
    </row>
    <row r="60" spans="1:21" ht="15.75" customHeight="1">
      <c r="A60" s="842">
        <f t="shared" si="2"/>
        <v>41</v>
      </c>
      <c r="B60" s="571">
        <v>8320</v>
      </c>
      <c r="C60" s="45" t="s">
        <v>1008</v>
      </c>
      <c r="D60" s="733">
        <f>'C.2.1 B'!D59</f>
        <v>0</v>
      </c>
      <c r="E60" s="204"/>
      <c r="F60" s="847">
        <v>0</v>
      </c>
      <c r="G60" s="230"/>
      <c r="H60" s="847">
        <v>0</v>
      </c>
      <c r="I60" s="262"/>
      <c r="J60" s="847">
        <v>0</v>
      </c>
      <c r="K60" s="262"/>
      <c r="L60" s="847">
        <v>0</v>
      </c>
      <c r="M60" s="262"/>
      <c r="N60" s="847">
        <v>0</v>
      </c>
      <c r="O60" s="262"/>
      <c r="P60" s="848">
        <f t="shared" si="1"/>
        <v>0</v>
      </c>
      <c r="T60" s="571"/>
      <c r="U60" s="571"/>
    </row>
    <row r="61" spans="1:21" ht="15.75" customHeight="1">
      <c r="A61" s="842">
        <f t="shared" si="2"/>
        <v>42</v>
      </c>
      <c r="B61" s="571">
        <v>8340</v>
      </c>
      <c r="C61" s="45" t="s">
        <v>369</v>
      </c>
      <c r="D61" s="733">
        <f>'C.2.1 B'!D60</f>
        <v>41017.471971377607</v>
      </c>
      <c r="E61" s="204"/>
      <c r="F61" s="847">
        <v>5398.5420176629004</v>
      </c>
      <c r="G61" s="230"/>
      <c r="H61" s="847">
        <v>0</v>
      </c>
      <c r="I61" s="262"/>
      <c r="J61" s="847">
        <v>0</v>
      </c>
      <c r="K61" s="262"/>
      <c r="L61" s="847">
        <v>0</v>
      </c>
      <c r="M61" s="262"/>
      <c r="N61" s="847">
        <v>0</v>
      </c>
      <c r="O61" s="204"/>
      <c r="P61" s="848">
        <f t="shared" si="1"/>
        <v>5398.5420176629004</v>
      </c>
      <c r="T61" s="571"/>
      <c r="U61" s="571"/>
    </row>
    <row r="62" spans="1:21" ht="15.75" customHeight="1">
      <c r="A62" s="842">
        <f t="shared" si="2"/>
        <v>43</v>
      </c>
      <c r="B62" s="571">
        <v>8350</v>
      </c>
      <c r="C62" s="45" t="s">
        <v>227</v>
      </c>
      <c r="D62" s="733">
        <f>'C.2.1 B'!D61</f>
        <v>0</v>
      </c>
      <c r="E62" s="204"/>
      <c r="F62" s="847">
        <v>0</v>
      </c>
      <c r="G62" s="230"/>
      <c r="H62" s="847">
        <v>0</v>
      </c>
      <c r="I62" s="262"/>
      <c r="J62" s="847">
        <v>0</v>
      </c>
      <c r="K62" s="204"/>
      <c r="L62" s="847">
        <v>0</v>
      </c>
      <c r="M62" s="262"/>
      <c r="N62" s="847">
        <v>0</v>
      </c>
      <c r="O62" s="262"/>
      <c r="P62" s="848">
        <f t="shared" si="1"/>
        <v>0</v>
      </c>
      <c r="T62" s="571"/>
      <c r="U62" s="571"/>
    </row>
    <row r="63" spans="1:21" ht="15.75" customHeight="1">
      <c r="A63" s="842">
        <f t="shared" si="2"/>
        <v>44</v>
      </c>
      <c r="B63" s="571">
        <v>8360</v>
      </c>
      <c r="C63" s="45" t="s">
        <v>228</v>
      </c>
      <c r="D63" s="733">
        <f>'C.2.1 B'!D62</f>
        <v>0</v>
      </c>
      <c r="E63" s="204"/>
      <c r="F63" s="847">
        <v>0</v>
      </c>
      <c r="G63" s="230"/>
      <c r="H63" s="847">
        <v>0</v>
      </c>
      <c r="I63" s="262"/>
      <c r="J63" s="847">
        <v>0</v>
      </c>
      <c r="K63" s="204"/>
      <c r="L63" s="847">
        <v>0</v>
      </c>
      <c r="M63" s="262"/>
      <c r="N63" s="847">
        <v>0</v>
      </c>
      <c r="O63" s="262"/>
      <c r="P63" s="848">
        <f t="shared" si="1"/>
        <v>0</v>
      </c>
      <c r="T63" s="571"/>
      <c r="U63" s="571"/>
    </row>
    <row r="64" spans="1:21" ht="15.75" customHeight="1">
      <c r="A64" s="842">
        <f t="shared" si="2"/>
        <v>45</v>
      </c>
      <c r="B64" s="571">
        <v>8370</v>
      </c>
      <c r="C64" s="48" t="s">
        <v>1299</v>
      </c>
      <c r="D64" s="733">
        <f>'C.2.1 B'!D63</f>
        <v>0</v>
      </c>
      <c r="E64" s="204"/>
      <c r="F64" s="847">
        <v>0</v>
      </c>
      <c r="G64" s="230"/>
      <c r="H64" s="847">
        <v>0</v>
      </c>
      <c r="I64" s="262"/>
      <c r="J64" s="847">
        <v>0</v>
      </c>
      <c r="K64" s="204"/>
      <c r="L64" s="847">
        <v>0</v>
      </c>
      <c r="M64" s="262"/>
      <c r="N64" s="847">
        <v>0</v>
      </c>
      <c r="O64" s="262"/>
      <c r="P64" s="848">
        <f t="shared" si="1"/>
        <v>0</v>
      </c>
      <c r="T64" s="571"/>
      <c r="U64" s="571"/>
    </row>
    <row r="65" spans="1:21" ht="15.75" customHeight="1">
      <c r="A65" s="842">
        <f t="shared" si="2"/>
        <v>46</v>
      </c>
      <c r="B65" s="571">
        <v>8400</v>
      </c>
      <c r="C65" s="45" t="s">
        <v>451</v>
      </c>
      <c r="D65" s="204">
        <v>0</v>
      </c>
      <c r="E65" s="204"/>
      <c r="F65" s="847">
        <v>0</v>
      </c>
      <c r="G65" s="230"/>
      <c r="H65" s="847">
        <v>0</v>
      </c>
      <c r="I65" s="262"/>
      <c r="J65" s="847">
        <v>0</v>
      </c>
      <c r="K65" s="204"/>
      <c r="L65" s="847">
        <v>0</v>
      </c>
      <c r="M65" s="262"/>
      <c r="N65" s="847">
        <v>0</v>
      </c>
      <c r="O65" s="262"/>
      <c r="P65" s="848">
        <f t="shared" si="1"/>
        <v>0</v>
      </c>
      <c r="T65" s="571"/>
      <c r="U65" s="571"/>
    </row>
    <row r="66" spans="1:21" ht="15.75" customHeight="1">
      <c r="A66" s="842">
        <f t="shared" si="2"/>
        <v>47</v>
      </c>
      <c r="B66" s="571">
        <v>8410</v>
      </c>
      <c r="C66" s="45" t="s">
        <v>229</v>
      </c>
      <c r="D66" s="733">
        <f>'C.2.1 B'!D64</f>
        <v>206958.12650182965</v>
      </c>
      <c r="E66" s="204"/>
      <c r="F66" s="847">
        <v>26227.766282908502</v>
      </c>
      <c r="G66" s="230"/>
      <c r="H66" s="847">
        <v>0</v>
      </c>
      <c r="I66" s="262"/>
      <c r="J66" s="847">
        <v>56.944920989892289</v>
      </c>
      <c r="K66" s="204"/>
      <c r="L66" s="847">
        <v>0</v>
      </c>
      <c r="M66" s="262"/>
      <c r="N66" s="847">
        <v>0</v>
      </c>
      <c r="O66" s="262"/>
      <c r="P66" s="848">
        <f t="shared" si="1"/>
        <v>26284.711203898394</v>
      </c>
      <c r="T66" s="571"/>
      <c r="U66" s="571"/>
    </row>
    <row r="67" spans="1:21" ht="15.75" customHeight="1">
      <c r="A67" s="842">
        <f t="shared" si="2"/>
        <v>48</v>
      </c>
      <c r="B67" s="571">
        <v>8470</v>
      </c>
      <c r="C67" s="45" t="s">
        <v>230</v>
      </c>
      <c r="D67" s="204">
        <v>0</v>
      </c>
      <c r="E67" s="204"/>
      <c r="F67" s="847">
        <v>0</v>
      </c>
      <c r="G67" s="230"/>
      <c r="H67" s="847">
        <v>0</v>
      </c>
      <c r="I67" s="262"/>
      <c r="J67" s="847">
        <v>0</v>
      </c>
      <c r="K67" s="204"/>
      <c r="L67" s="847">
        <v>0</v>
      </c>
      <c r="M67" s="262"/>
      <c r="N67" s="847">
        <v>0</v>
      </c>
      <c r="O67" s="262"/>
      <c r="P67" s="848">
        <f t="shared" si="1"/>
        <v>0</v>
      </c>
      <c r="T67" s="571"/>
      <c r="U67" s="571"/>
    </row>
    <row r="68" spans="1:21" ht="15.75" customHeight="1">
      <c r="A68" s="842">
        <f t="shared" si="2"/>
        <v>49</v>
      </c>
      <c r="B68" s="571">
        <v>8500</v>
      </c>
      <c r="C68" s="45" t="s">
        <v>231</v>
      </c>
      <c r="D68" s="733">
        <f>'C.2.1 B'!D68</f>
        <v>0</v>
      </c>
      <c r="E68" s="204"/>
      <c r="F68" s="847">
        <v>0</v>
      </c>
      <c r="G68" s="230"/>
      <c r="H68" s="847">
        <v>0</v>
      </c>
      <c r="I68" s="262"/>
      <c r="J68" s="847">
        <v>0</v>
      </c>
      <c r="K68" s="204"/>
      <c r="L68" s="847">
        <v>0</v>
      </c>
      <c r="M68" s="262"/>
      <c r="N68" s="847">
        <v>0</v>
      </c>
      <c r="O68" s="262"/>
      <c r="P68" s="848">
        <f t="shared" si="1"/>
        <v>0</v>
      </c>
      <c r="T68" s="571"/>
      <c r="U68" s="571"/>
    </row>
    <row r="69" spans="1:21" ht="15.75" customHeight="1">
      <c r="A69" s="842">
        <f t="shared" si="2"/>
        <v>50</v>
      </c>
      <c r="B69" s="571">
        <v>8520</v>
      </c>
      <c r="C69" s="45" t="s">
        <v>1300</v>
      </c>
      <c r="D69" s="733">
        <f>'C.2.1 B'!D69</f>
        <v>0</v>
      </c>
      <c r="E69" s="204"/>
      <c r="F69" s="847">
        <v>0</v>
      </c>
      <c r="G69" s="230"/>
      <c r="H69" s="847">
        <v>0</v>
      </c>
      <c r="I69" s="262"/>
      <c r="J69" s="847">
        <v>0</v>
      </c>
      <c r="K69" s="204"/>
      <c r="L69" s="847">
        <v>0</v>
      </c>
      <c r="M69" s="262"/>
      <c r="N69" s="847">
        <v>0</v>
      </c>
      <c r="O69" s="262"/>
      <c r="P69" s="848">
        <f t="shared" si="1"/>
        <v>0</v>
      </c>
      <c r="T69" s="571"/>
      <c r="U69" s="571"/>
    </row>
    <row r="70" spans="1:21" ht="15.75" customHeight="1">
      <c r="A70" s="842">
        <f t="shared" si="2"/>
        <v>51</v>
      </c>
      <c r="B70" s="571">
        <v>8550</v>
      </c>
      <c r="C70" s="45" t="s">
        <v>1313</v>
      </c>
      <c r="D70" s="733">
        <f>'C.2.1 B'!D70</f>
        <v>471.06802709329565</v>
      </c>
      <c r="E70" s="204"/>
      <c r="F70" s="847">
        <v>0</v>
      </c>
      <c r="G70" s="230"/>
      <c r="H70" s="847">
        <v>17.298456252638459</v>
      </c>
      <c r="I70" s="262"/>
      <c r="J70" s="847">
        <v>0</v>
      </c>
      <c r="K70" s="204"/>
      <c r="L70" s="847">
        <v>0</v>
      </c>
      <c r="M70" s="262"/>
      <c r="N70" s="847">
        <v>0</v>
      </c>
      <c r="O70" s="262"/>
      <c r="P70" s="848">
        <f t="shared" si="1"/>
        <v>17.298456252638459</v>
      </c>
      <c r="T70" s="571"/>
      <c r="U70" s="571"/>
    </row>
    <row r="71" spans="1:21" ht="15.75" customHeight="1">
      <c r="A71" s="842">
        <f t="shared" si="2"/>
        <v>52</v>
      </c>
      <c r="B71" s="571">
        <v>8560</v>
      </c>
      <c r="C71" s="45" t="s">
        <v>232</v>
      </c>
      <c r="D71" s="733">
        <f>'C.2.1 B'!D71</f>
        <v>131469.5837375955</v>
      </c>
      <c r="E71" s="204"/>
      <c r="F71" s="847">
        <v>14166.841765179102</v>
      </c>
      <c r="G71" s="230"/>
      <c r="H71" s="847">
        <v>127.08148400180164</v>
      </c>
      <c r="I71" s="262"/>
      <c r="J71" s="847">
        <v>-264.77256132931859</v>
      </c>
      <c r="K71" s="204"/>
      <c r="L71" s="847">
        <v>0</v>
      </c>
      <c r="M71" s="262"/>
      <c r="N71" s="847">
        <v>0</v>
      </c>
      <c r="O71" s="262"/>
      <c r="P71" s="848">
        <f t="shared" si="1"/>
        <v>14029.150687851585</v>
      </c>
      <c r="T71" s="571"/>
      <c r="U71" s="571"/>
    </row>
    <row r="72" spans="1:21" ht="15.75" customHeight="1">
      <c r="A72" s="842">
        <f t="shared" si="2"/>
        <v>53</v>
      </c>
      <c r="B72" s="571">
        <v>8570</v>
      </c>
      <c r="C72" s="45" t="s">
        <v>233</v>
      </c>
      <c r="D72" s="733">
        <f>'C.2.1 B'!D72</f>
        <v>11353.078366342539</v>
      </c>
      <c r="E72" s="204"/>
      <c r="F72" s="847">
        <v>230.30376554245186</v>
      </c>
      <c r="G72" s="230"/>
      <c r="H72" s="847">
        <v>352.64872697210558</v>
      </c>
      <c r="I72" s="204"/>
      <c r="J72" s="847">
        <v>0</v>
      </c>
      <c r="K72" s="204"/>
      <c r="L72" s="847">
        <v>0</v>
      </c>
      <c r="M72" s="262"/>
      <c r="N72" s="847">
        <v>0</v>
      </c>
      <c r="O72" s="262"/>
      <c r="P72" s="848">
        <f t="shared" si="1"/>
        <v>582.95249251455743</v>
      </c>
      <c r="T72" s="571"/>
      <c r="U72" s="571"/>
    </row>
    <row r="73" spans="1:21" ht="15.75" customHeight="1">
      <c r="A73" s="842">
        <f t="shared" si="2"/>
        <v>54</v>
      </c>
      <c r="B73" s="571">
        <v>8590</v>
      </c>
      <c r="C73" s="45" t="s">
        <v>234</v>
      </c>
      <c r="D73" s="733">
        <f>'C.2.1 B'!D73</f>
        <v>0</v>
      </c>
      <c r="E73" s="204"/>
      <c r="F73" s="847">
        <v>0</v>
      </c>
      <c r="G73" s="230"/>
      <c r="H73" s="847">
        <v>0</v>
      </c>
      <c r="I73" s="204"/>
      <c r="J73" s="847">
        <v>0</v>
      </c>
      <c r="K73" s="204"/>
      <c r="L73" s="847">
        <v>0</v>
      </c>
      <c r="M73" s="262"/>
      <c r="N73" s="847">
        <v>0</v>
      </c>
      <c r="O73" s="204"/>
      <c r="P73" s="848">
        <f t="shared" si="1"/>
        <v>0</v>
      </c>
      <c r="T73" s="571"/>
      <c r="U73" s="571"/>
    </row>
    <row r="74" spans="1:21" ht="15.75" customHeight="1">
      <c r="A74" s="842">
        <f t="shared" si="2"/>
        <v>55</v>
      </c>
      <c r="B74" s="571">
        <v>8600</v>
      </c>
      <c r="C74" s="45" t="s">
        <v>224</v>
      </c>
      <c r="D74" s="733">
        <f>'C.2.1 B'!D74</f>
        <v>0</v>
      </c>
      <c r="E74" s="204"/>
      <c r="F74" s="847">
        <v>0</v>
      </c>
      <c r="G74" s="230"/>
      <c r="H74" s="847">
        <v>0</v>
      </c>
      <c r="I74" s="204"/>
      <c r="J74" s="847">
        <v>0</v>
      </c>
      <c r="K74" s="204"/>
      <c r="L74" s="847">
        <v>0</v>
      </c>
      <c r="M74" s="262"/>
      <c r="N74" s="847">
        <v>0</v>
      </c>
      <c r="O74" s="204"/>
      <c r="P74" s="848">
        <f t="shared" si="1"/>
        <v>0</v>
      </c>
      <c r="T74" s="571"/>
      <c r="U74" s="571"/>
    </row>
    <row r="75" spans="1:21" ht="15.75" customHeight="1">
      <c r="A75" s="842">
        <f t="shared" si="2"/>
        <v>56</v>
      </c>
      <c r="B75" s="571">
        <v>8620</v>
      </c>
      <c r="C75" s="45" t="s">
        <v>235</v>
      </c>
      <c r="D75" s="733">
        <f>'C.2.1 B'!D78</f>
        <v>0</v>
      </c>
      <c r="E75" s="204"/>
      <c r="F75" s="847">
        <v>0</v>
      </c>
      <c r="G75" s="230"/>
      <c r="H75" s="847">
        <v>0</v>
      </c>
      <c r="I75" s="204"/>
      <c r="J75" s="847">
        <v>0</v>
      </c>
      <c r="K75" s="204"/>
      <c r="L75" s="847">
        <v>0</v>
      </c>
      <c r="M75" s="262"/>
      <c r="N75" s="847">
        <v>0</v>
      </c>
      <c r="O75" s="204"/>
      <c r="P75" s="848">
        <f t="shared" si="1"/>
        <v>0</v>
      </c>
      <c r="T75" s="571"/>
      <c r="U75" s="571"/>
    </row>
    <row r="76" spans="1:21" ht="15.75" customHeight="1">
      <c r="A76" s="842">
        <f t="shared" si="2"/>
        <v>57</v>
      </c>
      <c r="B76" s="571">
        <v>8630</v>
      </c>
      <c r="C76" s="45" t="s">
        <v>236</v>
      </c>
      <c r="D76" s="733">
        <f>'C.2.1 B'!D79</f>
        <v>20250.075265200732</v>
      </c>
      <c r="E76" s="204"/>
      <c r="F76" s="847">
        <v>2665.2272050385718</v>
      </c>
      <c r="G76" s="230"/>
      <c r="H76" s="847">
        <v>0</v>
      </c>
      <c r="I76" s="262"/>
      <c r="J76" s="847">
        <v>0</v>
      </c>
      <c r="K76" s="204"/>
      <c r="L76" s="847">
        <v>0</v>
      </c>
      <c r="M76" s="262"/>
      <c r="N76" s="847">
        <v>0</v>
      </c>
      <c r="O76" s="262"/>
      <c r="P76" s="848">
        <f t="shared" si="1"/>
        <v>2665.2272050385718</v>
      </c>
      <c r="T76" s="571"/>
      <c r="U76" s="571"/>
    </row>
    <row r="77" spans="1:21" ht="15.75" customHeight="1">
      <c r="A77" s="842">
        <f t="shared" si="2"/>
        <v>58</v>
      </c>
      <c r="B77" s="571">
        <v>8640</v>
      </c>
      <c r="C77" s="45" t="s">
        <v>237</v>
      </c>
      <c r="D77" s="733">
        <f>'C.2.1 B'!D80</f>
        <v>0</v>
      </c>
      <c r="E77" s="204"/>
      <c r="F77" s="847">
        <v>0</v>
      </c>
      <c r="G77" s="230"/>
      <c r="H77" s="847">
        <v>0</v>
      </c>
      <c r="I77" s="262"/>
      <c r="J77" s="847">
        <v>0</v>
      </c>
      <c r="K77" s="204"/>
      <c r="L77" s="847">
        <v>0</v>
      </c>
      <c r="M77" s="262"/>
      <c r="N77" s="847">
        <v>0</v>
      </c>
      <c r="O77" s="262"/>
      <c r="P77" s="848">
        <f t="shared" si="1"/>
        <v>0</v>
      </c>
      <c r="T77" s="571"/>
      <c r="U77" s="571"/>
    </row>
    <row r="78" spans="1:21" ht="15.75" customHeight="1">
      <c r="A78" s="842">
        <f t="shared" si="2"/>
        <v>59</v>
      </c>
      <c r="B78" s="571">
        <v>8650</v>
      </c>
      <c r="C78" s="45" t="s">
        <v>238</v>
      </c>
      <c r="D78" s="733">
        <f>'C.2.1 B'!D81</f>
        <v>0</v>
      </c>
      <c r="E78" s="204"/>
      <c r="F78" s="847">
        <v>0</v>
      </c>
      <c r="G78" s="230"/>
      <c r="H78" s="847">
        <v>0</v>
      </c>
      <c r="I78" s="262"/>
      <c r="J78" s="847">
        <v>0</v>
      </c>
      <c r="K78" s="204"/>
      <c r="L78" s="847">
        <v>0</v>
      </c>
      <c r="M78" s="262"/>
      <c r="N78" s="847">
        <v>0</v>
      </c>
      <c r="O78" s="262"/>
      <c r="P78" s="848">
        <f t="shared" si="1"/>
        <v>0</v>
      </c>
      <c r="T78" s="571"/>
      <c r="U78" s="571"/>
    </row>
    <row r="79" spans="1:21" ht="15.75" customHeight="1">
      <c r="A79" s="842">
        <f t="shared" si="2"/>
        <v>60</v>
      </c>
      <c r="B79" s="571">
        <v>8670</v>
      </c>
      <c r="C79" s="45" t="s">
        <v>239</v>
      </c>
      <c r="D79" s="733">
        <f>'C.2.1 B'!D82</f>
        <v>0</v>
      </c>
      <c r="E79" s="204"/>
      <c r="F79" s="847">
        <v>0</v>
      </c>
      <c r="G79" s="230"/>
      <c r="H79" s="847">
        <v>0</v>
      </c>
      <c r="I79" s="262"/>
      <c r="J79" s="847">
        <v>0</v>
      </c>
      <c r="K79" s="204"/>
      <c r="L79" s="847">
        <v>0</v>
      </c>
      <c r="M79" s="262"/>
      <c r="N79" s="847">
        <v>0</v>
      </c>
      <c r="O79" s="262"/>
      <c r="P79" s="848">
        <f t="shared" si="1"/>
        <v>0</v>
      </c>
      <c r="T79" s="571"/>
      <c r="U79" s="571"/>
    </row>
    <row r="80" spans="1:21" ht="15.75" customHeight="1">
      <c r="A80" s="842">
        <f t="shared" si="2"/>
        <v>61</v>
      </c>
      <c r="B80" s="571">
        <v>8700</v>
      </c>
      <c r="C80" s="45" t="s">
        <v>240</v>
      </c>
      <c r="D80" s="733">
        <f>'C.2.1 B'!D108</f>
        <v>2267606.0370536172</v>
      </c>
      <c r="E80" s="204"/>
      <c r="F80" s="847">
        <v>100873.60397540283</v>
      </c>
      <c r="G80" s="230"/>
      <c r="H80" s="847">
        <v>2611.0874564599362</v>
      </c>
      <c r="I80" s="262"/>
      <c r="J80" s="847">
        <v>-230385.25619422531</v>
      </c>
      <c r="K80" s="204"/>
      <c r="L80" s="847">
        <v>0</v>
      </c>
      <c r="M80" s="262"/>
      <c r="N80" s="847">
        <v>0</v>
      </c>
      <c r="O80" s="262"/>
      <c r="P80" s="848">
        <f t="shared" si="1"/>
        <v>-126900.56476236254</v>
      </c>
      <c r="T80" s="571"/>
      <c r="U80" s="571"/>
    </row>
    <row r="81" spans="1:21" ht="15.75" customHeight="1">
      <c r="A81" s="842">
        <f t="shared" si="2"/>
        <v>62</v>
      </c>
      <c r="B81" s="571">
        <v>8710</v>
      </c>
      <c r="C81" s="45" t="s">
        <v>241</v>
      </c>
      <c r="D81" s="733">
        <f>'C.2.1 B'!D109</f>
        <v>-40.017865916545027</v>
      </c>
      <c r="E81" s="204"/>
      <c r="F81" s="847">
        <v>0</v>
      </c>
      <c r="G81" s="230"/>
      <c r="H81" s="847">
        <v>-1.4695272509849318</v>
      </c>
      <c r="I81" s="262"/>
      <c r="J81" s="847">
        <v>0</v>
      </c>
      <c r="K81" s="204"/>
      <c r="L81" s="847">
        <v>0</v>
      </c>
      <c r="M81" s="262"/>
      <c r="N81" s="847">
        <v>0</v>
      </c>
      <c r="O81" s="262"/>
      <c r="P81" s="848">
        <f t="shared" si="1"/>
        <v>-1.4695272509849318</v>
      </c>
      <c r="T81" s="571"/>
      <c r="U81" s="571"/>
    </row>
    <row r="82" spans="1:21" ht="15.75" customHeight="1">
      <c r="A82" s="842">
        <f t="shared" si="2"/>
        <v>63</v>
      </c>
      <c r="B82" s="571">
        <v>8711</v>
      </c>
      <c r="C82" s="45" t="s">
        <v>225</v>
      </c>
      <c r="D82" s="733">
        <f>'C.2.1 B'!D110</f>
        <v>137138.35666538301</v>
      </c>
      <c r="E82" s="204"/>
      <c r="F82" s="847">
        <v>0</v>
      </c>
      <c r="G82" s="230"/>
      <c r="H82" s="847">
        <v>0</v>
      </c>
      <c r="I82" s="262"/>
      <c r="J82" s="847">
        <v>-4318.8834850231397</v>
      </c>
      <c r="K82" s="204"/>
      <c r="L82" s="847">
        <v>0</v>
      </c>
      <c r="M82" s="262"/>
      <c r="N82" s="847">
        <v>0</v>
      </c>
      <c r="O82" s="262"/>
      <c r="P82" s="848">
        <f t="shared" si="1"/>
        <v>-4318.8834850231397</v>
      </c>
      <c r="T82" s="571"/>
      <c r="U82" s="571"/>
    </row>
    <row r="83" spans="1:21" ht="15.75" customHeight="1">
      <c r="A83" s="842">
        <f t="shared" si="2"/>
        <v>64</v>
      </c>
      <c r="B83" s="571">
        <v>8720</v>
      </c>
      <c r="C83" s="45" t="s">
        <v>242</v>
      </c>
      <c r="D83" s="733">
        <f>'C.2.1 B'!D111</f>
        <v>0</v>
      </c>
      <c r="E83" s="204"/>
      <c r="F83" s="847">
        <v>0</v>
      </c>
      <c r="G83" s="230"/>
      <c r="H83" s="847">
        <v>0</v>
      </c>
      <c r="I83" s="262"/>
      <c r="J83" s="847">
        <v>0</v>
      </c>
      <c r="K83" s="204"/>
      <c r="L83" s="847">
        <v>0</v>
      </c>
      <c r="M83" s="262"/>
      <c r="N83" s="847">
        <v>0</v>
      </c>
      <c r="O83" s="262"/>
      <c r="P83" s="848">
        <f t="shared" si="1"/>
        <v>0</v>
      </c>
      <c r="T83" s="571"/>
      <c r="U83" s="571"/>
    </row>
    <row r="84" spans="1:21" ht="15.75" customHeight="1">
      <c r="A84" s="842">
        <f t="shared" si="2"/>
        <v>65</v>
      </c>
      <c r="B84" s="571">
        <v>8740</v>
      </c>
      <c r="C84" s="45" t="s">
        <v>243</v>
      </c>
      <c r="D84" s="733">
        <f>'C.2.1 B'!D112</f>
        <v>6959626.696582621</v>
      </c>
      <c r="E84" s="204"/>
      <c r="F84" s="847">
        <v>298627.14961620385</v>
      </c>
      <c r="G84" s="230"/>
      <c r="H84" s="847">
        <v>5843.8820682751284</v>
      </c>
      <c r="I84" s="262"/>
      <c r="J84" s="847">
        <v>-461113.34100769332</v>
      </c>
      <c r="K84" s="204"/>
      <c r="L84" s="847">
        <v>0</v>
      </c>
      <c r="M84" s="262"/>
      <c r="N84" s="847">
        <v>0</v>
      </c>
      <c r="O84" s="262"/>
      <c r="P84" s="848">
        <f t="shared" si="1"/>
        <v>-156642.30932321434</v>
      </c>
      <c r="T84" s="571"/>
      <c r="U84" s="571"/>
    </row>
    <row r="85" spans="1:21" ht="15.75" customHeight="1">
      <c r="A85" s="842">
        <f t="shared" si="2"/>
        <v>66</v>
      </c>
      <c r="B85" s="571">
        <v>8750</v>
      </c>
      <c r="C85" s="45" t="s">
        <v>244</v>
      </c>
      <c r="D85" s="733">
        <f>'C.2.1 B'!D113</f>
        <v>1231731.0873517669</v>
      </c>
      <c r="E85" s="204"/>
      <c r="F85" s="847">
        <v>141482.99362357942</v>
      </c>
      <c r="G85" s="230"/>
      <c r="H85" s="847">
        <v>232.05926144135719</v>
      </c>
      <c r="I85" s="262"/>
      <c r="J85" s="847">
        <v>-11911.097725473453</v>
      </c>
      <c r="K85" s="204"/>
      <c r="L85" s="847">
        <v>0</v>
      </c>
      <c r="M85" s="262"/>
      <c r="N85" s="847">
        <v>0</v>
      </c>
      <c r="O85" s="262"/>
      <c r="P85" s="848">
        <f t="shared" si="1"/>
        <v>129803.9551595473</v>
      </c>
      <c r="T85" s="571"/>
      <c r="U85" s="571"/>
    </row>
    <row r="86" spans="1:21" ht="15.75" customHeight="1">
      <c r="A86" s="842">
        <f t="shared" si="2"/>
        <v>67</v>
      </c>
      <c r="B86" s="571">
        <v>8760</v>
      </c>
      <c r="C86" s="45" t="s">
        <v>626</v>
      </c>
      <c r="D86" s="733">
        <f>'C.2.1 B'!D114</f>
        <v>540.07041731509321</v>
      </c>
      <c r="E86" s="204"/>
      <c r="F86" s="847">
        <v>0</v>
      </c>
      <c r="G86" s="230"/>
      <c r="H86" s="847">
        <v>0</v>
      </c>
      <c r="I86" s="204"/>
      <c r="J86" s="847">
        <v>-17.008379441085253</v>
      </c>
      <c r="K86" s="204"/>
      <c r="L86" s="847">
        <v>0</v>
      </c>
      <c r="M86" s="262"/>
      <c r="N86" s="847">
        <v>0</v>
      </c>
      <c r="O86" s="262"/>
      <c r="P86" s="848">
        <f t="shared" si="1"/>
        <v>-17.008379441085253</v>
      </c>
      <c r="T86" s="571"/>
      <c r="U86" s="571"/>
    </row>
    <row r="87" spans="1:21" ht="15.75" customHeight="1">
      <c r="A87" s="842">
        <f t="shared" si="2"/>
        <v>68</v>
      </c>
      <c r="B87" s="571">
        <v>8770</v>
      </c>
      <c r="C87" s="45" t="s">
        <v>627</v>
      </c>
      <c r="D87" s="733">
        <f>'C.2.1 B'!D115</f>
        <v>5297.9441351836495</v>
      </c>
      <c r="E87" s="204"/>
      <c r="F87" s="847">
        <v>0</v>
      </c>
      <c r="G87" s="230"/>
      <c r="H87" s="847">
        <v>192.29453615133707</v>
      </c>
      <c r="I87" s="204"/>
      <c r="J87" s="847">
        <v>-3.0035293784639592</v>
      </c>
      <c r="K87" s="262"/>
      <c r="L87" s="847">
        <v>0</v>
      </c>
      <c r="M87" s="262"/>
      <c r="N87" s="847">
        <v>0</v>
      </c>
      <c r="O87" s="262"/>
      <c r="P87" s="848">
        <f t="shared" si="1"/>
        <v>189.29100677287312</v>
      </c>
      <c r="T87" s="571"/>
      <c r="U87" s="571"/>
    </row>
    <row r="88" spans="1:21" ht="15.75" customHeight="1">
      <c r="A88" s="842">
        <f t="shared" si="2"/>
        <v>69</v>
      </c>
      <c r="B88" s="571">
        <v>8780</v>
      </c>
      <c r="C88" s="45" t="s">
        <v>628</v>
      </c>
      <c r="D88" s="733">
        <f>'C.2.1 B'!D116</f>
        <v>833460.57177074486</v>
      </c>
      <c r="E88" s="204"/>
      <c r="F88" s="847">
        <v>104428.12582099653</v>
      </c>
      <c r="G88" s="230"/>
      <c r="H88" s="847">
        <v>525.02382865070285</v>
      </c>
      <c r="I88" s="262"/>
      <c r="J88" s="847">
        <v>57.208653766082236</v>
      </c>
      <c r="K88" s="262"/>
      <c r="L88" s="847">
        <v>0</v>
      </c>
      <c r="M88" s="262"/>
      <c r="N88" s="847">
        <v>0</v>
      </c>
      <c r="O88" s="262"/>
      <c r="P88" s="848">
        <f t="shared" si="1"/>
        <v>105010.35830341332</v>
      </c>
      <c r="T88" s="571"/>
    </row>
    <row r="89" spans="1:21" ht="15.75" customHeight="1">
      <c r="A89" s="842">
        <f t="shared" si="2"/>
        <v>70</v>
      </c>
      <c r="B89" s="571">
        <v>8790</v>
      </c>
      <c r="C89" s="45" t="s">
        <v>629</v>
      </c>
      <c r="D89" s="733">
        <f>'C.2.1 B'!D117</f>
        <v>265.76742389392768</v>
      </c>
      <c r="E89" s="204"/>
      <c r="F89" s="847">
        <v>0</v>
      </c>
      <c r="G89" s="230"/>
      <c r="H89" s="847">
        <v>0</v>
      </c>
      <c r="I89" s="262"/>
      <c r="J89" s="847">
        <v>-8.3697848349844435</v>
      </c>
      <c r="K89" s="204"/>
      <c r="L89" s="847">
        <v>0</v>
      </c>
      <c r="M89" s="262"/>
      <c r="N89" s="847">
        <v>0</v>
      </c>
      <c r="O89" s="262"/>
      <c r="P89" s="848">
        <f t="shared" si="1"/>
        <v>-8.3697848349844435</v>
      </c>
      <c r="T89" s="571"/>
    </row>
    <row r="90" spans="1:21" ht="15.75" customHeight="1">
      <c r="A90" s="842">
        <f t="shared" si="2"/>
        <v>71</v>
      </c>
      <c r="B90" s="571">
        <v>8800</v>
      </c>
      <c r="C90" s="45" t="s">
        <v>630</v>
      </c>
      <c r="D90" s="733">
        <f>'C.2.1 B'!D118</f>
        <v>3157.0878232647892</v>
      </c>
      <c r="E90" s="204"/>
      <c r="F90" s="847">
        <v>0</v>
      </c>
      <c r="G90" s="230"/>
      <c r="H90" s="847">
        <v>0</v>
      </c>
      <c r="I90" s="262"/>
      <c r="J90" s="847">
        <v>-71.896092984811105</v>
      </c>
      <c r="K90" s="204"/>
      <c r="L90" s="847">
        <v>0</v>
      </c>
      <c r="M90" s="262"/>
      <c r="N90" s="847">
        <v>0</v>
      </c>
      <c r="O90" s="262"/>
      <c r="P90" s="848">
        <f t="shared" si="1"/>
        <v>-71.896092984811105</v>
      </c>
      <c r="T90" s="571"/>
    </row>
    <row r="91" spans="1:21" ht="15.75" customHeight="1">
      <c r="A91" s="842">
        <f t="shared" si="2"/>
        <v>72</v>
      </c>
      <c r="B91" s="571">
        <v>8810</v>
      </c>
      <c r="C91" s="45" t="s">
        <v>631</v>
      </c>
      <c r="D91" s="733">
        <f>'C.2.1 B'!D119</f>
        <v>99414.162673842657</v>
      </c>
      <c r="E91" s="204"/>
      <c r="F91" s="847">
        <v>0</v>
      </c>
      <c r="G91" s="230"/>
      <c r="H91" s="847">
        <v>13441.552231031508</v>
      </c>
      <c r="I91" s="262"/>
      <c r="J91" s="847">
        <v>-37833.123533090402</v>
      </c>
      <c r="K91" s="204"/>
      <c r="L91" s="847">
        <v>0</v>
      </c>
      <c r="M91" s="262"/>
      <c r="N91" s="847">
        <v>0</v>
      </c>
      <c r="O91" s="262"/>
      <c r="P91" s="848">
        <f t="shared" si="1"/>
        <v>-24391.571302058896</v>
      </c>
      <c r="T91" s="571"/>
    </row>
    <row r="92" spans="1:21" ht="15.75" customHeight="1">
      <c r="A92" s="842">
        <f t="shared" si="2"/>
        <v>73</v>
      </c>
      <c r="B92" s="571">
        <v>8850</v>
      </c>
      <c r="C92" s="45" t="s">
        <v>715</v>
      </c>
      <c r="D92" s="733">
        <f>'C.2.1 B'!D123</f>
        <v>0</v>
      </c>
      <c r="E92" s="204"/>
      <c r="F92" s="847">
        <v>0</v>
      </c>
      <c r="G92" s="230"/>
      <c r="H92" s="847">
        <v>0</v>
      </c>
      <c r="I92" s="262"/>
      <c r="J92" s="847">
        <v>0</v>
      </c>
      <c r="K92" s="204"/>
      <c r="L92" s="847">
        <v>0</v>
      </c>
      <c r="M92" s="262"/>
      <c r="N92" s="847">
        <v>0</v>
      </c>
      <c r="O92" s="262"/>
      <c r="P92" s="848">
        <f t="shared" si="1"/>
        <v>0</v>
      </c>
      <c r="T92" s="571"/>
    </row>
    <row r="93" spans="1:21" ht="15.75" customHeight="1">
      <c r="A93" s="842">
        <f t="shared" si="2"/>
        <v>74</v>
      </c>
      <c r="B93" s="571">
        <v>8860</v>
      </c>
      <c r="C93" s="45" t="s">
        <v>745</v>
      </c>
      <c r="D93" s="733">
        <f>'C.2.1 B'!D124</f>
        <v>0</v>
      </c>
      <c r="E93" s="204"/>
      <c r="F93" s="847">
        <v>0</v>
      </c>
      <c r="G93" s="230"/>
      <c r="H93" s="847">
        <v>0</v>
      </c>
      <c r="I93" s="262"/>
      <c r="J93" s="847">
        <v>0</v>
      </c>
      <c r="K93" s="204"/>
      <c r="L93" s="847">
        <v>0</v>
      </c>
      <c r="M93" s="262"/>
      <c r="N93" s="847">
        <v>0</v>
      </c>
      <c r="O93" s="262"/>
      <c r="P93" s="848">
        <f t="shared" si="1"/>
        <v>0</v>
      </c>
      <c r="T93" s="571"/>
    </row>
    <row r="94" spans="1:21" ht="15.75" customHeight="1">
      <c r="A94" s="131"/>
      <c r="B94" s="157"/>
      <c r="D94" s="46"/>
      <c r="E94" s="46"/>
      <c r="F94" s="46"/>
      <c r="H94" s="46"/>
      <c r="I94" s="83"/>
      <c r="J94" s="46"/>
      <c r="K94" s="46"/>
      <c r="L94" s="46"/>
      <c r="M94" s="83"/>
      <c r="N94" s="46"/>
      <c r="O94" s="83"/>
      <c r="P94" s="46"/>
    </row>
    <row r="95" spans="1:21" ht="15.75" customHeight="1">
      <c r="H95" s="131" t="s">
        <v>210</v>
      </c>
      <c r="P95" s="131" t="s">
        <v>1051</v>
      </c>
    </row>
    <row r="96" spans="1:21" ht="15.75" customHeight="1">
      <c r="A96" s="131" t="s">
        <v>88</v>
      </c>
      <c r="B96" s="157" t="s">
        <v>1234</v>
      </c>
      <c r="D96" s="131" t="s">
        <v>42</v>
      </c>
      <c r="F96" s="568" t="s">
        <v>1050</v>
      </c>
      <c r="G96" s="569"/>
      <c r="H96" s="568" t="s">
        <v>1050</v>
      </c>
      <c r="I96" s="570"/>
      <c r="J96" s="568" t="s">
        <v>1050</v>
      </c>
      <c r="K96" s="570"/>
      <c r="L96" s="568" t="s">
        <v>1050</v>
      </c>
      <c r="M96" s="570"/>
      <c r="N96" s="568" t="s">
        <v>1050</v>
      </c>
      <c r="O96" s="570"/>
      <c r="P96" s="131" t="s">
        <v>91</v>
      </c>
    </row>
    <row r="97" spans="1:21" ht="15.75" customHeight="1">
      <c r="A97" s="516" t="s">
        <v>94</v>
      </c>
      <c r="B97" s="158" t="s">
        <v>211</v>
      </c>
      <c r="C97" s="130"/>
      <c r="D97" s="516" t="s">
        <v>511</v>
      </c>
      <c r="E97" s="130"/>
      <c r="F97" s="516" t="s">
        <v>579</v>
      </c>
      <c r="G97" s="129" t="s">
        <v>314</v>
      </c>
      <c r="H97" s="516" t="s">
        <v>442</v>
      </c>
      <c r="I97" s="129" t="s">
        <v>314</v>
      </c>
      <c r="J97" s="516" t="s">
        <v>443</v>
      </c>
      <c r="K97" s="129" t="s">
        <v>314</v>
      </c>
      <c r="L97" s="516" t="s">
        <v>444</v>
      </c>
      <c r="M97" s="129" t="s">
        <v>314</v>
      </c>
      <c r="N97" s="516" t="s">
        <v>445</v>
      </c>
      <c r="O97" s="129" t="s">
        <v>314</v>
      </c>
      <c r="P97" s="516" t="s">
        <v>449</v>
      </c>
    </row>
    <row r="99" spans="1:21" ht="15.75" customHeight="1">
      <c r="A99" s="842">
        <f>A93+1</f>
        <v>75</v>
      </c>
      <c r="B99" s="1012">
        <v>8870</v>
      </c>
      <c r="C99" s="157" t="s">
        <v>415</v>
      </c>
      <c r="D99" s="733">
        <f>'C.2.1 B'!D125</f>
        <v>145969.86264548459</v>
      </c>
      <c r="E99" s="204"/>
      <c r="F99" s="847">
        <v>9719.2478490014473</v>
      </c>
      <c r="G99" s="230"/>
      <c r="H99" s="847">
        <v>0</v>
      </c>
      <c r="I99" s="262"/>
      <c r="J99" s="847">
        <v>-11209.239486379651</v>
      </c>
      <c r="K99" s="204"/>
      <c r="L99" s="847">
        <v>0</v>
      </c>
      <c r="M99" s="262"/>
      <c r="N99" s="847">
        <v>0</v>
      </c>
      <c r="O99" s="262"/>
      <c r="P99" s="848">
        <f t="shared" ref="P99:P132" si="3">SUM(F99:O99)</f>
        <v>-1489.9916373782034</v>
      </c>
      <c r="T99" s="571"/>
    </row>
    <row r="100" spans="1:21" ht="15.75" customHeight="1">
      <c r="A100" s="842">
        <f t="shared" ref="A100:A132" si="4">A99+1</f>
        <v>76</v>
      </c>
      <c r="B100" s="571">
        <v>8890</v>
      </c>
      <c r="C100" s="157" t="s">
        <v>1152</v>
      </c>
      <c r="D100" s="733">
        <f>'C.2.1 B'!D126</f>
        <v>188075.1258516442</v>
      </c>
      <c r="E100" s="204"/>
      <c r="F100" s="847">
        <v>69.67196642043325</v>
      </c>
      <c r="G100" s="230"/>
      <c r="H100" s="847">
        <v>0</v>
      </c>
      <c r="I100" s="262"/>
      <c r="J100" s="847">
        <v>-47555.01566134936</v>
      </c>
      <c r="K100" s="204"/>
      <c r="L100" s="847">
        <v>0</v>
      </c>
      <c r="M100" s="262"/>
      <c r="N100" s="847">
        <v>0</v>
      </c>
      <c r="O100" s="262"/>
      <c r="P100" s="848">
        <f t="shared" si="3"/>
        <v>-47485.343694928924</v>
      </c>
      <c r="T100" s="571"/>
    </row>
    <row r="101" spans="1:21" ht="15.75" customHeight="1">
      <c r="A101" s="842">
        <f t="shared" si="4"/>
        <v>77</v>
      </c>
      <c r="B101" s="571">
        <v>8900</v>
      </c>
      <c r="C101" s="157" t="s">
        <v>983</v>
      </c>
      <c r="D101" s="733">
        <f>'C.2.1 B'!D127</f>
        <v>0</v>
      </c>
      <c r="E101" s="204"/>
      <c r="F101" s="847">
        <v>0</v>
      </c>
      <c r="G101" s="230"/>
      <c r="H101" s="847">
        <v>0</v>
      </c>
      <c r="I101" s="262"/>
      <c r="J101" s="847">
        <v>0</v>
      </c>
      <c r="K101" s="204"/>
      <c r="L101" s="847">
        <v>0</v>
      </c>
      <c r="M101" s="262"/>
      <c r="N101" s="847">
        <v>0</v>
      </c>
      <c r="O101" s="262"/>
      <c r="P101" s="848">
        <f t="shared" si="3"/>
        <v>0</v>
      </c>
      <c r="T101" s="571"/>
    </row>
    <row r="102" spans="1:21" ht="15.75" customHeight="1">
      <c r="A102" s="842">
        <f t="shared" si="4"/>
        <v>78</v>
      </c>
      <c r="B102" s="571">
        <v>8910</v>
      </c>
      <c r="C102" s="157" t="s">
        <v>984</v>
      </c>
      <c r="D102" s="733">
        <f>'C.2.1 B'!D128</f>
        <v>118.90807403812885</v>
      </c>
      <c r="E102" s="204"/>
      <c r="F102" s="847">
        <v>15.650165724064053</v>
      </c>
      <c r="G102" s="230"/>
      <c r="H102" s="847">
        <v>0</v>
      </c>
      <c r="I102" s="262"/>
      <c r="J102" s="847">
        <v>0</v>
      </c>
      <c r="K102" s="204"/>
      <c r="L102" s="847">
        <v>0</v>
      </c>
      <c r="M102" s="262"/>
      <c r="N102" s="847">
        <v>0</v>
      </c>
      <c r="O102" s="262"/>
      <c r="P102" s="848">
        <f t="shared" si="3"/>
        <v>15.650165724064053</v>
      </c>
      <c r="T102" s="571"/>
    </row>
    <row r="103" spans="1:21" ht="15.75" customHeight="1">
      <c r="A103" s="842">
        <f t="shared" si="4"/>
        <v>79</v>
      </c>
      <c r="B103" s="571">
        <v>8920</v>
      </c>
      <c r="C103" s="157" t="s">
        <v>985</v>
      </c>
      <c r="D103" s="733">
        <f>'C.2.1 B'!D129</f>
        <v>157.05288513905532</v>
      </c>
      <c r="E103" s="204"/>
      <c r="F103" s="847">
        <v>20.670620559209965</v>
      </c>
      <c r="G103" s="230"/>
      <c r="H103" s="847">
        <v>0</v>
      </c>
      <c r="I103" s="262"/>
      <c r="J103" s="847">
        <v>0</v>
      </c>
      <c r="K103" s="204"/>
      <c r="L103" s="847">
        <v>0</v>
      </c>
      <c r="M103" s="262"/>
      <c r="N103" s="847">
        <v>0</v>
      </c>
      <c r="O103" s="262"/>
      <c r="P103" s="848">
        <f t="shared" si="3"/>
        <v>20.670620559209965</v>
      </c>
      <c r="T103" s="571"/>
    </row>
    <row r="104" spans="1:21" ht="15.75" customHeight="1">
      <c r="A104" s="842">
        <f t="shared" si="4"/>
        <v>80</v>
      </c>
      <c r="B104" s="571">
        <v>8930</v>
      </c>
      <c r="C104" s="157" t="s">
        <v>986</v>
      </c>
      <c r="D104" s="733">
        <f>'C.2.1 B'!D130</f>
        <v>0</v>
      </c>
      <c r="E104" s="204"/>
      <c r="F104" s="847">
        <v>0</v>
      </c>
      <c r="G104" s="230"/>
      <c r="H104" s="847">
        <v>0</v>
      </c>
      <c r="I104" s="262"/>
      <c r="J104" s="847">
        <v>0</v>
      </c>
      <c r="K104" s="204"/>
      <c r="L104" s="847">
        <v>0</v>
      </c>
      <c r="M104" s="262"/>
      <c r="N104" s="847">
        <v>0</v>
      </c>
      <c r="O104" s="262"/>
      <c r="P104" s="848">
        <f t="shared" si="3"/>
        <v>0</v>
      </c>
      <c r="T104" s="571"/>
    </row>
    <row r="105" spans="1:21" ht="15.75" customHeight="1">
      <c r="A105" s="842">
        <f t="shared" si="4"/>
        <v>81</v>
      </c>
      <c r="B105" s="571">
        <v>8940</v>
      </c>
      <c r="C105" s="157" t="s">
        <v>112</v>
      </c>
      <c r="D105" s="733">
        <f>'C.2.1 B'!D131</f>
        <v>0</v>
      </c>
      <c r="E105" s="204"/>
      <c r="F105" s="847">
        <v>0</v>
      </c>
      <c r="G105" s="230"/>
      <c r="H105" s="847">
        <v>0</v>
      </c>
      <c r="I105" s="262"/>
      <c r="J105" s="847">
        <v>0</v>
      </c>
      <c r="K105" s="204"/>
      <c r="L105" s="847">
        <v>0</v>
      </c>
      <c r="M105" s="204"/>
      <c r="N105" s="847">
        <v>0</v>
      </c>
      <c r="O105" s="262"/>
      <c r="P105" s="848">
        <f t="shared" si="3"/>
        <v>0</v>
      </c>
      <c r="T105" s="571"/>
    </row>
    <row r="106" spans="1:21" ht="15.75" customHeight="1">
      <c r="A106" s="842">
        <f t="shared" si="4"/>
        <v>82</v>
      </c>
      <c r="B106" s="571">
        <v>8950</v>
      </c>
      <c r="C106" s="157" t="s">
        <v>226</v>
      </c>
      <c r="D106" s="733">
        <f>'C.2.1 B'!D132</f>
        <v>0</v>
      </c>
      <c r="E106" s="204"/>
      <c r="F106" s="847">
        <v>0</v>
      </c>
      <c r="G106" s="230"/>
      <c r="H106" s="847">
        <v>0</v>
      </c>
      <c r="I106" s="262"/>
      <c r="J106" s="847">
        <v>0</v>
      </c>
      <c r="K106" s="204"/>
      <c r="L106" s="847">
        <v>0</v>
      </c>
      <c r="M106" s="204"/>
      <c r="N106" s="847">
        <v>0</v>
      </c>
      <c r="O106" s="262"/>
      <c r="P106" s="848">
        <f t="shared" si="3"/>
        <v>0</v>
      </c>
      <c r="T106" s="571"/>
    </row>
    <row r="107" spans="1:21" ht="15.75" customHeight="1">
      <c r="A107" s="842">
        <f t="shared" si="4"/>
        <v>83</v>
      </c>
      <c r="B107" s="571">
        <v>9010</v>
      </c>
      <c r="C107" s="157" t="s">
        <v>113</v>
      </c>
      <c r="D107" s="733">
        <f>'C.2.1 B'!D136</f>
        <v>0</v>
      </c>
      <c r="E107" s="204"/>
      <c r="F107" s="847">
        <v>0</v>
      </c>
      <c r="G107" s="230"/>
      <c r="H107" s="847">
        <v>0</v>
      </c>
      <c r="I107" s="262"/>
      <c r="J107" s="847">
        <v>0</v>
      </c>
      <c r="K107" s="204"/>
      <c r="L107" s="847">
        <v>0</v>
      </c>
      <c r="M107" s="204"/>
      <c r="N107" s="847">
        <v>0</v>
      </c>
      <c r="O107" s="262"/>
      <c r="P107" s="848">
        <f t="shared" si="3"/>
        <v>0</v>
      </c>
      <c r="T107" s="571"/>
    </row>
    <row r="108" spans="1:21" ht="15.75" customHeight="1">
      <c r="A108" s="842">
        <f t="shared" si="4"/>
        <v>84</v>
      </c>
      <c r="B108" s="571">
        <v>9020</v>
      </c>
      <c r="C108" s="157" t="s">
        <v>114</v>
      </c>
      <c r="D108" s="733">
        <f>'C.2.1 B'!D137</f>
        <v>691927.99959628459</v>
      </c>
      <c r="E108" s="204"/>
      <c r="F108" s="847">
        <v>39553.834041293354</v>
      </c>
      <c r="G108" s="230"/>
      <c r="H108" s="847">
        <v>13132.859570191984</v>
      </c>
      <c r="I108" s="262"/>
      <c r="J108" s="847">
        <v>-9326.3599399581053</v>
      </c>
      <c r="K108" s="204"/>
      <c r="L108" s="847">
        <v>0</v>
      </c>
      <c r="M108" s="204"/>
      <c r="N108" s="847">
        <v>0</v>
      </c>
      <c r="O108" s="262"/>
      <c r="P108" s="848">
        <f t="shared" si="3"/>
        <v>43360.333671527231</v>
      </c>
      <c r="T108" s="571"/>
      <c r="U108" s="571"/>
    </row>
    <row r="109" spans="1:21" ht="15.75" customHeight="1">
      <c r="A109" s="842">
        <f t="shared" si="4"/>
        <v>85</v>
      </c>
      <c r="B109" s="571">
        <v>9030</v>
      </c>
      <c r="C109" s="157" t="s">
        <v>115</v>
      </c>
      <c r="D109" s="733">
        <f>'C.2.1 B'!D138</f>
        <v>1301394.8289674281</v>
      </c>
      <c r="E109" s="204"/>
      <c r="F109" s="847">
        <v>36777.349005987475</v>
      </c>
      <c r="G109" s="230"/>
      <c r="H109" s="847">
        <v>0</v>
      </c>
      <c r="I109" s="262"/>
      <c r="J109" s="847">
        <v>-270368.73866432055</v>
      </c>
      <c r="K109" s="204"/>
      <c r="L109" s="847">
        <v>0</v>
      </c>
      <c r="M109" s="204"/>
      <c r="N109" s="847">
        <v>0</v>
      </c>
      <c r="O109" s="262"/>
      <c r="P109" s="848">
        <f t="shared" si="3"/>
        <v>-233591.38965833309</v>
      </c>
      <c r="T109" s="571"/>
    </row>
    <row r="110" spans="1:21" ht="15.75" customHeight="1">
      <c r="A110" s="842">
        <f t="shared" si="4"/>
        <v>86</v>
      </c>
      <c r="B110" s="571">
        <v>9040</v>
      </c>
      <c r="C110" s="157" t="s">
        <v>116</v>
      </c>
      <c r="D110" s="733">
        <f>'C.2.1 B'!D139</f>
        <v>1603608.033025</v>
      </c>
      <c r="E110" s="204"/>
      <c r="F110" s="847">
        <v>0</v>
      </c>
      <c r="G110" s="230"/>
      <c r="H110" s="847">
        <v>0</v>
      </c>
      <c r="I110" s="262"/>
      <c r="J110" s="847">
        <v>0</v>
      </c>
      <c r="K110" s="204"/>
      <c r="L110" s="847">
        <f>+'C.2.2-F 09'!P94-'C.2.2 B 09'!P94</f>
        <v>-872076.19214684772</v>
      </c>
      <c r="M110" s="204"/>
      <c r="N110" s="847">
        <v>0</v>
      </c>
      <c r="O110" s="262"/>
      <c r="P110" s="848">
        <f t="shared" si="3"/>
        <v>-872076.19214684772</v>
      </c>
      <c r="T110" s="571"/>
    </row>
    <row r="111" spans="1:21" ht="15.75" customHeight="1">
      <c r="A111" s="842">
        <f t="shared" si="4"/>
        <v>87</v>
      </c>
      <c r="B111" s="571">
        <v>9070</v>
      </c>
      <c r="C111" s="157" t="s">
        <v>28</v>
      </c>
      <c r="D111" s="733">
        <f>'C.2.1 B'!D143</f>
        <v>0</v>
      </c>
      <c r="E111" s="204"/>
      <c r="F111" s="847">
        <v>0</v>
      </c>
      <c r="G111" s="230"/>
      <c r="H111" s="847">
        <v>0</v>
      </c>
      <c r="I111" s="262"/>
      <c r="J111" s="847">
        <v>0</v>
      </c>
      <c r="K111" s="204"/>
      <c r="L111" s="847">
        <v>0</v>
      </c>
      <c r="M111" s="204"/>
      <c r="N111" s="847">
        <v>0</v>
      </c>
      <c r="O111" s="262"/>
      <c r="P111" s="848">
        <f t="shared" si="3"/>
        <v>0</v>
      </c>
      <c r="T111" s="571"/>
    </row>
    <row r="112" spans="1:21" ht="15.75" customHeight="1">
      <c r="A112" s="842">
        <f t="shared" si="4"/>
        <v>88</v>
      </c>
      <c r="B112" s="571">
        <v>9080</v>
      </c>
      <c r="C112" s="157" t="s">
        <v>29</v>
      </c>
      <c r="D112" s="733">
        <f>'C.2.1 B'!D144</f>
        <v>0</v>
      </c>
      <c r="E112" s="204"/>
      <c r="F112" s="847">
        <v>0</v>
      </c>
      <c r="G112" s="230"/>
      <c r="H112" s="847">
        <v>0</v>
      </c>
      <c r="I112" s="262"/>
      <c r="J112" s="847">
        <v>0</v>
      </c>
      <c r="K112" s="204"/>
      <c r="L112" s="847">
        <v>0</v>
      </c>
      <c r="M112" s="204"/>
      <c r="N112" s="847">
        <v>0</v>
      </c>
      <c r="O112" s="262"/>
      <c r="P112" s="848">
        <f t="shared" si="3"/>
        <v>0</v>
      </c>
      <c r="T112" s="571"/>
    </row>
    <row r="113" spans="1:20" ht="15.75" customHeight="1">
      <c r="A113" s="842">
        <f t="shared" si="4"/>
        <v>89</v>
      </c>
      <c r="B113" s="571">
        <v>9090</v>
      </c>
      <c r="C113" s="157" t="s">
        <v>117</v>
      </c>
      <c r="D113" s="733">
        <f>'C.2.1 B'!D145</f>
        <v>198663.24391409353</v>
      </c>
      <c r="E113" s="204"/>
      <c r="F113" s="847">
        <v>18848.098742740738</v>
      </c>
      <c r="G113" s="230"/>
      <c r="H113" s="847">
        <v>0</v>
      </c>
      <c r="I113" s="262"/>
      <c r="J113" s="847">
        <v>-3050.5229686387793</v>
      </c>
      <c r="K113" s="204"/>
      <c r="L113" s="847">
        <v>0</v>
      </c>
      <c r="M113" s="204"/>
      <c r="N113" s="847">
        <v>0</v>
      </c>
      <c r="O113" s="262"/>
      <c r="P113" s="848">
        <f t="shared" si="3"/>
        <v>15797.575774101959</v>
      </c>
      <c r="T113" s="571"/>
    </row>
    <row r="114" spans="1:20" ht="15.75" customHeight="1">
      <c r="A114" s="842">
        <f t="shared" si="4"/>
        <v>90</v>
      </c>
      <c r="B114" s="571">
        <v>9100</v>
      </c>
      <c r="C114" s="157" t="s">
        <v>118</v>
      </c>
      <c r="D114" s="733">
        <f>'C.2.1 B'!D146</f>
        <v>0</v>
      </c>
      <c r="E114" s="204"/>
      <c r="F114" s="847">
        <v>0</v>
      </c>
      <c r="G114" s="230"/>
      <c r="H114" s="847">
        <v>0</v>
      </c>
      <c r="I114" s="262"/>
      <c r="J114" s="847">
        <v>0</v>
      </c>
      <c r="K114" s="204"/>
      <c r="L114" s="847">
        <v>0</v>
      </c>
      <c r="M114" s="204"/>
      <c r="N114" s="847">
        <v>0</v>
      </c>
      <c r="O114" s="262"/>
      <c r="P114" s="848">
        <f t="shared" si="3"/>
        <v>0</v>
      </c>
      <c r="T114" s="571"/>
    </row>
    <row r="115" spans="1:20" ht="15.75" customHeight="1">
      <c r="A115" s="842">
        <f t="shared" si="4"/>
        <v>91</v>
      </c>
      <c r="B115" s="571">
        <v>9110</v>
      </c>
      <c r="C115" s="157" t="s">
        <v>217</v>
      </c>
      <c r="D115" s="733">
        <f>'C.2.1 B'!D150</f>
        <v>143620.08528522789</v>
      </c>
      <c r="E115" s="204"/>
      <c r="F115" s="847">
        <v>15069.121321491923</v>
      </c>
      <c r="G115" s="230"/>
      <c r="H115" s="847">
        <v>0</v>
      </c>
      <c r="I115" s="262"/>
      <c r="J115" s="847">
        <v>-140.32086655232092</v>
      </c>
      <c r="K115" s="204"/>
      <c r="L115" s="847">
        <v>0</v>
      </c>
      <c r="M115" s="204"/>
      <c r="N115" s="847">
        <v>0</v>
      </c>
      <c r="O115" s="262"/>
      <c r="P115" s="848">
        <f t="shared" si="3"/>
        <v>14928.800454939601</v>
      </c>
      <c r="T115" s="571"/>
    </row>
    <row r="116" spans="1:20" ht="15.75" customHeight="1">
      <c r="A116" s="842">
        <f t="shared" si="4"/>
        <v>92</v>
      </c>
      <c r="B116" s="571">
        <v>9120</v>
      </c>
      <c r="C116" s="157" t="s">
        <v>432</v>
      </c>
      <c r="D116" s="733">
        <f>'C.2.1 B'!D151</f>
        <v>88415.442438524173</v>
      </c>
      <c r="E116" s="204"/>
      <c r="F116" s="847">
        <v>0</v>
      </c>
      <c r="G116" s="230"/>
      <c r="H116" s="847">
        <v>0</v>
      </c>
      <c r="I116" s="262"/>
      <c r="J116" s="847">
        <v>-11337.076970530445</v>
      </c>
      <c r="K116" s="204"/>
      <c r="L116" s="847">
        <v>0</v>
      </c>
      <c r="M116" s="204"/>
      <c r="N116" s="847">
        <v>0</v>
      </c>
      <c r="O116" s="262"/>
      <c r="P116" s="848">
        <f t="shared" si="3"/>
        <v>-11337.076970530445</v>
      </c>
      <c r="T116" s="571"/>
    </row>
    <row r="117" spans="1:20" ht="15.75" customHeight="1">
      <c r="A117" s="842">
        <f t="shared" si="4"/>
        <v>93</v>
      </c>
      <c r="B117" s="571">
        <v>9130</v>
      </c>
      <c r="C117" s="157" t="s">
        <v>433</v>
      </c>
      <c r="D117" s="733">
        <f>'C.2.1 B'!D152</f>
        <v>69534.95513628998</v>
      </c>
      <c r="E117" s="204"/>
      <c r="F117" s="847">
        <v>0</v>
      </c>
      <c r="G117" s="230"/>
      <c r="H117" s="847">
        <v>0</v>
      </c>
      <c r="I117" s="262"/>
      <c r="J117" s="847">
        <v>-32713.520091124621</v>
      </c>
      <c r="K117" s="204"/>
      <c r="L117" s="847">
        <v>0</v>
      </c>
      <c r="M117" s="204"/>
      <c r="N117" s="847">
        <v>0</v>
      </c>
      <c r="O117" s="262"/>
      <c r="P117" s="848">
        <f t="shared" si="3"/>
        <v>-32713.520091124621</v>
      </c>
      <c r="T117" s="571"/>
    </row>
    <row r="118" spans="1:20" ht="15.75" customHeight="1">
      <c r="A118" s="842">
        <f t="shared" si="4"/>
        <v>94</v>
      </c>
      <c r="B118" s="571">
        <v>9160</v>
      </c>
      <c r="C118" s="157" t="s">
        <v>218</v>
      </c>
      <c r="D118" s="733">
        <f>'C.2.1 B'!D153</f>
        <v>2601.188787837048</v>
      </c>
      <c r="E118" s="204"/>
      <c r="F118" s="847">
        <v>0</v>
      </c>
      <c r="G118" s="230"/>
      <c r="H118" s="847">
        <v>0</v>
      </c>
      <c r="I118" s="262"/>
      <c r="J118" s="847">
        <v>-2600.759208658857</v>
      </c>
      <c r="K118" s="204"/>
      <c r="L118" s="847">
        <v>0</v>
      </c>
      <c r="M118" s="204"/>
      <c r="N118" s="847">
        <v>0</v>
      </c>
      <c r="O118" s="262"/>
      <c r="P118" s="848">
        <f t="shared" si="3"/>
        <v>-2600.759208658857</v>
      </c>
      <c r="T118" s="571"/>
    </row>
    <row r="119" spans="1:20" ht="15.75" customHeight="1">
      <c r="A119" s="842">
        <f t="shared" si="4"/>
        <v>95</v>
      </c>
      <c r="B119" s="571">
        <v>9200</v>
      </c>
      <c r="C119" s="157" t="s">
        <v>1231</v>
      </c>
      <c r="D119" s="733">
        <f>'C.2.1 B'!D157</f>
        <v>0</v>
      </c>
      <c r="E119" s="204"/>
      <c r="F119" s="847">
        <v>0</v>
      </c>
      <c r="G119" s="230"/>
      <c r="H119" s="847">
        <v>0</v>
      </c>
      <c r="I119" s="262"/>
      <c r="J119" s="847">
        <v>0</v>
      </c>
      <c r="K119" s="204"/>
      <c r="L119" s="847">
        <v>0</v>
      </c>
      <c r="M119" s="204"/>
      <c r="N119" s="847">
        <v>0</v>
      </c>
      <c r="O119" s="262"/>
      <c r="P119" s="848">
        <f t="shared" si="3"/>
        <v>0</v>
      </c>
      <c r="T119" s="571"/>
    </row>
    <row r="120" spans="1:20" ht="15.75" customHeight="1">
      <c r="A120" s="842">
        <f t="shared" si="4"/>
        <v>96</v>
      </c>
      <c r="B120" s="571">
        <v>9210</v>
      </c>
      <c r="C120" s="157" t="s">
        <v>219</v>
      </c>
      <c r="D120" s="733">
        <f>'C.2.1 B'!D158</f>
        <v>49458.461520724071</v>
      </c>
      <c r="E120" s="204"/>
      <c r="F120" s="847">
        <v>0</v>
      </c>
      <c r="G120" s="230"/>
      <c r="H120" s="847">
        <v>0</v>
      </c>
      <c r="I120" s="262"/>
      <c r="J120" s="847">
        <v>19610.275226477312</v>
      </c>
      <c r="K120" s="204"/>
      <c r="L120" s="847">
        <v>0</v>
      </c>
      <c r="M120" s="204"/>
      <c r="N120" s="847">
        <v>0</v>
      </c>
      <c r="O120" s="262"/>
      <c r="P120" s="848">
        <f t="shared" si="3"/>
        <v>19610.275226477312</v>
      </c>
      <c r="T120" s="571"/>
    </row>
    <row r="121" spans="1:20" ht="15">
      <c r="A121" s="842">
        <f t="shared" si="4"/>
        <v>97</v>
      </c>
      <c r="B121" s="571">
        <v>9220</v>
      </c>
      <c r="C121" s="157" t="s">
        <v>204</v>
      </c>
      <c r="D121" s="733">
        <f>'C.2.1 B'!D159</f>
        <v>15853827.764478171</v>
      </c>
      <c r="E121" s="204"/>
      <c r="F121" s="847">
        <v>0</v>
      </c>
      <c r="G121" s="230"/>
      <c r="H121" s="847">
        <v>0</v>
      </c>
      <c r="I121" s="262"/>
      <c r="J121" s="847">
        <v>0</v>
      </c>
      <c r="K121" s="204"/>
      <c r="L121" s="847">
        <v>0</v>
      </c>
      <c r="M121" s="204"/>
      <c r="N121" s="847">
        <f>'C.2.2-F 09'!$P$103-'C.2.2 B 09'!$P$103</f>
        <v>1860173.4851311538</v>
      </c>
      <c r="O121" s="262"/>
      <c r="P121" s="848">
        <f t="shared" si="3"/>
        <v>1860173.4851311538</v>
      </c>
      <c r="S121" s="204"/>
      <c r="T121" s="572"/>
    </row>
    <row r="122" spans="1:20" ht="15.75" customHeight="1">
      <c r="A122" s="842">
        <f t="shared" si="4"/>
        <v>98</v>
      </c>
      <c r="B122" s="571">
        <v>9230</v>
      </c>
      <c r="C122" s="157" t="s">
        <v>220</v>
      </c>
      <c r="D122" s="733">
        <f>'C.2.1 B'!D160</f>
        <v>96909.051195151013</v>
      </c>
      <c r="E122" s="204"/>
      <c r="F122" s="847">
        <v>0</v>
      </c>
      <c r="G122" s="230"/>
      <c r="H122" s="847">
        <v>0</v>
      </c>
      <c r="I122" s="262"/>
      <c r="J122" s="847">
        <v>-26916.277837398025</v>
      </c>
      <c r="K122" s="204"/>
      <c r="L122" s="847">
        <v>0</v>
      </c>
      <c r="M122" s="204"/>
      <c r="N122" s="847">
        <v>0</v>
      </c>
      <c r="O122" s="262"/>
      <c r="P122" s="848">
        <f t="shared" si="3"/>
        <v>-26916.277837398025</v>
      </c>
      <c r="T122" s="571"/>
    </row>
    <row r="123" spans="1:20" ht="15.75" customHeight="1">
      <c r="A123" s="842">
        <f t="shared" si="4"/>
        <v>99</v>
      </c>
      <c r="B123" s="571">
        <v>9240</v>
      </c>
      <c r="C123" s="157" t="s">
        <v>434</v>
      </c>
      <c r="D123" s="733">
        <f>'C.2.1 B'!D161</f>
        <v>5555.3937063118419</v>
      </c>
      <c r="E123" s="204"/>
      <c r="F123" s="847">
        <v>0</v>
      </c>
      <c r="G123" s="230"/>
      <c r="H123" s="847">
        <v>0</v>
      </c>
      <c r="I123" s="262"/>
      <c r="J123" s="847">
        <v>-5555.393706311821</v>
      </c>
      <c r="K123" s="204"/>
      <c r="L123" s="847">
        <v>0</v>
      </c>
      <c r="M123" s="204"/>
      <c r="N123" s="847">
        <v>0</v>
      </c>
      <c r="O123" s="262"/>
      <c r="P123" s="848">
        <f t="shared" si="3"/>
        <v>-5555.393706311821</v>
      </c>
      <c r="T123" s="571"/>
    </row>
    <row r="124" spans="1:20" ht="15.75" customHeight="1">
      <c r="A124" s="842">
        <f t="shared" si="4"/>
        <v>100</v>
      </c>
      <c r="B124" s="571">
        <v>9250</v>
      </c>
      <c r="C124" s="157" t="s">
        <v>1027</v>
      </c>
      <c r="D124" s="733">
        <f>'C.2.1 B'!D162</f>
        <v>58037.119126408179</v>
      </c>
      <c r="E124" s="204"/>
      <c r="F124" s="847">
        <v>0</v>
      </c>
      <c r="G124" s="230"/>
      <c r="H124" s="847">
        <v>0</v>
      </c>
      <c r="I124" s="262"/>
      <c r="J124" s="847">
        <v>-34779.846608642794</v>
      </c>
      <c r="K124" s="204"/>
      <c r="L124" s="847">
        <v>0</v>
      </c>
      <c r="M124" s="204"/>
      <c r="N124" s="847">
        <v>0</v>
      </c>
      <c r="O124" s="262"/>
      <c r="P124" s="848">
        <f t="shared" si="3"/>
        <v>-34779.846608642794</v>
      </c>
      <c r="T124" s="571"/>
    </row>
    <row r="125" spans="1:20" ht="15.75" customHeight="1">
      <c r="A125" s="842">
        <f t="shared" si="4"/>
        <v>101</v>
      </c>
      <c r="B125" s="571">
        <v>9260</v>
      </c>
      <c r="C125" s="157" t="s">
        <v>1028</v>
      </c>
      <c r="D125" s="733">
        <f>'C.2.1 B'!D163</f>
        <v>767058.87110375497</v>
      </c>
      <c r="E125" s="204"/>
      <c r="F125" s="847">
        <v>106721.56841205145</v>
      </c>
      <c r="G125" s="230"/>
      <c r="H125" s="847">
        <v>0</v>
      </c>
      <c r="I125" s="262"/>
      <c r="J125" s="847">
        <v>-1021.6545980015317</v>
      </c>
      <c r="K125" s="204"/>
      <c r="L125" s="847">
        <v>0</v>
      </c>
      <c r="M125" s="204"/>
      <c r="N125" s="847">
        <v>0</v>
      </c>
      <c r="O125" s="262"/>
      <c r="P125" s="848">
        <f t="shared" si="3"/>
        <v>105699.91381404991</v>
      </c>
      <c r="T125" s="571"/>
    </row>
    <row r="126" spans="1:20" ht="15.75" customHeight="1">
      <c r="A126" s="842">
        <f t="shared" si="4"/>
        <v>102</v>
      </c>
      <c r="B126" s="571">
        <v>9270</v>
      </c>
      <c r="C126" s="157" t="s">
        <v>1138</v>
      </c>
      <c r="D126" s="733">
        <f>'C.2.1 B'!D164</f>
        <v>474.3635801120983</v>
      </c>
      <c r="E126" s="204"/>
      <c r="F126" s="847">
        <v>0</v>
      </c>
      <c r="G126" s="230"/>
      <c r="H126" s="847">
        <v>0</v>
      </c>
      <c r="I126" s="262"/>
      <c r="J126" s="847">
        <v>161.10261913831621</v>
      </c>
      <c r="K126" s="204"/>
      <c r="L126" s="847">
        <v>0</v>
      </c>
      <c r="M126" s="204"/>
      <c r="N126" s="847">
        <v>0</v>
      </c>
      <c r="O126" s="262"/>
      <c r="P126" s="848">
        <f t="shared" si="3"/>
        <v>161.10261913831621</v>
      </c>
      <c r="T126" s="571"/>
    </row>
    <row r="127" spans="1:20" ht="15.75" customHeight="1">
      <c r="A127" s="842">
        <f t="shared" si="4"/>
        <v>103</v>
      </c>
      <c r="B127" s="571">
        <v>9280</v>
      </c>
      <c r="C127" s="157" t="s">
        <v>1139</v>
      </c>
      <c r="D127" s="733">
        <f>'C.2.1 B'!D165</f>
        <v>106317.29050083317</v>
      </c>
      <c r="E127" s="204"/>
      <c r="F127" s="847">
        <v>0</v>
      </c>
      <c r="G127" s="230"/>
      <c r="H127" s="847">
        <v>0</v>
      </c>
      <c r="I127" s="262"/>
      <c r="J127" s="847">
        <v>59074.328949058356</v>
      </c>
      <c r="K127" s="204"/>
      <c r="L127" s="847">
        <v>0</v>
      </c>
      <c r="M127" s="204"/>
      <c r="N127" s="847">
        <v>0</v>
      </c>
      <c r="O127" s="262"/>
      <c r="P127" s="848">
        <f t="shared" si="3"/>
        <v>59074.328949058356</v>
      </c>
      <c r="T127" s="571"/>
    </row>
    <row r="128" spans="1:20" ht="15.75" customHeight="1">
      <c r="A128" s="842">
        <f t="shared" si="4"/>
        <v>104</v>
      </c>
      <c r="B128" s="571">
        <v>9290</v>
      </c>
      <c r="C128" s="157" t="s">
        <v>450</v>
      </c>
      <c r="D128" s="204">
        <v>0</v>
      </c>
      <c r="E128" s="204"/>
      <c r="F128" s="847">
        <v>0</v>
      </c>
      <c r="G128" s="230"/>
      <c r="H128" s="847">
        <v>0</v>
      </c>
      <c r="I128" s="262"/>
      <c r="J128" s="847">
        <v>0</v>
      </c>
      <c r="K128" s="204"/>
      <c r="L128" s="847">
        <v>0</v>
      </c>
      <c r="M128" s="204"/>
      <c r="N128" s="847">
        <v>0</v>
      </c>
      <c r="O128" s="262"/>
      <c r="P128" s="848">
        <f t="shared" si="3"/>
        <v>0</v>
      </c>
      <c r="T128" s="571"/>
    </row>
    <row r="129" spans="1:20" ht="15.75" customHeight="1">
      <c r="A129" s="842">
        <f t="shared" si="4"/>
        <v>105</v>
      </c>
      <c r="B129" s="571">
        <v>9301</v>
      </c>
      <c r="C129" s="157" t="s">
        <v>1140</v>
      </c>
      <c r="D129" s="230">
        <v>0</v>
      </c>
      <c r="E129" s="204"/>
      <c r="F129" s="847">
        <v>0</v>
      </c>
      <c r="G129" s="230"/>
      <c r="H129" s="847">
        <v>0</v>
      </c>
      <c r="I129" s="262"/>
      <c r="J129" s="847">
        <v>0</v>
      </c>
      <c r="K129" s="204"/>
      <c r="L129" s="847">
        <v>0</v>
      </c>
      <c r="M129" s="204"/>
      <c r="N129" s="847">
        <v>0</v>
      </c>
      <c r="O129" s="262"/>
      <c r="P129" s="848">
        <f t="shared" si="3"/>
        <v>0</v>
      </c>
      <c r="T129" s="571"/>
    </row>
    <row r="130" spans="1:20" ht="15.75" customHeight="1">
      <c r="A130" s="842">
        <f t="shared" si="4"/>
        <v>106</v>
      </c>
      <c r="B130" s="571">
        <v>9302</v>
      </c>
      <c r="C130" s="157" t="s">
        <v>1141</v>
      </c>
      <c r="D130" s="607">
        <f>'C.2.1 B'!D166</f>
        <v>25278.433254311007</v>
      </c>
      <c r="E130" s="204"/>
      <c r="F130" s="847">
        <v>0</v>
      </c>
      <c r="G130" s="230"/>
      <c r="H130" s="847">
        <v>0</v>
      </c>
      <c r="I130" s="262"/>
      <c r="J130" s="847">
        <v>-867.62370097793155</v>
      </c>
      <c r="K130" s="204"/>
      <c r="L130" s="847">
        <v>0</v>
      </c>
      <c r="M130" s="204"/>
      <c r="N130" s="847">
        <v>0</v>
      </c>
      <c r="O130" s="262"/>
      <c r="P130" s="848">
        <f t="shared" si="3"/>
        <v>-867.62370097793155</v>
      </c>
      <c r="T130" s="571"/>
    </row>
    <row r="131" spans="1:20" ht="15.75" customHeight="1">
      <c r="A131" s="842">
        <f t="shared" si="4"/>
        <v>107</v>
      </c>
      <c r="B131" s="571">
        <v>9310</v>
      </c>
      <c r="C131" s="157" t="s">
        <v>1230</v>
      </c>
      <c r="D131" s="607">
        <f>'C.2.1 B'!D167</f>
        <v>0</v>
      </c>
      <c r="E131" s="204"/>
      <c r="F131" s="847">
        <v>0</v>
      </c>
      <c r="G131" s="230"/>
      <c r="H131" s="847">
        <v>0</v>
      </c>
      <c r="I131" s="262"/>
      <c r="J131" s="847">
        <v>0</v>
      </c>
      <c r="K131" s="204"/>
      <c r="L131" s="847">
        <v>0</v>
      </c>
      <c r="M131" s="204"/>
      <c r="N131" s="847">
        <v>0</v>
      </c>
      <c r="O131" s="262"/>
      <c r="P131" s="848">
        <f t="shared" si="3"/>
        <v>0</v>
      </c>
      <c r="T131" s="571"/>
    </row>
    <row r="132" spans="1:20" ht="15.75" customHeight="1">
      <c r="A132" s="842">
        <f t="shared" si="4"/>
        <v>108</v>
      </c>
      <c r="B132" s="571">
        <v>9320</v>
      </c>
      <c r="C132" s="157" t="s">
        <v>1142</v>
      </c>
      <c r="D132" s="737">
        <f>'C.2.1 B'!D171</f>
        <v>0</v>
      </c>
      <c r="E132" s="204"/>
      <c r="F132" s="847">
        <v>0</v>
      </c>
      <c r="G132" s="230"/>
      <c r="H132" s="847">
        <v>0</v>
      </c>
      <c r="I132" s="262"/>
      <c r="J132" s="847">
        <v>0</v>
      </c>
      <c r="K132" s="204"/>
      <c r="L132" s="1002">
        <v>0</v>
      </c>
      <c r="M132" s="204"/>
      <c r="N132" s="1002">
        <v>0</v>
      </c>
      <c r="O132" s="204"/>
      <c r="P132" s="849">
        <f t="shared" si="3"/>
        <v>0</v>
      </c>
      <c r="T132" s="571"/>
    </row>
    <row r="133" spans="1:20" ht="15.75" customHeight="1">
      <c r="A133" s="131"/>
      <c r="F133" s="623"/>
      <c r="H133" s="623"/>
      <c r="J133" s="623"/>
    </row>
    <row r="134" spans="1:20" ht="15.75" customHeight="1">
      <c r="A134" s="842">
        <f>A132+1</f>
        <v>109</v>
      </c>
      <c r="B134" s="48" t="s">
        <v>91</v>
      </c>
      <c r="D134" s="845">
        <f>SUM(D48:D93)+SUM(D99:D132)</f>
        <v>33536926.780049898</v>
      </c>
      <c r="F134" s="845">
        <f>SUM(F48:F93)+SUM(F99:F132)</f>
        <v>937190.38196676061</v>
      </c>
      <c r="H134" s="845">
        <f>SUM(H48:H93)+SUM(H99:H132)</f>
        <v>37136.03612975889</v>
      </c>
      <c r="J134" s="845">
        <f>SUM(J48:J93)+SUM(J99:J132)</f>
        <v>-1124892.2312718797</v>
      </c>
      <c r="L134" s="845">
        <f>SUM(L48:L93)+SUM(L99:L132)</f>
        <v>-872076.19214684772</v>
      </c>
      <c r="N134" s="845">
        <f>SUM(N48:N93)+SUM(N99:N132)</f>
        <v>1860173.4851311538</v>
      </c>
      <c r="P134" s="845">
        <f>SUM(P48:P93)+SUM(P99:P132)</f>
        <v>837531.47980894579</v>
      </c>
    </row>
    <row r="135" spans="1:20" ht="15.75" customHeight="1">
      <c r="A135" s="131"/>
    </row>
    <row r="136" spans="1:20" ht="15.75" customHeight="1">
      <c r="A136" s="131"/>
    </row>
    <row r="137" spans="1:20" ht="15.75" customHeight="1">
      <c r="A137" s="131"/>
    </row>
    <row r="138" spans="1:20" ht="15.75" customHeight="1">
      <c r="A138" s="842">
        <f>A134+1</f>
        <v>110</v>
      </c>
      <c r="B138" s="48" t="s">
        <v>309</v>
      </c>
      <c r="D138" s="850">
        <v>7055733.4481347874</v>
      </c>
      <c r="F138" s="841">
        <f>SUM(F122:F132,F99:F119,F48:F93)</f>
        <v>937190.38196676038</v>
      </c>
      <c r="G138" s="46"/>
      <c r="H138" s="46"/>
      <c r="I138" s="46"/>
      <c r="J138" s="46"/>
      <c r="K138" s="46"/>
      <c r="L138" s="46"/>
      <c r="M138" s="46"/>
      <c r="N138" s="46"/>
      <c r="O138" s="46"/>
      <c r="P138" s="841">
        <f>SUM(F138:O138)</f>
        <v>937190.38196676038</v>
      </c>
    </row>
    <row r="139" spans="1:20" ht="15.75" customHeight="1">
      <c r="A139" s="842">
        <f>A138+1</f>
        <v>111</v>
      </c>
      <c r="B139" s="48" t="s">
        <v>310</v>
      </c>
      <c r="D139" s="850">
        <v>1011280.9500583373</v>
      </c>
      <c r="F139" s="46"/>
      <c r="G139" s="46"/>
      <c r="H139" s="841">
        <f>SUM(H$122:H$132,H$99:H$119,H$48:H$93)</f>
        <v>37136.03612975889</v>
      </c>
      <c r="I139" s="46"/>
      <c r="J139" s="46"/>
      <c r="K139" s="46"/>
      <c r="L139" s="46"/>
      <c r="M139" s="46"/>
      <c r="N139" s="46"/>
      <c r="O139" s="46"/>
      <c r="P139" s="841">
        <f>SUM(F139:O139)</f>
        <v>37136.03612975889</v>
      </c>
    </row>
    <row r="140" spans="1:20" ht="15.75" customHeight="1">
      <c r="A140" s="842">
        <f>A139+1</f>
        <v>112</v>
      </c>
      <c r="B140" s="48" t="s">
        <v>311</v>
      </c>
      <c r="D140" s="850">
        <v>17683099.015571725</v>
      </c>
      <c r="F140" s="46"/>
      <c r="G140" s="46"/>
      <c r="H140" s="46"/>
      <c r="I140" s="46"/>
      <c r="J140" s="841">
        <f>SUM(J$122:J$132,J$99:J$120,J$48:J$93)</f>
        <v>-1124892.2312718793</v>
      </c>
      <c r="K140" s="46"/>
      <c r="L140" s="46"/>
      <c r="M140" s="46"/>
      <c r="N140" s="46"/>
      <c r="O140" s="46"/>
      <c r="P140" s="841">
        <f>SUM(F140:O140)</f>
        <v>-1124892.2312718793</v>
      </c>
    </row>
    <row r="141" spans="1:20" ht="15.75" customHeight="1">
      <c r="A141" s="842">
        <f>A140+1</f>
        <v>113</v>
      </c>
      <c r="B141" s="48" t="s">
        <v>312</v>
      </c>
      <c r="D141" s="850">
        <v>1603608.033025</v>
      </c>
      <c r="F141" s="46"/>
      <c r="G141" s="46"/>
      <c r="H141" s="46"/>
      <c r="I141" s="46"/>
      <c r="J141" s="46"/>
      <c r="K141" s="46"/>
      <c r="L141" s="841">
        <f>L134</f>
        <v>-872076.19214684772</v>
      </c>
      <c r="M141" s="46"/>
      <c r="N141" s="46"/>
      <c r="O141" s="46"/>
      <c r="P141" s="841">
        <f>SUM(F141:O141)</f>
        <v>-872076.19214684772</v>
      </c>
    </row>
    <row r="142" spans="1:20" ht="15.75" customHeight="1">
      <c r="A142" s="842">
        <f>A141+1</f>
        <v>114</v>
      </c>
      <c r="B142" s="48" t="s">
        <v>770</v>
      </c>
      <c r="D142" s="610">
        <f>D121</f>
        <v>15853827.764478171</v>
      </c>
      <c r="F142" s="610">
        <f>F144-F138</f>
        <v>8.3819031715393066E-9</v>
      </c>
      <c r="G142" s="46"/>
      <c r="H142" s="610">
        <f>H144-H139</f>
        <v>3.8562575355172157E-10</v>
      </c>
      <c r="I142" s="46"/>
      <c r="J142" s="610">
        <f>J144-J140</f>
        <v>0</v>
      </c>
      <c r="K142" s="46"/>
      <c r="L142" s="70"/>
      <c r="M142" s="46"/>
      <c r="N142" s="610">
        <f>N121</f>
        <v>1860173.4851311538</v>
      </c>
      <c r="O142" s="46"/>
      <c r="P142" s="851">
        <f>SUM(F142:O142)</f>
        <v>1860173.4851311627</v>
      </c>
    </row>
    <row r="143" spans="1:20" ht="15.75" customHeight="1">
      <c r="A143" s="131"/>
    </row>
    <row r="144" spans="1:20" ht="15.75" customHeight="1">
      <c r="A144" s="842">
        <f>A142+1</f>
        <v>115</v>
      </c>
      <c r="B144" s="48" t="s">
        <v>91</v>
      </c>
      <c r="D144" s="845">
        <f>SUM(D138:D142)</f>
        <v>43207549.211268023</v>
      </c>
      <c r="F144" s="852">
        <f>D.2.2!D15</f>
        <v>937190.38196676876</v>
      </c>
      <c r="G144" s="46"/>
      <c r="H144" s="852">
        <f>D.2.2!$D$21</f>
        <v>37136.036129759275</v>
      </c>
      <c r="I144" s="46"/>
      <c r="J144" s="852">
        <f>D.2.2!$D$28</f>
        <v>-1124892.2312718807</v>
      </c>
      <c r="K144" s="46"/>
      <c r="L144" s="852">
        <f>D.2.2!$D$34</f>
        <v>-872076.19214684772</v>
      </c>
      <c r="M144" s="46"/>
      <c r="N144" s="852">
        <f>D.2.2!$D$39</f>
        <v>15526993.938019944</v>
      </c>
      <c r="O144" s="46"/>
      <c r="P144" s="845">
        <f>SUM(P138:P142)</f>
        <v>837531.47980895499</v>
      </c>
    </row>
    <row r="145" spans="1:21" ht="15.75" customHeight="1">
      <c r="A145" s="131"/>
    </row>
    <row r="146" spans="1:21" ht="15.75" customHeight="1">
      <c r="A146" s="842">
        <f>A144+1</f>
        <v>116</v>
      </c>
      <c r="B146" s="48" t="s">
        <v>216</v>
      </c>
      <c r="D146" s="853">
        <f>D40</f>
        <v>0.2495</v>
      </c>
      <c r="F146" s="845">
        <f>F144*$D$146*-1</f>
        <v>-233829.00030070881</v>
      </c>
      <c r="H146" s="845">
        <f>H144*$D$146*-1</f>
        <v>-9265.4410143749392</v>
      </c>
      <c r="I146" s="46"/>
      <c r="J146" s="845">
        <f>J144*$D$146*-1</f>
        <v>280660.61170233425</v>
      </c>
      <c r="K146" s="46"/>
      <c r="L146" s="845">
        <f>L144*$D$146*-1</f>
        <v>217583.0099406385</v>
      </c>
      <c r="M146" s="46"/>
      <c r="N146" s="845">
        <f>N144*$D$146*-1</f>
        <v>-3873984.9875359763</v>
      </c>
      <c r="O146" s="46"/>
      <c r="P146" s="845">
        <f>P144*$D$146*-1</f>
        <v>-208964.10421233426</v>
      </c>
    </row>
    <row r="147" spans="1:21" ht="15.75" customHeight="1">
      <c r="A147" s="131"/>
      <c r="H147" s="46"/>
      <c r="I147" s="46"/>
      <c r="J147" s="46"/>
      <c r="K147" s="46"/>
      <c r="L147" s="46"/>
      <c r="M147" s="46"/>
      <c r="N147" s="46"/>
      <c r="O147" s="46"/>
      <c r="P147" s="46"/>
    </row>
    <row r="148" spans="1:21" ht="15.75" customHeight="1">
      <c r="A148" s="842">
        <f>A146+1</f>
        <v>117</v>
      </c>
      <c r="B148" s="48" t="s">
        <v>809</v>
      </c>
      <c r="F148" s="845">
        <f>F144+F146</f>
        <v>703361.38166605996</v>
      </c>
      <c r="H148" s="845">
        <f>H144+H146</f>
        <v>27870.595115384334</v>
      </c>
      <c r="J148" s="845">
        <f>J144+J146</f>
        <v>-844231.61956954643</v>
      </c>
      <c r="L148" s="845">
        <f>L144+L146</f>
        <v>-654493.18220620928</v>
      </c>
      <c r="N148" s="845">
        <f>N144+N146</f>
        <v>11653008.950483968</v>
      </c>
      <c r="P148" s="845">
        <f>P144+P146</f>
        <v>628567.37559662072</v>
      </c>
    </row>
    <row r="149" spans="1:21" ht="15.75" customHeight="1">
      <c r="A149" s="131"/>
      <c r="B149" s="48"/>
      <c r="F149" s="162"/>
      <c r="H149" s="162"/>
      <c r="J149" s="162"/>
      <c r="L149" s="162"/>
      <c r="N149" s="162"/>
      <c r="P149" s="162"/>
    </row>
    <row r="150" spans="1:21" ht="15.75" customHeight="1">
      <c r="H150" s="131" t="s">
        <v>210</v>
      </c>
    </row>
    <row r="151" spans="1:21" ht="15.75" customHeight="1">
      <c r="A151" s="131" t="s">
        <v>88</v>
      </c>
      <c r="B151" s="157" t="s">
        <v>1234</v>
      </c>
      <c r="D151" s="131" t="s">
        <v>42</v>
      </c>
      <c r="F151" s="568" t="s">
        <v>1052</v>
      </c>
      <c r="G151" s="569"/>
      <c r="H151" s="568" t="s">
        <v>1052</v>
      </c>
      <c r="I151" s="570"/>
      <c r="J151" s="568" t="s">
        <v>448</v>
      </c>
      <c r="K151" s="569"/>
      <c r="L151" s="568" t="s">
        <v>1050</v>
      </c>
      <c r="M151" s="570"/>
      <c r="N151" s="568" t="s">
        <v>1050</v>
      </c>
      <c r="O151" s="569"/>
      <c r="P151" s="131" t="s">
        <v>91</v>
      </c>
    </row>
    <row r="152" spans="1:21" ht="15.75" customHeight="1">
      <c r="A152" s="516" t="s">
        <v>94</v>
      </c>
      <c r="B152" s="158" t="s">
        <v>211</v>
      </c>
      <c r="C152" s="130"/>
      <c r="D152" s="516" t="s">
        <v>511</v>
      </c>
      <c r="E152" s="130"/>
      <c r="F152" s="516" t="s">
        <v>579</v>
      </c>
      <c r="G152" s="129" t="s">
        <v>314</v>
      </c>
      <c r="H152" s="516" t="s">
        <v>442</v>
      </c>
      <c r="I152" s="129"/>
      <c r="J152" s="516" t="s">
        <v>443</v>
      </c>
      <c r="K152" s="129" t="s">
        <v>314</v>
      </c>
      <c r="L152" s="516" t="s">
        <v>444</v>
      </c>
      <c r="M152" s="129" t="s">
        <v>314</v>
      </c>
      <c r="N152" s="516" t="s">
        <v>445</v>
      </c>
      <c r="O152" s="130"/>
      <c r="P152" s="516" t="s">
        <v>449</v>
      </c>
      <c r="U152" s="162"/>
    </row>
    <row r="153" spans="1:21" ht="15.75" customHeight="1">
      <c r="B153" s="83"/>
      <c r="D153" s="83"/>
      <c r="G153" s="83"/>
      <c r="I153" s="83"/>
      <c r="K153" s="573"/>
      <c r="M153" s="83"/>
      <c r="O153" s="83"/>
    </row>
    <row r="154" spans="1:21" ht="15.75" customHeight="1">
      <c r="B154" s="83"/>
      <c r="D154" s="83"/>
      <c r="G154" s="83"/>
      <c r="I154" s="83"/>
      <c r="K154" s="573"/>
      <c r="M154" s="83"/>
      <c r="O154" s="83"/>
    </row>
    <row r="155" spans="1:21" ht="15.75" customHeight="1">
      <c r="A155" s="842">
        <f>A148+1</f>
        <v>118</v>
      </c>
      <c r="B155" s="48" t="s">
        <v>22</v>
      </c>
      <c r="D155" s="733">
        <f>'C.2.1 B'!D176</f>
        <v>19915761.448384304</v>
      </c>
      <c r="F155" s="840">
        <f>D.2.3!D15</f>
        <v>2063308.6869721711</v>
      </c>
      <c r="G155" s="83"/>
      <c r="H155" s="46"/>
      <c r="I155" s="46"/>
      <c r="J155" s="46"/>
      <c r="K155" s="573"/>
      <c r="M155" s="46"/>
      <c r="O155" s="83"/>
      <c r="P155" s="841">
        <f>SUM(F155:O155)</f>
        <v>2063308.6869721711</v>
      </c>
    </row>
    <row r="156" spans="1:21" ht="15.75" customHeight="1">
      <c r="A156" s="842">
        <f>A155+1</f>
        <v>119</v>
      </c>
      <c r="B156" s="157" t="s">
        <v>483</v>
      </c>
      <c r="D156" s="46">
        <v>0</v>
      </c>
      <c r="F156" s="46"/>
      <c r="G156" s="46"/>
      <c r="H156" s="46"/>
      <c r="I156" s="83"/>
      <c r="K156" s="574"/>
      <c r="M156" s="83"/>
      <c r="O156" s="83"/>
      <c r="P156" s="841">
        <f>SUM(F156:O156)</f>
        <v>0</v>
      </c>
    </row>
    <row r="157" spans="1:21" ht="15.75" customHeight="1">
      <c r="A157" s="842">
        <f t="shared" ref="A157:A172" si="5">A156+1</f>
        <v>120</v>
      </c>
      <c r="B157" s="48" t="s">
        <v>160</v>
      </c>
      <c r="D157" s="854">
        <f>'C.2.2 B 09'!P15</f>
        <v>49304.75999999998</v>
      </c>
      <c r="F157" s="70"/>
      <c r="G157" s="83"/>
      <c r="H157" s="70"/>
      <c r="I157" s="83"/>
      <c r="J157" s="130"/>
      <c r="K157" s="574"/>
      <c r="L157" s="130"/>
      <c r="M157" s="83"/>
      <c r="N157" s="130"/>
      <c r="O157" s="83"/>
      <c r="P157" s="610">
        <f>SUM(F157:O157)</f>
        <v>0</v>
      </c>
    </row>
    <row r="158" spans="1:21" ht="15.75" customHeight="1">
      <c r="A158" s="842">
        <f t="shared" si="5"/>
        <v>121</v>
      </c>
      <c r="D158" s="83"/>
      <c r="F158" s="46"/>
      <c r="G158" s="83"/>
      <c r="H158" s="46"/>
      <c r="I158" s="83"/>
      <c r="J158" s="83"/>
      <c r="K158" s="573"/>
      <c r="M158" s="83"/>
      <c r="O158" s="83"/>
      <c r="P158" s="46"/>
    </row>
    <row r="159" spans="1:21" ht="15.75" customHeight="1">
      <c r="A159" s="842">
        <f t="shared" si="5"/>
        <v>122</v>
      </c>
      <c r="B159" s="48" t="s">
        <v>461</v>
      </c>
      <c r="D159" s="855">
        <f>SUM(D155:D157)</f>
        <v>19965066.208384305</v>
      </c>
      <c r="F159" s="855">
        <f>SUM(F155:F157)</f>
        <v>2063308.6869721711</v>
      </c>
      <c r="G159" s="83"/>
      <c r="H159" s="575"/>
      <c r="J159" s="575"/>
      <c r="K159" s="573"/>
      <c r="L159" s="575"/>
      <c r="N159" s="575"/>
      <c r="O159" s="83"/>
      <c r="P159" s="845">
        <f>SUM(F159:O159)</f>
        <v>2063308.6869721711</v>
      </c>
    </row>
    <row r="160" spans="1:21" ht="15.75" customHeight="1">
      <c r="A160" s="842">
        <f t="shared" si="5"/>
        <v>123</v>
      </c>
      <c r="D160" s="83"/>
      <c r="F160" s="46"/>
      <c r="G160" s="83"/>
      <c r="H160" s="46"/>
      <c r="I160" s="83"/>
      <c r="K160" s="573"/>
      <c r="M160" s="83"/>
      <c r="O160" s="83"/>
    </row>
    <row r="161" spans="1:16" ht="15.75" customHeight="1">
      <c r="A161" s="842">
        <f t="shared" si="5"/>
        <v>124</v>
      </c>
      <c r="B161" s="157" t="s">
        <v>216</v>
      </c>
      <c r="D161" s="853">
        <f>D40</f>
        <v>0.2495</v>
      </c>
      <c r="F161" s="845">
        <f>F159*$D$161</f>
        <v>514795.5173995567</v>
      </c>
      <c r="G161" s="83"/>
      <c r="H161" s="162"/>
      <c r="I161" s="83"/>
      <c r="J161" s="162"/>
      <c r="K161" s="83"/>
      <c r="L161" s="162"/>
      <c r="M161" s="46"/>
      <c r="N161" s="162"/>
      <c r="O161" s="83"/>
      <c r="P161" s="845">
        <f>P159*$D$161</f>
        <v>514795.5173995567</v>
      </c>
    </row>
    <row r="162" spans="1:16" ht="15.75" customHeight="1">
      <c r="A162" s="842">
        <f t="shared" si="5"/>
        <v>125</v>
      </c>
      <c r="B162" s="83"/>
      <c r="D162" s="576"/>
      <c r="F162" s="46"/>
      <c r="G162" s="83"/>
      <c r="H162" s="46"/>
      <c r="I162" s="83"/>
      <c r="K162" s="573"/>
      <c r="M162" s="83"/>
      <c r="O162" s="83"/>
    </row>
    <row r="163" spans="1:16" ht="15.75" customHeight="1">
      <c r="A163" s="842">
        <f t="shared" si="5"/>
        <v>126</v>
      </c>
      <c r="B163" s="157" t="s">
        <v>809</v>
      </c>
      <c r="D163" s="83"/>
      <c r="F163" s="845">
        <f>F159-F161</f>
        <v>1548513.1695726144</v>
      </c>
      <c r="G163" s="83"/>
      <c r="H163" s="162"/>
      <c r="I163" s="83"/>
      <c r="J163" s="162"/>
      <c r="K163" s="83"/>
      <c r="L163" s="162"/>
      <c r="M163" s="83"/>
      <c r="N163" s="162"/>
      <c r="O163" s="83"/>
      <c r="P163" s="845">
        <f>P159-P161</f>
        <v>1548513.1695726144</v>
      </c>
    </row>
    <row r="164" spans="1:16" ht="15.75" customHeight="1">
      <c r="A164" s="842">
        <f t="shared" si="5"/>
        <v>127</v>
      </c>
      <c r="B164" s="83"/>
      <c r="D164" s="83"/>
      <c r="F164" s="46"/>
      <c r="G164" s="83"/>
      <c r="H164" s="46"/>
      <c r="I164" s="83"/>
      <c r="K164" s="573"/>
      <c r="M164" s="83"/>
      <c r="O164" s="83"/>
    </row>
    <row r="165" spans="1:16" ht="15.75" customHeight="1">
      <c r="A165" s="842">
        <f t="shared" si="5"/>
        <v>128</v>
      </c>
      <c r="F165" s="46"/>
      <c r="G165" s="83"/>
      <c r="H165" s="46"/>
      <c r="I165" s="46"/>
      <c r="K165" s="573"/>
      <c r="M165" s="46"/>
      <c r="N165" s="83"/>
      <c r="O165" s="83"/>
    </row>
    <row r="166" spans="1:16" ht="15.75" customHeight="1">
      <c r="A166" s="842">
        <f t="shared" si="5"/>
        <v>129</v>
      </c>
      <c r="B166" s="83"/>
      <c r="D166" s="46"/>
      <c r="F166" s="46"/>
      <c r="G166" s="46"/>
      <c r="H166" s="83"/>
    </row>
    <row r="167" spans="1:16" ht="15.75" customHeight="1">
      <c r="A167" s="842">
        <f t="shared" si="5"/>
        <v>130</v>
      </c>
      <c r="D167" s="46"/>
      <c r="F167" s="46"/>
      <c r="G167" s="46"/>
      <c r="H167" s="83"/>
    </row>
    <row r="168" spans="1:16" ht="15.75" customHeight="1">
      <c r="A168" s="842">
        <f t="shared" si="5"/>
        <v>131</v>
      </c>
      <c r="B168" s="157" t="s">
        <v>542</v>
      </c>
      <c r="D168" s="856">
        <f>'C.2.2 B 09'!P16</f>
        <v>12842194.805499708</v>
      </c>
      <c r="F168" s="162"/>
      <c r="G168" s="46"/>
      <c r="H168" s="856">
        <f>D.2.3!D20</f>
        <v>961347.76760993712</v>
      </c>
      <c r="J168" s="577"/>
      <c r="L168" s="577"/>
      <c r="N168" s="577"/>
      <c r="P168" s="845">
        <f>SUM(F168:O168)</f>
        <v>961347.76760993712</v>
      </c>
    </row>
    <row r="169" spans="1:16" ht="15.75" customHeight="1">
      <c r="A169" s="842">
        <f t="shared" si="5"/>
        <v>132</v>
      </c>
      <c r="D169" s="46"/>
      <c r="F169" s="46"/>
      <c r="G169" s="46"/>
      <c r="H169" s="83"/>
    </row>
    <row r="170" spans="1:16" ht="15.75" customHeight="1">
      <c r="A170" s="842">
        <f t="shared" si="5"/>
        <v>133</v>
      </c>
      <c r="B170" s="157" t="s">
        <v>216</v>
      </c>
      <c r="D170" s="853">
        <f>D40</f>
        <v>0.2495</v>
      </c>
      <c r="F170" s="162"/>
      <c r="G170" s="46"/>
      <c r="H170" s="845">
        <f>H168*$D$170</f>
        <v>239856.26801867931</v>
      </c>
      <c r="J170" s="162"/>
      <c r="K170" s="46"/>
      <c r="L170" s="162"/>
      <c r="N170" s="162"/>
      <c r="O170" s="46"/>
      <c r="P170" s="845">
        <f>P168*$D$170</f>
        <v>239856.26801867931</v>
      </c>
    </row>
    <row r="171" spans="1:16" ht="15.75" customHeight="1">
      <c r="A171" s="842">
        <f t="shared" si="5"/>
        <v>134</v>
      </c>
      <c r="B171" s="83"/>
      <c r="D171" s="576"/>
      <c r="F171" s="46"/>
      <c r="G171" s="46"/>
      <c r="H171" s="46"/>
      <c r="J171" s="46"/>
      <c r="K171" s="46"/>
      <c r="L171" s="46"/>
      <c r="N171" s="46"/>
      <c r="O171" s="46"/>
      <c r="P171" s="46"/>
    </row>
    <row r="172" spans="1:16" ht="15.75" customHeight="1">
      <c r="A172" s="842">
        <f t="shared" si="5"/>
        <v>135</v>
      </c>
      <c r="B172" s="157" t="s">
        <v>809</v>
      </c>
      <c r="D172" s="83"/>
      <c r="F172" s="162"/>
      <c r="G172" s="83"/>
      <c r="H172" s="845">
        <f>H168-H170</f>
        <v>721491.49959125777</v>
      </c>
      <c r="I172" s="83"/>
      <c r="J172" s="162"/>
      <c r="K172" s="83"/>
      <c r="L172" s="162"/>
      <c r="M172" s="83"/>
      <c r="N172" s="162"/>
      <c r="O172" s="83"/>
      <c r="P172" s="845">
        <f>P168-P170</f>
        <v>721491.49959125777</v>
      </c>
    </row>
    <row r="173" spans="1:16" ht="15.75" customHeight="1">
      <c r="A173" s="131"/>
      <c r="B173" s="83"/>
      <c r="D173" s="46"/>
      <c r="F173" s="46"/>
      <c r="G173" s="83"/>
      <c r="H173" s="46"/>
      <c r="I173" s="83"/>
      <c r="K173" s="83"/>
      <c r="M173" s="83"/>
      <c r="O173" s="83"/>
    </row>
    <row r="174" spans="1:16" ht="15.75" customHeight="1">
      <c r="A174" s="131"/>
      <c r="D174" s="83"/>
      <c r="F174" s="46"/>
      <c r="G174" s="46"/>
      <c r="H174" s="46"/>
      <c r="I174" s="83"/>
      <c r="K174" s="83"/>
      <c r="M174" s="83"/>
      <c r="O174" s="83"/>
    </row>
    <row r="175" spans="1:16" ht="15.75" customHeight="1">
      <c r="A175" s="131"/>
      <c r="D175" s="46"/>
      <c r="F175" s="46"/>
      <c r="G175" s="83"/>
      <c r="H175" s="46"/>
      <c r="I175" s="83"/>
      <c r="K175" s="83"/>
      <c r="M175" s="83"/>
    </row>
    <row r="176" spans="1:16" ht="15.75" customHeight="1">
      <c r="A176" s="131"/>
      <c r="D176" s="83"/>
      <c r="F176" s="46"/>
      <c r="G176" s="83"/>
      <c r="H176" s="46"/>
    </row>
    <row r="177" spans="1:15" ht="15.75" customHeight="1">
      <c r="A177" s="131"/>
      <c r="B177" s="45" t="s">
        <v>1199</v>
      </c>
      <c r="D177" s="83"/>
      <c r="G177" s="83"/>
      <c r="I177" s="83"/>
      <c r="K177" s="574"/>
      <c r="M177" s="83"/>
      <c r="O177" s="83"/>
    </row>
    <row r="178" spans="1:15" ht="15.75" customHeight="1">
      <c r="B178" s="45" t="s">
        <v>1671</v>
      </c>
    </row>
  </sheetData>
  <phoneticPr fontId="20" type="noConversion"/>
  <printOptions horizontalCentered="1"/>
  <pageMargins left="0.64" right="0.5" top="1" bottom="0.5" header="0.5" footer="0.5"/>
  <pageSetup scale="47" fitToHeight="0" orientation="portrait" verticalDpi="300" r:id="rId1"/>
  <headerFooter alignWithMargins="0">
    <oddFooter>&amp;RSchedule &amp;A
Page &amp;P of &amp;N</oddFooter>
  </headerFooter>
  <rowBreaks count="5" manualBreakCount="5">
    <brk id="42" max="15" man="1"/>
    <brk id="93" max="15" man="1"/>
    <brk id="148" max="15" man="1"/>
    <brk id="185" max="25" man="1"/>
    <brk id="239" max="25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92D050"/>
    <pageSetUpPr fitToPage="1"/>
  </sheetPr>
  <dimension ref="A1:O112"/>
  <sheetViews>
    <sheetView view="pageBreakPreview" topLeftCell="A50" zoomScale="80" zoomScaleNormal="100" zoomScaleSheetLayoutView="80" workbookViewId="0">
      <selection activeCell="O70" sqref="O70"/>
    </sheetView>
  </sheetViews>
  <sheetFormatPr defaultColWidth="7.109375" defaultRowHeight="15.75" customHeight="1"/>
  <cols>
    <col min="1" max="1" width="3.77734375" style="1" customWidth="1"/>
    <col min="2" max="2" width="82.33203125" style="1" bestFit="1" customWidth="1"/>
    <col min="3" max="3" width="11.88671875" style="1" customWidth="1"/>
    <col min="4" max="4" width="12.44140625" style="1" customWidth="1"/>
    <col min="5" max="5" width="11.44140625" style="1" bestFit="1" customWidth="1"/>
    <col min="6" max="6" width="9.44140625" style="1" bestFit="1" customWidth="1"/>
    <col min="7" max="11" width="7.109375" style="1"/>
    <col min="12" max="12" width="7.88671875" style="1" customWidth="1"/>
    <col min="13" max="13" width="8.5546875" style="1" customWidth="1"/>
    <col min="14" max="16384" width="7.109375" style="1"/>
  </cols>
  <sheetData>
    <row r="1" spans="1:6" ht="15.75" customHeight="1">
      <c r="A1" s="1057" t="str">
        <f>'Table of Contents'!A1:C1</f>
        <v>Atmos Energy Corporation, Kentucky/Mid-States Division</v>
      </c>
      <c r="B1" s="1057"/>
      <c r="C1" s="1057"/>
      <c r="D1" s="1057"/>
      <c r="E1" s="25"/>
      <c r="F1"/>
    </row>
    <row r="2" spans="1:6" ht="15.75" customHeight="1">
      <c r="A2" s="1057" t="str">
        <f>'Table of Contents'!A2:C2</f>
        <v xml:space="preserve">Kentucky Jurisdiction Case No. 2024-00276 </v>
      </c>
      <c r="B2" s="1057"/>
      <c r="C2" s="1057"/>
      <c r="D2" s="1057"/>
      <c r="E2" s="25"/>
      <c r="F2"/>
    </row>
    <row r="3" spans="1:6" ht="15.75" customHeight="1">
      <c r="A3" s="1072" t="s">
        <v>409</v>
      </c>
      <c r="B3" s="1072"/>
      <c r="C3" s="1072"/>
      <c r="D3" s="1072"/>
      <c r="E3" s="25"/>
      <c r="F3"/>
    </row>
    <row r="4" spans="1:6" ht="15.75" customHeight="1">
      <c r="A4" s="1057" t="str">
        <f>Allocation!A4</f>
        <v>Forecasted Test Period:  Twelve Months Ended March 31, 2026</v>
      </c>
      <c r="B4" s="1057"/>
      <c r="C4" s="1057"/>
      <c r="D4" s="1057"/>
      <c r="E4" s="25"/>
      <c r="F4"/>
    </row>
    <row r="5" spans="1:6" ht="15.75" customHeight="1">
      <c r="B5" s="102"/>
      <c r="C5" s="25"/>
      <c r="D5" s="25"/>
      <c r="E5" s="25"/>
      <c r="F5"/>
    </row>
    <row r="6" spans="1:6" ht="15.75" customHeight="1">
      <c r="F6"/>
    </row>
    <row r="7" spans="1:6" ht="15.75" customHeight="1">
      <c r="B7" s="4" t="s">
        <v>446</v>
      </c>
      <c r="D7" s="84" t="s">
        <v>1347</v>
      </c>
      <c r="F7"/>
    </row>
    <row r="8" spans="1:6" ht="15.75" customHeight="1">
      <c r="B8" s="4" t="s">
        <v>512</v>
      </c>
      <c r="D8" s="287" t="s">
        <v>246</v>
      </c>
      <c r="F8"/>
    </row>
    <row r="9" spans="1:6" ht="15.75" customHeight="1">
      <c r="A9" s="28"/>
      <c r="B9" s="4" t="s">
        <v>356</v>
      </c>
      <c r="C9" s="28"/>
      <c r="D9" s="857" t="str">
        <f>D.1!P9</f>
        <v>Witness: Waller, Wiebe, Troup</v>
      </c>
      <c r="F9"/>
    </row>
    <row r="10" spans="1:6" ht="15.75" customHeight="1">
      <c r="A10" s="1" t="s">
        <v>1039</v>
      </c>
      <c r="B10" s="13"/>
      <c r="D10" s="42"/>
      <c r="F10"/>
    </row>
    <row r="11" spans="1:6" ht="15.75" customHeight="1">
      <c r="A11" s="28" t="s">
        <v>1040</v>
      </c>
      <c r="B11" s="139" t="s">
        <v>576</v>
      </c>
      <c r="C11" s="6"/>
      <c r="D11" s="9" t="s">
        <v>99</v>
      </c>
      <c r="F11"/>
    </row>
    <row r="12" spans="1:6" ht="15.75" customHeight="1">
      <c r="A12" s="38">
        <v>1</v>
      </c>
      <c r="B12" s="108" t="s">
        <v>577</v>
      </c>
      <c r="F12"/>
    </row>
    <row r="13" spans="1:6" ht="15.75" customHeight="1">
      <c r="A13" s="389">
        <f>A12+1</f>
        <v>2</v>
      </c>
      <c r="B13" s="4" t="s">
        <v>1207</v>
      </c>
      <c r="C13" s="4" t="s">
        <v>41</v>
      </c>
      <c r="D13" s="858">
        <f>'C.2.1 F'!D15</f>
        <v>103051755.40043777</v>
      </c>
      <c r="F13"/>
    </row>
    <row r="14" spans="1:6" ht="15.75" customHeight="1">
      <c r="A14" s="389">
        <f t="shared" ref="A14:A72" si="0">A13+1</f>
        <v>3</v>
      </c>
      <c r="B14" s="4" t="s">
        <v>1515</v>
      </c>
      <c r="C14" s="4" t="s">
        <v>42</v>
      </c>
      <c r="D14" s="702">
        <f>'C.2.1 B'!D15</f>
        <v>87647010.4563988</v>
      </c>
      <c r="F14"/>
    </row>
    <row r="15" spans="1:6" ht="15.75" customHeight="1">
      <c r="A15" s="389">
        <f t="shared" si="0"/>
        <v>4</v>
      </c>
      <c r="C15" s="4" t="s">
        <v>144</v>
      </c>
      <c r="D15" s="859">
        <f>D13-D14</f>
        <v>15404744.944038972</v>
      </c>
      <c r="F15"/>
    </row>
    <row r="16" spans="1:6" ht="15.75" customHeight="1">
      <c r="A16" s="389">
        <f t="shared" si="0"/>
        <v>5</v>
      </c>
      <c r="D16" s="860">
        <f>D15/D14</f>
        <v>0.17575893192275249</v>
      </c>
      <c r="F16"/>
    </row>
    <row r="17" spans="1:6" ht="15.75" customHeight="1">
      <c r="A17" s="389">
        <f t="shared" si="0"/>
        <v>6</v>
      </c>
      <c r="D17" s="18"/>
      <c r="F17"/>
    </row>
    <row r="18" spans="1:6" ht="15.75" customHeight="1">
      <c r="A18" s="389">
        <f t="shared" si="0"/>
        <v>7</v>
      </c>
      <c r="B18" s="4" t="s">
        <v>1208</v>
      </c>
      <c r="C18" s="4" t="s">
        <v>41</v>
      </c>
      <c r="D18" s="858">
        <f>'C.2.1 F'!D16</f>
        <v>51443822.090331733</v>
      </c>
      <c r="F18"/>
    </row>
    <row r="19" spans="1:6" ht="15.75" customHeight="1">
      <c r="A19" s="389">
        <f t="shared" si="0"/>
        <v>8</v>
      </c>
      <c r="B19" s="4" t="s">
        <v>1515</v>
      </c>
      <c r="C19" s="4" t="s">
        <v>42</v>
      </c>
      <c r="D19" s="702">
        <f>'C.2.1 B'!D17</f>
        <v>41998643.1162287</v>
      </c>
      <c r="F19"/>
    </row>
    <row r="20" spans="1:6" ht="15.75" customHeight="1">
      <c r="A20" s="389">
        <f t="shared" si="0"/>
        <v>9</v>
      </c>
      <c r="C20" s="4" t="s">
        <v>144</v>
      </c>
      <c r="D20" s="859">
        <f>D18-D19</f>
        <v>9445178.9741030335</v>
      </c>
      <c r="F20"/>
    </row>
    <row r="21" spans="1:6" ht="15.75" customHeight="1">
      <c r="A21" s="389">
        <f t="shared" si="0"/>
        <v>10</v>
      </c>
      <c r="D21" s="860">
        <f>D20/D19</f>
        <v>0.22489247921567546</v>
      </c>
      <c r="F21"/>
    </row>
    <row r="22" spans="1:6" ht="15.75" customHeight="1">
      <c r="A22" s="389">
        <f t="shared" si="0"/>
        <v>11</v>
      </c>
      <c r="D22" s="18"/>
      <c r="F22"/>
    </row>
    <row r="23" spans="1:6" ht="15.75" customHeight="1">
      <c r="A23" s="389">
        <f t="shared" si="0"/>
        <v>12</v>
      </c>
      <c r="B23" s="4" t="s">
        <v>1209</v>
      </c>
      <c r="C23" s="4" t="s">
        <v>41</v>
      </c>
      <c r="D23" s="858">
        <f>'C.2.1 F'!D17</f>
        <v>5130632.042026856</v>
      </c>
      <c r="F23"/>
    </row>
    <row r="24" spans="1:6" ht="15.75" customHeight="1">
      <c r="A24" s="389">
        <f t="shared" si="0"/>
        <v>13</v>
      </c>
      <c r="B24" s="4" t="s">
        <v>1485</v>
      </c>
      <c r="C24" s="4" t="s">
        <v>42</v>
      </c>
      <c r="D24" s="702">
        <f>'C.2.1 B'!D18</f>
        <v>4073458.9587275949</v>
      </c>
      <c r="F24"/>
    </row>
    <row r="25" spans="1:6" ht="15.75" customHeight="1">
      <c r="A25" s="389">
        <f t="shared" si="0"/>
        <v>14</v>
      </c>
      <c r="B25" s="1" t="s">
        <v>1481</v>
      </c>
      <c r="C25" s="4" t="s">
        <v>144</v>
      </c>
      <c r="D25" s="859">
        <f>D23-D24</f>
        <v>1057173.0832992611</v>
      </c>
      <c r="F25"/>
    </row>
    <row r="26" spans="1:6" ht="15.75" customHeight="1">
      <c r="A26" s="389">
        <f t="shared" si="0"/>
        <v>15</v>
      </c>
      <c r="D26" s="860">
        <f>D25/D24</f>
        <v>0.25952712277466633</v>
      </c>
      <c r="F26"/>
    </row>
    <row r="27" spans="1:6" ht="15.75" customHeight="1">
      <c r="A27" s="389">
        <f t="shared" si="0"/>
        <v>16</v>
      </c>
      <c r="D27" s="18"/>
      <c r="F27"/>
    </row>
    <row r="28" spans="1:6" ht="15.75" customHeight="1">
      <c r="A28" s="389">
        <f t="shared" si="0"/>
        <v>17</v>
      </c>
      <c r="B28" s="4" t="s">
        <v>1210</v>
      </c>
      <c r="C28" s="4" t="s">
        <v>41</v>
      </c>
      <c r="D28" s="858">
        <f>'C.2.1 F'!D18</f>
        <v>7198509.0309889168</v>
      </c>
      <c r="F28"/>
    </row>
    <row r="29" spans="1:6" ht="15.75" customHeight="1">
      <c r="A29" s="389">
        <f t="shared" si="0"/>
        <v>18</v>
      </c>
      <c r="B29" s="4" t="s">
        <v>1516</v>
      </c>
      <c r="C29" s="4" t="s">
        <v>42</v>
      </c>
      <c r="D29" s="702">
        <f>'C.2.1 B'!D21</f>
        <v>5745917.5156199615</v>
      </c>
      <c r="F29"/>
    </row>
    <row r="30" spans="1:6" ht="15.75" customHeight="1">
      <c r="A30" s="389">
        <f t="shared" si="0"/>
        <v>19</v>
      </c>
      <c r="C30" s="4" t="s">
        <v>144</v>
      </c>
      <c r="D30" s="859">
        <f>D28-D29</f>
        <v>1452591.5153689552</v>
      </c>
      <c r="F30"/>
    </row>
    <row r="31" spans="1:6" ht="15.75" customHeight="1">
      <c r="A31" s="389">
        <f t="shared" si="0"/>
        <v>20</v>
      </c>
      <c r="D31" s="860">
        <f>D30/D29</f>
        <v>0.25280410159389949</v>
      </c>
      <c r="F31"/>
    </row>
    <row r="32" spans="1:6" ht="15.75" customHeight="1">
      <c r="A32" s="389">
        <f t="shared" si="0"/>
        <v>21</v>
      </c>
      <c r="D32" s="18"/>
      <c r="F32"/>
    </row>
    <row r="33" spans="1:6" ht="15.75" customHeight="1">
      <c r="A33" s="389">
        <f t="shared" si="0"/>
        <v>22</v>
      </c>
      <c r="B33" s="1" t="s">
        <v>625</v>
      </c>
      <c r="C33" s="4" t="s">
        <v>41</v>
      </c>
      <c r="D33" s="23">
        <v>0</v>
      </c>
      <c r="F33"/>
    </row>
    <row r="34" spans="1:6" ht="15.75" customHeight="1">
      <c r="A34" s="389">
        <f t="shared" si="0"/>
        <v>23</v>
      </c>
      <c r="C34" s="4" t="s">
        <v>42</v>
      </c>
      <c r="D34" s="1023">
        <v>0</v>
      </c>
      <c r="F34"/>
    </row>
    <row r="35" spans="1:6" ht="15.75" customHeight="1">
      <c r="A35" s="389">
        <f t="shared" si="0"/>
        <v>24</v>
      </c>
      <c r="C35" s="4" t="s">
        <v>144</v>
      </c>
      <c r="D35" s="859">
        <f>D33-D34</f>
        <v>0</v>
      </c>
      <c r="F35"/>
    </row>
    <row r="36" spans="1:6" ht="15.75" customHeight="1">
      <c r="A36" s="389">
        <f t="shared" si="0"/>
        <v>25</v>
      </c>
      <c r="D36" s="1024">
        <f>IF(D34=0,0,D35/D34)</f>
        <v>0</v>
      </c>
      <c r="F36"/>
    </row>
    <row r="37" spans="1:6" ht="15.75" customHeight="1">
      <c r="A37" s="389">
        <f t="shared" si="0"/>
        <v>26</v>
      </c>
      <c r="B37" s="108" t="s">
        <v>578</v>
      </c>
      <c r="F37"/>
    </row>
    <row r="38" spans="1:6" ht="15.75" customHeight="1">
      <c r="A38" s="389">
        <f t="shared" si="0"/>
        <v>27</v>
      </c>
      <c r="B38" s="1" t="s">
        <v>1213</v>
      </c>
      <c r="C38" s="4" t="s">
        <v>41</v>
      </c>
      <c r="D38" s="858">
        <f>'C.2.1 F'!D22</f>
        <v>367461.89996584691</v>
      </c>
      <c r="F38"/>
    </row>
    <row r="39" spans="1:6" ht="15.75" customHeight="1">
      <c r="A39" s="389">
        <f t="shared" si="0"/>
        <v>28</v>
      </c>
      <c r="B39" s="1" t="s">
        <v>1214</v>
      </c>
      <c r="C39" s="4" t="s">
        <v>42</v>
      </c>
      <c r="D39" s="702">
        <f>'C.2.1 B'!D26</f>
        <v>197310.00629602867</v>
      </c>
      <c r="F39"/>
    </row>
    <row r="40" spans="1:6" ht="15.75" customHeight="1">
      <c r="A40" s="389">
        <f t="shared" si="0"/>
        <v>29</v>
      </c>
      <c r="C40" s="4" t="s">
        <v>144</v>
      </c>
      <c r="D40" s="859">
        <f>D38-D39</f>
        <v>170151.89366981824</v>
      </c>
      <c r="F40"/>
    </row>
    <row r="41" spans="1:6" ht="15.75" customHeight="1">
      <c r="A41" s="389">
        <f t="shared" si="0"/>
        <v>30</v>
      </c>
      <c r="D41" s="860">
        <f>D40/D39</f>
        <v>0.86235815843285457</v>
      </c>
      <c r="F41"/>
    </row>
    <row r="42" spans="1:6" ht="15.75" customHeight="1">
      <c r="A42" s="389">
        <f t="shared" si="0"/>
        <v>31</v>
      </c>
      <c r="D42" s="18"/>
      <c r="F42"/>
    </row>
    <row r="43" spans="1:6" ht="15.75" customHeight="1">
      <c r="A43" s="389">
        <f t="shared" si="0"/>
        <v>32</v>
      </c>
      <c r="B43" s="4" t="s">
        <v>1298</v>
      </c>
      <c r="C43" s="4" t="s">
        <v>41</v>
      </c>
      <c r="D43" s="858">
        <f>'C.2.1 F'!D23</f>
        <v>58912</v>
      </c>
      <c r="F43"/>
    </row>
    <row r="44" spans="1:6" ht="15.75" customHeight="1">
      <c r="A44" s="389">
        <f t="shared" si="0"/>
        <v>33</v>
      </c>
      <c r="B44" s="4" t="s">
        <v>1211</v>
      </c>
      <c r="C44" s="4" t="s">
        <v>42</v>
      </c>
      <c r="D44" s="702">
        <f>'C.2.1 B'!D27</f>
        <v>58913</v>
      </c>
      <c r="F44"/>
    </row>
    <row r="45" spans="1:6" ht="15.75" customHeight="1">
      <c r="A45" s="389">
        <f t="shared" si="0"/>
        <v>34</v>
      </c>
      <c r="C45" s="4" t="s">
        <v>144</v>
      </c>
      <c r="D45" s="859">
        <f>D43-D44</f>
        <v>-1</v>
      </c>
      <c r="F45"/>
    </row>
    <row r="46" spans="1:6" ht="15.75" customHeight="1">
      <c r="A46" s="389">
        <f t="shared" si="0"/>
        <v>35</v>
      </c>
      <c r="D46" s="860">
        <f>D45/D44</f>
        <v>-1.69741822687692E-5</v>
      </c>
      <c r="F46"/>
    </row>
    <row r="47" spans="1:6" ht="15.75" customHeight="1">
      <c r="A47" s="389">
        <f t="shared" si="0"/>
        <v>36</v>
      </c>
      <c r="D47" s="18"/>
      <c r="F47"/>
    </row>
    <row r="48" spans="1:6" ht="15.75" customHeight="1">
      <c r="A48" s="389">
        <f t="shared" si="0"/>
        <v>37</v>
      </c>
      <c r="B48" s="4" t="s">
        <v>1212</v>
      </c>
      <c r="C48" s="4" t="s">
        <v>41</v>
      </c>
      <c r="D48" s="858">
        <f>'C.2.1 F'!D24</f>
        <v>20570920.755260002</v>
      </c>
      <c r="F48"/>
    </row>
    <row r="49" spans="1:11" ht="15.75" customHeight="1">
      <c r="A49" s="389">
        <f t="shared" si="0"/>
        <v>38</v>
      </c>
      <c r="B49" s="4" t="s">
        <v>1484</v>
      </c>
      <c r="C49" s="4" t="s">
        <v>42</v>
      </c>
      <c r="D49" s="702">
        <f>'C.2.1 B'!D28</f>
        <v>21748886.757502422</v>
      </c>
      <c r="F49"/>
    </row>
    <row r="50" spans="1:11" ht="15.75" customHeight="1">
      <c r="A50" s="389">
        <f t="shared" si="0"/>
        <v>39</v>
      </c>
      <c r="C50" s="4" t="s">
        <v>144</v>
      </c>
      <c r="D50" s="859">
        <f>D48-D49</f>
        <v>-1177966.0022424199</v>
      </c>
      <c r="F50"/>
    </row>
    <row r="51" spans="1:11" ht="15.75" customHeight="1">
      <c r="A51" s="389">
        <f t="shared" si="0"/>
        <v>40</v>
      </c>
      <c r="D51" s="860">
        <f>D50/D49</f>
        <v>-5.4162128635667883E-2</v>
      </c>
      <c r="F51"/>
    </row>
    <row r="52" spans="1:11" ht="15.75" customHeight="1">
      <c r="A52" s="389">
        <f t="shared" si="0"/>
        <v>41</v>
      </c>
      <c r="D52" s="18"/>
      <c r="F52"/>
    </row>
    <row r="53" spans="1:11" ht="15.75" customHeight="1">
      <c r="A53" s="389">
        <f t="shared" si="0"/>
        <v>42</v>
      </c>
      <c r="B53" s="1" t="s">
        <v>1399</v>
      </c>
      <c r="C53" s="4" t="s">
        <v>41</v>
      </c>
      <c r="D53" s="858">
        <f>'C.2.1 F'!D25</f>
        <v>0</v>
      </c>
      <c r="F53"/>
    </row>
    <row r="54" spans="1:11" ht="15.75" customHeight="1">
      <c r="A54" s="389">
        <f t="shared" si="0"/>
        <v>43</v>
      </c>
      <c r="B54" t="s">
        <v>1400</v>
      </c>
      <c r="C54" s="4" t="s">
        <v>42</v>
      </c>
      <c r="D54" s="702">
        <f>'C.2.1 B'!D29</f>
        <v>0</v>
      </c>
      <c r="F54"/>
    </row>
    <row r="55" spans="1:11" ht="15.75" customHeight="1">
      <c r="A55" s="389">
        <f t="shared" si="0"/>
        <v>44</v>
      </c>
      <c r="C55" s="4" t="s">
        <v>144</v>
      </c>
      <c r="D55" s="859">
        <f>D53-D54</f>
        <v>0</v>
      </c>
      <c r="F55"/>
    </row>
    <row r="56" spans="1:11" ht="15.75" customHeight="1">
      <c r="A56" s="389">
        <f t="shared" si="0"/>
        <v>45</v>
      </c>
      <c r="D56" s="1024">
        <f>IF(D54=0,0,D55/D54)</f>
        <v>0</v>
      </c>
      <c r="F56"/>
    </row>
    <row r="57" spans="1:11" ht="15.75" customHeight="1">
      <c r="A57" s="389">
        <f t="shared" si="0"/>
        <v>46</v>
      </c>
      <c r="B57" s="108" t="s">
        <v>447</v>
      </c>
      <c r="F57"/>
    </row>
    <row r="58" spans="1:11" ht="15.75" customHeight="1">
      <c r="A58" s="389">
        <f t="shared" si="0"/>
        <v>47</v>
      </c>
      <c r="B58" s="4" t="s">
        <v>1404</v>
      </c>
      <c r="C58" s="4" t="s">
        <v>41</v>
      </c>
      <c r="D58" s="858">
        <f>'C.2.1 F'!D100</f>
        <v>87640898.071899399</v>
      </c>
      <c r="F58"/>
    </row>
    <row r="59" spans="1:11" ht="15.75" customHeight="1">
      <c r="A59" s="389">
        <f t="shared" si="0"/>
        <v>48</v>
      </c>
      <c r="B59" s="4" t="s">
        <v>1483</v>
      </c>
      <c r="C59" s="4" t="s">
        <v>42</v>
      </c>
      <c r="D59" s="702">
        <f>'C.2.1 B'!D105</f>
        <v>52986727.226981685</v>
      </c>
      <c r="F59"/>
    </row>
    <row r="60" spans="1:11" ht="15.75" customHeight="1">
      <c r="A60" s="389">
        <f t="shared" si="0"/>
        <v>49</v>
      </c>
      <c r="B60" s="1" t="s">
        <v>1584</v>
      </c>
      <c r="C60" s="4" t="s">
        <v>144</v>
      </c>
      <c r="D60" s="859">
        <f>D58-D59</f>
        <v>34654170.844917715</v>
      </c>
      <c r="F60"/>
      <c r="G60" s="10"/>
      <c r="H60" s="10"/>
      <c r="I60" s="10"/>
      <c r="J60" s="10"/>
      <c r="K60" s="10"/>
    </row>
    <row r="61" spans="1:11" ht="15.75" customHeight="1">
      <c r="A61" s="389">
        <f t="shared" si="0"/>
        <v>50</v>
      </c>
      <c r="B61" s="1" t="s">
        <v>1517</v>
      </c>
      <c r="D61" s="860">
        <f>D60/D59</f>
        <v>0.65401606512642396</v>
      </c>
      <c r="F61"/>
      <c r="G61" s="10"/>
      <c r="H61" s="10"/>
      <c r="I61" s="10"/>
      <c r="J61" s="10"/>
      <c r="K61" s="10"/>
    </row>
    <row r="62" spans="1:11" ht="15.75" customHeight="1">
      <c r="A62" s="389">
        <f t="shared" si="0"/>
        <v>51</v>
      </c>
      <c r="D62" s="18"/>
      <c r="F62"/>
      <c r="G62" s="10"/>
      <c r="H62" s="10"/>
      <c r="I62" s="10"/>
      <c r="J62" s="10"/>
      <c r="K62" s="10"/>
    </row>
    <row r="63" spans="1:11" ht="15.75" customHeight="1">
      <c r="A63" s="389">
        <f t="shared" si="0"/>
        <v>52</v>
      </c>
      <c r="D63" s="18"/>
      <c r="F63"/>
      <c r="G63" s="10"/>
      <c r="H63" s="10"/>
      <c r="I63" s="10"/>
      <c r="J63" s="10"/>
      <c r="K63" s="10"/>
    </row>
    <row r="64" spans="1:11" ht="15.75" customHeight="1">
      <c r="A64" s="389">
        <f t="shared" si="0"/>
        <v>53</v>
      </c>
      <c r="D64" s="18"/>
      <c r="F64"/>
      <c r="G64" s="10"/>
      <c r="H64" s="10"/>
      <c r="I64" s="10"/>
      <c r="J64" s="10"/>
      <c r="K64" s="10"/>
    </row>
    <row r="65" spans="1:15" ht="15.75" customHeight="1">
      <c r="A65" s="389">
        <f t="shared" si="0"/>
        <v>54</v>
      </c>
      <c r="B65" t="s">
        <v>188</v>
      </c>
      <c r="E65"/>
      <c r="F65"/>
    </row>
    <row r="66" spans="1:15" ht="15.75" customHeight="1">
      <c r="A66" s="389">
        <f t="shared" si="0"/>
        <v>55</v>
      </c>
      <c r="B66" s="181" t="s">
        <v>1201</v>
      </c>
      <c r="C66"/>
      <c r="D66" s="329">
        <f>D14+D19+D24+D29+D34+D44+D49+D54+D39</f>
        <v>161470139.81077349</v>
      </c>
      <c r="E66"/>
      <c r="F66"/>
    </row>
    <row r="67" spans="1:15" ht="15.75" customHeight="1">
      <c r="A67" s="389">
        <f t="shared" si="0"/>
        <v>56</v>
      </c>
      <c r="B67" s="181" t="s">
        <v>1202</v>
      </c>
      <c r="C67"/>
      <c r="D67" s="698">
        <f>D59</f>
        <v>52986727.226981685</v>
      </c>
      <c r="E67"/>
      <c r="F67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5.75" customHeight="1">
      <c r="A68" s="389">
        <f t="shared" si="0"/>
        <v>57</v>
      </c>
      <c r="B68" s="181" t="s">
        <v>1203</v>
      </c>
      <c r="C68"/>
      <c r="D68" s="329">
        <f>D66-D67</f>
        <v>108483412.58379181</v>
      </c>
      <c r="E68"/>
      <c r="F68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5.75" customHeight="1">
      <c r="A69" s="389">
        <f t="shared" si="0"/>
        <v>58</v>
      </c>
      <c r="B69" s="181"/>
      <c r="C69"/>
      <c r="D69"/>
      <c r="E69"/>
      <c r="F69"/>
      <c r="K69" s="24"/>
    </row>
    <row r="70" spans="1:15" ht="15.75" customHeight="1">
      <c r="A70" s="389">
        <f t="shared" si="0"/>
        <v>59</v>
      </c>
      <c r="B70" s="181" t="s">
        <v>1204</v>
      </c>
      <c r="C70"/>
      <c r="D70" s="329">
        <f>D13+D18+D23+D28+D33+D43+D48+D53+D38</f>
        <v>187822013.2190111</v>
      </c>
      <c r="E70"/>
      <c r="F70"/>
    </row>
    <row r="71" spans="1:15" ht="15.75" customHeight="1">
      <c r="A71" s="389">
        <f t="shared" si="0"/>
        <v>60</v>
      </c>
      <c r="B71" s="181" t="s">
        <v>1205</v>
      </c>
      <c r="C71"/>
      <c r="D71" s="698">
        <f>D58</f>
        <v>87640898.071899399</v>
      </c>
      <c r="E71"/>
      <c r="F71"/>
      <c r="G71" s="10"/>
      <c r="H71" s="10"/>
      <c r="I71" s="10"/>
      <c r="J71" s="10"/>
      <c r="K71" s="10"/>
      <c r="L71" s="10"/>
      <c r="M71" s="10"/>
      <c r="N71" s="10"/>
      <c r="O71" s="10"/>
    </row>
    <row r="72" spans="1:15" ht="15.75" customHeight="1">
      <c r="A72" s="389">
        <f t="shared" si="0"/>
        <v>61</v>
      </c>
      <c r="B72" s="181" t="s">
        <v>1206</v>
      </c>
      <c r="C72"/>
      <c r="D72" s="329">
        <f>D70-D71</f>
        <v>100181115.1471117</v>
      </c>
      <c r="E72"/>
      <c r="F72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15.75" customHeight="1">
      <c r="B73"/>
      <c r="C73"/>
      <c r="D73"/>
      <c r="E73"/>
      <c r="F73"/>
      <c r="K73" s="24"/>
    </row>
    <row r="74" spans="1:15" ht="15.75" customHeight="1">
      <c r="B74"/>
      <c r="C74"/>
      <c r="D74"/>
      <c r="E74"/>
      <c r="F74"/>
    </row>
    <row r="75" spans="1:15" ht="15.75" customHeight="1">
      <c r="B75"/>
      <c r="C75"/>
      <c r="D75"/>
      <c r="E75"/>
      <c r="F75"/>
    </row>
    <row r="76" spans="1:15" ht="15.75" customHeight="1">
      <c r="B76"/>
      <c r="C76"/>
      <c r="D76"/>
      <c r="E76"/>
      <c r="F76"/>
    </row>
    <row r="77" spans="1:15" ht="15.75" customHeight="1">
      <c r="B77"/>
      <c r="C77"/>
      <c r="D77"/>
      <c r="E77"/>
      <c r="F77"/>
      <c r="G77" s="10"/>
      <c r="H77" s="10"/>
      <c r="I77" s="10"/>
      <c r="J77" s="10"/>
      <c r="K77" s="10"/>
      <c r="L77" s="10"/>
      <c r="M77" s="10"/>
      <c r="N77" s="10"/>
      <c r="O77" s="10"/>
    </row>
    <row r="78" spans="1:15" ht="15.75" customHeight="1">
      <c r="B78"/>
      <c r="C78"/>
      <c r="D78"/>
      <c r="E78"/>
      <c r="F78"/>
    </row>
    <row r="79" spans="1:15" ht="15.75" customHeight="1">
      <c r="B79"/>
      <c r="C79"/>
      <c r="D79"/>
      <c r="E79"/>
      <c r="F79"/>
    </row>
    <row r="80" spans="1:15" ht="15.75" customHeight="1">
      <c r="B80"/>
      <c r="C80"/>
      <c r="D80"/>
      <c r="E80"/>
      <c r="F80"/>
    </row>
    <row r="81" spans="2:6" ht="15.75" customHeight="1">
      <c r="B81"/>
      <c r="C81"/>
      <c r="D81"/>
      <c r="E81"/>
      <c r="F81"/>
    </row>
    <row r="82" spans="2:6" ht="15.75" customHeight="1">
      <c r="B82"/>
      <c r="C82"/>
      <c r="D82"/>
      <c r="E82"/>
      <c r="F82"/>
    </row>
    <row r="83" spans="2:6" ht="15.75" customHeight="1">
      <c r="B83"/>
      <c r="C83"/>
      <c r="D83"/>
      <c r="E83"/>
      <c r="F83"/>
    </row>
    <row r="84" spans="2:6" ht="15.75" customHeight="1">
      <c r="B84"/>
      <c r="C84"/>
      <c r="D84"/>
      <c r="E84"/>
      <c r="F84"/>
    </row>
    <row r="85" spans="2:6" ht="15.75" customHeight="1">
      <c r="B85"/>
      <c r="C85"/>
      <c r="D85"/>
      <c r="E85"/>
      <c r="F85"/>
    </row>
    <row r="86" spans="2:6" ht="15.75" customHeight="1">
      <c r="B86"/>
      <c r="C86"/>
      <c r="D86"/>
      <c r="E86"/>
      <c r="F86"/>
    </row>
    <row r="87" spans="2:6" ht="15.75" customHeight="1">
      <c r="B87"/>
      <c r="C87"/>
      <c r="D87"/>
      <c r="E87"/>
      <c r="F87"/>
    </row>
    <row r="88" spans="2:6" ht="15.75" customHeight="1">
      <c r="B88"/>
      <c r="C88"/>
      <c r="D88"/>
      <c r="E88"/>
      <c r="F88"/>
    </row>
    <row r="89" spans="2:6" ht="15.75" customHeight="1">
      <c r="B89"/>
      <c r="C89"/>
      <c r="D89"/>
      <c r="E89"/>
      <c r="F89"/>
    </row>
    <row r="90" spans="2:6" ht="15.75" customHeight="1">
      <c r="B90"/>
      <c r="C90"/>
      <c r="D90"/>
      <c r="E90"/>
      <c r="F90"/>
    </row>
    <row r="91" spans="2:6" ht="15.75" customHeight="1">
      <c r="B91"/>
      <c r="C91"/>
      <c r="D91"/>
      <c r="E91"/>
      <c r="F91"/>
    </row>
    <row r="92" spans="2:6" ht="15.75" customHeight="1">
      <c r="B92"/>
      <c r="C92"/>
      <c r="D92"/>
      <c r="E92"/>
      <c r="F92"/>
    </row>
    <row r="93" spans="2:6" ht="15.75" customHeight="1">
      <c r="B93"/>
      <c r="C93"/>
      <c r="D93"/>
      <c r="E93"/>
      <c r="F93"/>
    </row>
    <row r="94" spans="2:6" ht="15.75" customHeight="1">
      <c r="B94"/>
      <c r="C94"/>
      <c r="D94"/>
      <c r="E94"/>
      <c r="F94"/>
    </row>
    <row r="95" spans="2:6" ht="15.75" customHeight="1">
      <c r="B95"/>
      <c r="C95"/>
      <c r="D95"/>
      <c r="E95"/>
      <c r="F95"/>
    </row>
    <row r="96" spans="2:6" ht="15.75" customHeight="1">
      <c r="B96"/>
      <c r="C96"/>
      <c r="D96"/>
      <c r="E96"/>
      <c r="F96"/>
    </row>
    <row r="97" spans="2:6" ht="15.75" customHeight="1">
      <c r="B97"/>
      <c r="C97"/>
      <c r="D97"/>
      <c r="E97"/>
      <c r="F97"/>
    </row>
    <row r="98" spans="2:6" ht="15.75" customHeight="1">
      <c r="B98"/>
      <c r="C98"/>
      <c r="D98"/>
      <c r="E98"/>
      <c r="F98"/>
    </row>
    <row r="99" spans="2:6" ht="15.75" customHeight="1">
      <c r="B99"/>
      <c r="C99"/>
      <c r="D99"/>
      <c r="E99"/>
      <c r="F99"/>
    </row>
    <row r="100" spans="2:6" ht="15.75" customHeight="1">
      <c r="B100"/>
      <c r="C100"/>
      <c r="D100"/>
      <c r="E100"/>
      <c r="F100"/>
    </row>
    <row r="101" spans="2:6" ht="15.75" customHeight="1">
      <c r="B101"/>
      <c r="C101"/>
      <c r="D101"/>
      <c r="E101"/>
      <c r="F101"/>
    </row>
    <row r="102" spans="2:6" ht="15.75" customHeight="1">
      <c r="B102"/>
      <c r="C102"/>
      <c r="D102"/>
      <c r="E102"/>
      <c r="F102"/>
    </row>
    <row r="103" spans="2:6" ht="15.75" customHeight="1">
      <c r="B103"/>
      <c r="C103"/>
      <c r="D103"/>
      <c r="E103"/>
      <c r="F103"/>
    </row>
    <row r="104" spans="2:6" ht="15.75" customHeight="1">
      <c r="B104"/>
      <c r="C104"/>
      <c r="D104"/>
      <c r="E104"/>
      <c r="F104"/>
    </row>
    <row r="105" spans="2:6" ht="15.75" customHeight="1">
      <c r="B105"/>
      <c r="C105"/>
      <c r="D105"/>
      <c r="E105"/>
      <c r="F105"/>
    </row>
    <row r="106" spans="2:6" ht="15.75" customHeight="1">
      <c r="B106"/>
      <c r="C106"/>
      <c r="D106"/>
      <c r="E106"/>
      <c r="F106"/>
    </row>
    <row r="107" spans="2:6" ht="15.75" customHeight="1">
      <c r="B107"/>
      <c r="C107"/>
      <c r="D107"/>
      <c r="E107"/>
      <c r="F107"/>
    </row>
    <row r="108" spans="2:6" ht="15.75" customHeight="1">
      <c r="B108"/>
      <c r="C108"/>
      <c r="D108"/>
      <c r="E108"/>
      <c r="F108"/>
    </row>
    <row r="109" spans="2:6" ht="15.75" customHeight="1">
      <c r="B109" s="21"/>
    </row>
    <row r="110" spans="2:6" ht="15.75" customHeight="1">
      <c r="B110" s="21"/>
    </row>
    <row r="112" spans="2:6" ht="15.75" customHeight="1">
      <c r="B112" s="21"/>
    </row>
  </sheetData>
  <mergeCells count="4">
    <mergeCell ref="A1:D1"/>
    <mergeCell ref="A2:D2"/>
    <mergeCell ref="A3:D3"/>
    <mergeCell ref="A4:D4"/>
  </mergeCells>
  <phoneticPr fontId="20" type="noConversion"/>
  <printOptions horizontalCentered="1"/>
  <pageMargins left="0.71" right="0.43" top="0.75" bottom="0.67" header="0.5" footer="0.26"/>
  <pageSetup scale="61" orientation="portrait" verticalDpi="300" r:id="rId1"/>
  <headerFooter alignWithMargins="0">
    <oddFooter>&amp;RSchedule &amp;A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C24"/>
  <sheetViews>
    <sheetView view="pageBreakPreview" zoomScale="80" zoomScaleNormal="100" zoomScaleSheetLayoutView="80" workbookViewId="0">
      <selection sqref="A1:C1"/>
    </sheetView>
  </sheetViews>
  <sheetFormatPr defaultRowHeight="15"/>
  <cols>
    <col min="1" max="1" width="10" customWidth="1"/>
    <col min="3" max="3" width="74.44140625" bestFit="1" customWidth="1"/>
  </cols>
  <sheetData>
    <row r="1" spans="1:3">
      <c r="A1" s="1057" t="str">
        <f>'Table of Contents'!A1:C1</f>
        <v>Atmos Energy Corporation, Kentucky/Mid-States Division</v>
      </c>
      <c r="B1" s="1057"/>
      <c r="C1" s="1057"/>
    </row>
    <row r="2" spans="1:3">
      <c r="A2" s="1057" t="str">
        <f>'Table of Contents'!A2:C2</f>
        <v xml:space="preserve">Kentucky Jurisdiction Case No. 2024-00276 </v>
      </c>
      <c r="B2" s="1057"/>
      <c r="C2" s="1057"/>
    </row>
    <row r="3" spans="1:3">
      <c r="A3" s="1057" t="str">
        <f>'Table of Contents'!A3:C3</f>
        <v>Base Period: Twelve Months Ended December 31, 2024</v>
      </c>
      <c r="B3" s="1057"/>
      <c r="C3" s="1057"/>
    </row>
    <row r="4" spans="1:3">
      <c r="A4" s="1057" t="str">
        <f>'Table of Contents'!A4:C4</f>
        <v>Forecasted Test Period:  Twelve Months Ended March 31, 2026</v>
      </c>
      <c r="B4" s="1057"/>
      <c r="C4" s="1057"/>
    </row>
    <row r="9" spans="1:3">
      <c r="A9" s="1053" t="s">
        <v>1329</v>
      </c>
      <c r="B9" s="1053"/>
      <c r="C9" s="1053"/>
    </row>
    <row r="11" spans="1:3" ht="15.75">
      <c r="A11" s="1061" t="s">
        <v>262</v>
      </c>
      <c r="B11" s="1061"/>
      <c r="C11" s="1061"/>
    </row>
    <row r="14" spans="1:3" ht="15.75">
      <c r="A14" s="172" t="s">
        <v>56</v>
      </c>
      <c r="B14" s="172" t="s">
        <v>587</v>
      </c>
      <c r="C14" s="172" t="s">
        <v>949</v>
      </c>
    </row>
    <row r="15" spans="1:3">
      <c r="A15" s="50"/>
      <c r="B15" s="30"/>
      <c r="C15" s="30"/>
    </row>
    <row r="16" spans="1:3">
      <c r="A16" s="124" t="s">
        <v>358</v>
      </c>
      <c r="B16" s="50">
        <v>2</v>
      </c>
      <c r="C16" s="30" t="s">
        <v>165</v>
      </c>
    </row>
    <row r="17" spans="1:3">
      <c r="A17" s="124" t="s">
        <v>651</v>
      </c>
      <c r="B17" s="50">
        <v>14</v>
      </c>
      <c r="C17" s="30" t="s">
        <v>503</v>
      </c>
    </row>
    <row r="18" spans="1:3">
      <c r="A18" s="124" t="s">
        <v>652</v>
      </c>
      <c r="B18" s="50">
        <v>14</v>
      </c>
      <c r="C18" s="30" t="s">
        <v>395</v>
      </c>
    </row>
    <row r="19" spans="1:3">
      <c r="A19" s="124" t="s">
        <v>1077</v>
      </c>
      <c r="B19" s="50">
        <v>5</v>
      </c>
      <c r="C19" s="30" t="s">
        <v>86</v>
      </c>
    </row>
    <row r="20" spans="1:3">
      <c r="A20" s="124" t="s">
        <v>74</v>
      </c>
      <c r="B20" s="50">
        <v>2</v>
      </c>
      <c r="C20" s="30" t="s">
        <v>75</v>
      </c>
    </row>
    <row r="21" spans="1:3">
      <c r="A21" s="124" t="s">
        <v>77</v>
      </c>
      <c r="B21" s="50">
        <v>2</v>
      </c>
      <c r="C21" s="30" t="s">
        <v>816</v>
      </c>
    </row>
    <row r="22" spans="1:3">
      <c r="A22" s="124" t="s">
        <v>76</v>
      </c>
      <c r="B22" s="50">
        <v>2</v>
      </c>
      <c r="C22" s="30" t="s">
        <v>817</v>
      </c>
    </row>
    <row r="23" spans="1:3">
      <c r="A23" s="124" t="s">
        <v>79</v>
      </c>
      <c r="B23" s="50">
        <v>3</v>
      </c>
      <c r="C23" s="30" t="s">
        <v>601</v>
      </c>
    </row>
    <row r="24" spans="1:3">
      <c r="A24" s="124" t="s">
        <v>777</v>
      </c>
      <c r="B24" s="50">
        <v>2</v>
      </c>
      <c r="C24" s="4" t="s">
        <v>606</v>
      </c>
    </row>
  </sheetData>
  <mergeCells count="6">
    <mergeCell ref="A9:C9"/>
    <mergeCell ref="A11:C11"/>
    <mergeCell ref="A1:C1"/>
    <mergeCell ref="A2:C2"/>
    <mergeCell ref="A3:C3"/>
    <mergeCell ref="A4:C4"/>
  </mergeCells>
  <phoneticPr fontId="20" type="noConversion"/>
  <printOptions horizontalCentered="1"/>
  <pageMargins left="0.75" right="0.75" top="1" bottom="1" header="0.5" footer="0.5"/>
  <pageSetup scale="78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92D050"/>
    <pageSetUpPr fitToPage="1"/>
  </sheetPr>
  <dimension ref="A1:O143"/>
  <sheetViews>
    <sheetView view="pageBreakPreview" topLeftCell="A40" zoomScale="80" zoomScaleNormal="100" zoomScaleSheetLayoutView="80" workbookViewId="0">
      <selection activeCell="B48" sqref="B48"/>
    </sheetView>
  </sheetViews>
  <sheetFormatPr defaultColWidth="7.109375" defaultRowHeight="15.75" customHeight="1"/>
  <cols>
    <col min="1" max="1" width="3.6640625" style="1" customWidth="1"/>
    <col min="2" max="2" width="89.44140625" style="1" customWidth="1"/>
    <col min="3" max="3" width="11.6640625" style="1" customWidth="1"/>
    <col min="4" max="4" width="12.44140625" style="1" customWidth="1"/>
    <col min="5" max="5" width="8.5546875" style="1" bestFit="1" customWidth="1"/>
    <col min="6" max="11" width="7.109375" style="1"/>
    <col min="12" max="12" width="7.88671875" style="1" customWidth="1"/>
    <col min="13" max="13" width="8.5546875" style="1" customWidth="1"/>
    <col min="14" max="16384" width="7.109375" style="1"/>
  </cols>
  <sheetData>
    <row r="1" spans="1:5" ht="15.75" customHeight="1">
      <c r="A1" s="1057" t="str">
        <f>'Table of Contents'!A1:C1</f>
        <v>Atmos Energy Corporation, Kentucky/Mid-States Division</v>
      </c>
      <c r="B1" s="1057"/>
      <c r="C1" s="1057"/>
      <c r="D1" s="1057"/>
      <c r="E1" s="25"/>
    </row>
    <row r="2" spans="1:5" ht="15.75" customHeight="1">
      <c r="A2" s="1057" t="str">
        <f>'Table of Contents'!A2:C2</f>
        <v xml:space="preserve">Kentucky Jurisdiction Case No. 2024-00276 </v>
      </c>
      <c r="B2" s="1057"/>
      <c r="C2" s="1057"/>
      <c r="D2" s="1057"/>
      <c r="E2" s="25"/>
    </row>
    <row r="3" spans="1:5" ht="15.75" customHeight="1">
      <c r="A3" s="1072" t="s">
        <v>409</v>
      </c>
      <c r="B3" s="1072"/>
      <c r="C3" s="1072"/>
      <c r="D3" s="1072"/>
      <c r="E3" s="25"/>
    </row>
    <row r="4" spans="1:5" ht="15.75" customHeight="1">
      <c r="A4" s="1057" t="str">
        <f>'Table of Contents'!A4:C4</f>
        <v>Forecasted Test Period:  Twelve Months Ended March 31, 2026</v>
      </c>
      <c r="B4" s="1057"/>
      <c r="C4" s="1057"/>
      <c r="D4" s="1057"/>
      <c r="E4" s="25"/>
    </row>
    <row r="6" spans="1:5" ht="15.75" customHeight="1">
      <c r="B6" s="4" t="s">
        <v>653</v>
      </c>
      <c r="D6" s="84" t="s">
        <v>1348</v>
      </c>
    </row>
    <row r="7" spans="1:5" ht="15.75" customHeight="1">
      <c r="B7" s="4" t="s">
        <v>512</v>
      </c>
      <c r="D7" s="287" t="s">
        <v>254</v>
      </c>
    </row>
    <row r="8" spans="1:5" ht="15.75" customHeight="1">
      <c r="A8" s="28"/>
      <c r="B8" s="4" t="s">
        <v>436</v>
      </c>
      <c r="C8" s="28"/>
      <c r="D8" s="857" t="str">
        <f>D.1!P9</f>
        <v>Witness: Waller, Wiebe, Troup</v>
      </c>
      <c r="E8"/>
    </row>
    <row r="9" spans="1:5" ht="15.75" customHeight="1">
      <c r="A9" s="1" t="s">
        <v>1039</v>
      </c>
      <c r="B9" s="13"/>
      <c r="D9" s="13"/>
      <c r="E9"/>
    </row>
    <row r="10" spans="1:5" ht="15.75" customHeight="1">
      <c r="A10" s="28" t="s">
        <v>1040</v>
      </c>
      <c r="B10" s="73" t="s">
        <v>576</v>
      </c>
      <c r="C10" s="6"/>
      <c r="D10" s="9" t="s">
        <v>99</v>
      </c>
      <c r="E10"/>
    </row>
    <row r="11" spans="1:5" ht="15.75" customHeight="1">
      <c r="E11"/>
    </row>
    <row r="12" spans="1:5" ht="15.75" customHeight="1">
      <c r="A12" s="38">
        <v>1</v>
      </c>
      <c r="B12" s="108" t="s">
        <v>579</v>
      </c>
      <c r="E12"/>
    </row>
    <row r="13" spans="1:5" ht="15.75" customHeight="1">
      <c r="A13" s="38">
        <v>2</v>
      </c>
      <c r="B13" s="60" t="s">
        <v>1397</v>
      </c>
      <c r="C13" s="4" t="s">
        <v>41</v>
      </c>
      <c r="D13" s="724">
        <v>7992923.8301015561</v>
      </c>
    </row>
    <row r="14" spans="1:5" ht="15.75" customHeight="1">
      <c r="A14" s="38">
        <v>3</v>
      </c>
      <c r="B14" s="60" t="s">
        <v>1398</v>
      </c>
      <c r="C14" s="4" t="s">
        <v>42</v>
      </c>
      <c r="D14" s="861">
        <v>7055733.4481347874</v>
      </c>
    </row>
    <row r="15" spans="1:5" ht="15.75" customHeight="1">
      <c r="A15" s="38">
        <v>4</v>
      </c>
      <c r="B15" s="60" t="s">
        <v>1215</v>
      </c>
      <c r="C15" s="4" t="s">
        <v>144</v>
      </c>
      <c r="D15" s="691">
        <f>D13-D14</f>
        <v>937190.38196676876</v>
      </c>
    </row>
    <row r="16" spans="1:5" ht="15.75" customHeight="1">
      <c r="A16" s="38">
        <v>5</v>
      </c>
      <c r="B16" s="60" t="s">
        <v>1216</v>
      </c>
      <c r="D16" s="860">
        <f>D15/D14</f>
        <v>0.13282678389934344</v>
      </c>
    </row>
    <row r="17" spans="1:15" ht="15.75" customHeight="1">
      <c r="A17" s="38">
        <v>6</v>
      </c>
      <c r="B17" s="53"/>
    </row>
    <row r="18" spans="1:15" ht="15.75" customHeight="1">
      <c r="A18" s="38">
        <v>7</v>
      </c>
      <c r="B18" s="108" t="s">
        <v>442</v>
      </c>
    </row>
    <row r="19" spans="1:15" ht="15.75" customHeight="1">
      <c r="A19" s="38">
        <v>8</v>
      </c>
      <c r="B19" s="53" t="s">
        <v>1217</v>
      </c>
      <c r="C19" s="4" t="s">
        <v>41</v>
      </c>
      <c r="D19" s="724">
        <v>1048416.9861880966</v>
      </c>
    </row>
    <row r="20" spans="1:15" ht="15.75" customHeight="1">
      <c r="A20" s="38">
        <v>9</v>
      </c>
      <c r="B20" s="53" t="s">
        <v>1218</v>
      </c>
      <c r="C20" s="4" t="s">
        <v>42</v>
      </c>
      <c r="D20" s="861">
        <v>1011280.9500583373</v>
      </c>
    </row>
    <row r="21" spans="1:15" ht="15.75" customHeight="1">
      <c r="A21" s="38">
        <v>10</v>
      </c>
      <c r="B21" s="53" t="s">
        <v>1219</v>
      </c>
      <c r="C21" s="4" t="s">
        <v>144</v>
      </c>
      <c r="D21" s="691">
        <f>D19-D20</f>
        <v>37136.036129759275</v>
      </c>
    </row>
    <row r="22" spans="1:15" ht="15.75" customHeight="1">
      <c r="A22" s="38">
        <v>11</v>
      </c>
      <c r="B22" s="53" t="s">
        <v>1221</v>
      </c>
      <c r="D22" s="860">
        <f>D21/D20</f>
        <v>3.6721779568394938E-2</v>
      </c>
    </row>
    <row r="23" spans="1:15" ht="15.75" customHeight="1">
      <c r="A23" s="38">
        <v>12</v>
      </c>
      <c r="B23" s="53" t="s">
        <v>1220</v>
      </c>
    </row>
    <row r="24" spans="1:15" ht="15.75" customHeight="1">
      <c r="A24" s="38">
        <v>13</v>
      </c>
      <c r="B24" s="53"/>
    </row>
    <row r="25" spans="1:15" ht="15.75" customHeight="1">
      <c r="A25" s="38">
        <v>14</v>
      </c>
      <c r="B25" s="108" t="s">
        <v>443</v>
      </c>
    </row>
    <row r="26" spans="1:15" ht="15.75" customHeight="1">
      <c r="A26" s="38">
        <v>15</v>
      </c>
      <c r="B26" s="53" t="s">
        <v>1222</v>
      </c>
      <c r="C26" s="4" t="s">
        <v>41</v>
      </c>
      <c r="D26" s="724">
        <v>6887584.353081719</v>
      </c>
    </row>
    <row r="27" spans="1:15" ht="15.75" customHeight="1">
      <c r="A27" s="38">
        <v>16</v>
      </c>
      <c r="B27" s="53" t="s">
        <v>1402</v>
      </c>
      <c r="C27" s="4" t="s">
        <v>42</v>
      </c>
      <c r="D27" s="862">
        <v>8012476.5843535997</v>
      </c>
    </row>
    <row r="28" spans="1:15" ht="15.75" customHeight="1">
      <c r="A28" s="38">
        <v>17</v>
      </c>
      <c r="B28" s="53" t="s">
        <v>1396</v>
      </c>
      <c r="C28" s="4" t="s">
        <v>144</v>
      </c>
      <c r="D28" s="691">
        <f>D26-D27</f>
        <v>-1124892.2312718807</v>
      </c>
    </row>
    <row r="29" spans="1:15" ht="15.75" customHeight="1">
      <c r="A29" s="38">
        <v>18</v>
      </c>
      <c r="B29" s="53"/>
      <c r="D29" s="860">
        <f>D28/D27</f>
        <v>-0.14039257643117725</v>
      </c>
    </row>
    <row r="30" spans="1:15" ht="15.75" customHeight="1">
      <c r="A30" s="38">
        <v>19</v>
      </c>
      <c r="B30" s="53"/>
    </row>
    <row r="31" spans="1:15" ht="15.75" customHeight="1">
      <c r="A31" s="38">
        <v>20</v>
      </c>
      <c r="B31" s="108" t="s">
        <v>444</v>
      </c>
    </row>
    <row r="32" spans="1:15" ht="15.75" customHeight="1">
      <c r="A32" s="38">
        <v>21</v>
      </c>
      <c r="B32" s="53" t="s">
        <v>1223</v>
      </c>
      <c r="C32" s="4" t="s">
        <v>41</v>
      </c>
      <c r="D32" s="724">
        <f>+'C.2.2-F 09'!P94</f>
        <v>731531.84087815229</v>
      </c>
      <c r="E32"/>
      <c r="F32"/>
      <c r="G32"/>
      <c r="H32"/>
      <c r="I32"/>
      <c r="J32"/>
      <c r="K32"/>
      <c r="L32"/>
      <c r="M32"/>
      <c r="N32"/>
      <c r="O32"/>
    </row>
    <row r="33" spans="1:15" ht="15.75" customHeight="1">
      <c r="A33" s="38">
        <v>22</v>
      </c>
      <c r="B33" s="53" t="s">
        <v>1224</v>
      </c>
      <c r="C33" s="4" t="s">
        <v>42</v>
      </c>
      <c r="D33" s="1011">
        <f>'C.2.2 B 09'!P94</f>
        <v>1603608.033025</v>
      </c>
      <c r="E33"/>
      <c r="F33"/>
      <c r="G33"/>
      <c r="H33"/>
      <c r="I33"/>
      <c r="J33"/>
      <c r="K33"/>
      <c r="L33"/>
      <c r="M33"/>
      <c r="N33"/>
      <c r="O33"/>
    </row>
    <row r="34" spans="1:15" ht="15.75" customHeight="1">
      <c r="A34" s="38">
        <v>23</v>
      </c>
      <c r="B34" s="53" t="s">
        <v>1401</v>
      </c>
      <c r="C34" s="4" t="s">
        <v>144</v>
      </c>
      <c r="D34" s="820">
        <f>D32-D33</f>
        <v>-872076.19214684772</v>
      </c>
    </row>
    <row r="35" spans="1:15" ht="15.75" customHeight="1">
      <c r="A35" s="38">
        <v>24</v>
      </c>
      <c r="B35" s="53"/>
      <c r="D35" s="860">
        <f>D34/D33</f>
        <v>-0.5438212918538381</v>
      </c>
      <c r="E35" s="10"/>
    </row>
    <row r="36" spans="1:15" ht="15.75" customHeight="1">
      <c r="A36" s="38">
        <v>25</v>
      </c>
      <c r="B36" s="108" t="s">
        <v>445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1:15" ht="15.75" customHeight="1">
      <c r="A37" s="38">
        <v>26</v>
      </c>
      <c r="B37" s="53" t="s">
        <v>1225</v>
      </c>
      <c r="C37" s="4" t="s">
        <v>41</v>
      </c>
      <c r="D37" s="724">
        <v>18251309.399393763</v>
      </c>
    </row>
    <row r="38" spans="1:15" ht="15.75" customHeight="1">
      <c r="A38" s="38">
        <v>27</v>
      </c>
      <c r="B38" t="s">
        <v>1226</v>
      </c>
      <c r="C38" s="4" t="s">
        <v>42</v>
      </c>
      <c r="D38" s="861">
        <v>2724315.4613738195</v>
      </c>
    </row>
    <row r="39" spans="1:15" ht="15.75" customHeight="1">
      <c r="A39" s="38">
        <v>28</v>
      </c>
      <c r="B39" s="53" t="s">
        <v>1227</v>
      </c>
      <c r="C39" s="4" t="s">
        <v>144</v>
      </c>
      <c r="D39" s="691">
        <f>D37-D38</f>
        <v>15526993.938019944</v>
      </c>
      <c r="E39" s="10"/>
      <c r="F39" s="10"/>
      <c r="G39" s="10"/>
      <c r="H39" s="10"/>
      <c r="I39" s="10"/>
      <c r="J39" s="10"/>
      <c r="K39" s="10"/>
    </row>
    <row r="40" spans="1:15" ht="15.75" customHeight="1">
      <c r="A40" s="38">
        <v>29</v>
      </c>
      <c r="B40" s="4"/>
      <c r="D40" s="860">
        <f>D39/D38</f>
        <v>5.6994111578363187</v>
      </c>
      <c r="E40" s="10"/>
      <c r="F40" s="10"/>
      <c r="G40" s="10"/>
      <c r="H40" s="10"/>
      <c r="I40" s="10"/>
      <c r="J40" s="10"/>
      <c r="K40" s="10"/>
    </row>
    <row r="41" spans="1:15" ht="15.75" customHeight="1">
      <c r="A41" s="38">
        <v>30</v>
      </c>
      <c r="B41" s="4"/>
      <c r="D41" s="18"/>
      <c r="E41" s="10"/>
      <c r="F41" s="10"/>
      <c r="G41" s="10"/>
      <c r="H41" s="10"/>
      <c r="I41" s="10"/>
      <c r="J41" s="10"/>
      <c r="K41" s="10"/>
    </row>
    <row r="42" spans="1:15" ht="15.75" customHeight="1">
      <c r="A42" s="38">
        <v>31</v>
      </c>
      <c r="B42" s="15" t="s">
        <v>371</v>
      </c>
      <c r="C42" t="s">
        <v>41</v>
      </c>
      <c r="D42" s="745">
        <f>D13+D19+D26+D32+D37</f>
        <v>34911766.409643285</v>
      </c>
      <c r="E42"/>
    </row>
    <row r="43" spans="1:15" ht="15.75" customHeight="1">
      <c r="A43" s="38">
        <v>32</v>
      </c>
      <c r="B43"/>
      <c r="C43" t="s">
        <v>42</v>
      </c>
      <c r="D43" s="797">
        <f>D14+D20+D27+D33+D38</f>
        <v>20407414.476945546</v>
      </c>
      <c r="E43"/>
    </row>
    <row r="44" spans="1:15" ht="15.75" customHeight="1">
      <c r="A44" s="38">
        <v>33</v>
      </c>
      <c r="B44"/>
      <c r="C44" t="s">
        <v>144</v>
      </c>
      <c r="D44" s="745">
        <f>D42-D43</f>
        <v>14504351.932697739</v>
      </c>
      <c r="E44"/>
    </row>
    <row r="45" spans="1:15" ht="15.75" customHeight="1">
      <c r="A45" s="38">
        <v>34</v>
      </c>
      <c r="B45"/>
      <c r="C45"/>
      <c r="D45" s="860">
        <f>D44/D43</f>
        <v>0.71073932217544988</v>
      </c>
      <c r="E45"/>
      <c r="K45" s="10"/>
    </row>
    <row r="46" spans="1:15" ht="15.75" customHeight="1">
      <c r="B46"/>
      <c r="C46"/>
      <c r="D46"/>
      <c r="E46"/>
    </row>
    <row r="47" spans="1:15" ht="15.75" customHeight="1">
      <c r="B47" t="s">
        <v>1536</v>
      </c>
      <c r="C47"/>
      <c r="D47"/>
      <c r="E47"/>
    </row>
    <row r="48" spans="1:15" ht="15.75" customHeight="1">
      <c r="B48" t="s">
        <v>1671</v>
      </c>
      <c r="C48"/>
      <c r="D48"/>
      <c r="E48"/>
    </row>
    <row r="49" spans="2:15" ht="15.75" customHeight="1">
      <c r="B49"/>
      <c r="C49"/>
      <c r="D49"/>
      <c r="E49"/>
    </row>
    <row r="50" spans="2:15" ht="15.75" customHeight="1">
      <c r="B50"/>
      <c r="C50"/>
      <c r="D50"/>
      <c r="E50"/>
    </row>
    <row r="51" spans="2:15" ht="15.75" customHeight="1">
      <c r="B51"/>
      <c r="C51"/>
      <c r="D51"/>
      <c r="E51"/>
    </row>
    <row r="52" spans="2:15" ht="15.75" customHeight="1">
      <c r="B52"/>
      <c r="C52"/>
      <c r="D52"/>
      <c r="E52"/>
    </row>
    <row r="53" spans="2:15" ht="15.75" customHeight="1">
      <c r="B53"/>
      <c r="C53"/>
      <c r="D53"/>
      <c r="E53"/>
    </row>
    <row r="54" spans="2:15" ht="15.75" customHeight="1">
      <c r="B54"/>
      <c r="C54"/>
      <c r="D54"/>
      <c r="E54"/>
    </row>
    <row r="55" spans="2:15" ht="15.75" customHeight="1">
      <c r="B55"/>
      <c r="C55"/>
      <c r="D55"/>
      <c r="E55"/>
    </row>
    <row r="56" spans="2:15" ht="15.75" customHeight="1">
      <c r="B56"/>
      <c r="C56"/>
      <c r="D56"/>
      <c r="E56"/>
    </row>
    <row r="57" spans="2:15" ht="15.75" customHeight="1">
      <c r="B57"/>
      <c r="C57"/>
      <c r="D57"/>
      <c r="E57"/>
    </row>
    <row r="58" spans="2:15" ht="15.75" customHeight="1">
      <c r="B58"/>
      <c r="C58"/>
      <c r="D58"/>
      <c r="E58"/>
    </row>
    <row r="59" spans="2:15" ht="15.75" customHeight="1">
      <c r="B59"/>
      <c r="C59"/>
      <c r="D59"/>
      <c r="E59"/>
    </row>
    <row r="60" spans="2:15" ht="15.75" customHeight="1">
      <c r="B60"/>
      <c r="C60"/>
      <c r="D60"/>
      <c r="E6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2:15" ht="15.75" customHeight="1">
      <c r="B61"/>
      <c r="C61"/>
      <c r="D61"/>
      <c r="E61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2:15" ht="15.75" customHeight="1">
      <c r="B62"/>
      <c r="C62"/>
      <c r="D62"/>
      <c r="E62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2:15" ht="15.75" customHeight="1">
      <c r="B63"/>
      <c r="C63"/>
      <c r="D63"/>
      <c r="E63"/>
      <c r="K63" s="24"/>
    </row>
    <row r="64" spans="2:15" ht="15.75" customHeight="1">
      <c r="B64"/>
      <c r="C64"/>
      <c r="D64"/>
      <c r="E64"/>
    </row>
    <row r="65" spans="2:11" ht="15.75" customHeight="1">
      <c r="B65"/>
      <c r="C65"/>
      <c r="D65"/>
      <c r="E65"/>
    </row>
    <row r="66" spans="2:11" ht="15.75" customHeight="1">
      <c r="B66"/>
      <c r="C66"/>
      <c r="D66"/>
      <c r="E66"/>
      <c r="K66" s="10"/>
    </row>
    <row r="67" spans="2:11" ht="15.75" customHeight="1">
      <c r="B67"/>
      <c r="C67"/>
      <c r="D67"/>
      <c r="E67"/>
    </row>
    <row r="68" spans="2:11" ht="15.75" customHeight="1">
      <c r="B68"/>
      <c r="C68"/>
      <c r="D68"/>
      <c r="E68"/>
    </row>
    <row r="69" spans="2:11" ht="15.75" customHeight="1">
      <c r="B69"/>
      <c r="C69"/>
      <c r="D69"/>
      <c r="E69"/>
    </row>
    <row r="70" spans="2:11" ht="15.75" customHeight="1">
      <c r="B70"/>
      <c r="C70"/>
      <c r="D70"/>
      <c r="E70"/>
    </row>
    <row r="71" spans="2:11" ht="15.75" customHeight="1">
      <c r="B71"/>
      <c r="C71"/>
      <c r="D71"/>
      <c r="E71"/>
    </row>
    <row r="72" spans="2:11" ht="15.75" customHeight="1">
      <c r="B72"/>
      <c r="C72"/>
      <c r="D72"/>
      <c r="E72"/>
    </row>
    <row r="73" spans="2:11" ht="15.75" customHeight="1">
      <c r="B73"/>
      <c r="C73"/>
      <c r="D73"/>
      <c r="E73"/>
      <c r="G73" s="21"/>
    </row>
    <row r="74" spans="2:11" ht="15.75" customHeight="1">
      <c r="B74"/>
      <c r="C74"/>
      <c r="D74"/>
      <c r="E74"/>
      <c r="G74" s="21"/>
    </row>
    <row r="75" spans="2:11" ht="15.75" customHeight="1">
      <c r="B75"/>
      <c r="C75"/>
      <c r="D75"/>
      <c r="E75"/>
      <c r="G75" s="21"/>
    </row>
    <row r="76" spans="2:11" ht="15.75" customHeight="1">
      <c r="B76"/>
      <c r="C76"/>
      <c r="D76"/>
      <c r="E76"/>
    </row>
    <row r="77" spans="2:11" ht="15.75" customHeight="1">
      <c r="B77"/>
      <c r="C77"/>
      <c r="D77"/>
      <c r="E77"/>
    </row>
    <row r="78" spans="2:11" ht="15.75" customHeight="1">
      <c r="B78"/>
      <c r="C78"/>
      <c r="D78"/>
      <c r="E78"/>
    </row>
    <row r="79" spans="2:11" ht="15.75" customHeight="1">
      <c r="B79"/>
      <c r="C79"/>
      <c r="D79"/>
      <c r="E79"/>
    </row>
    <row r="80" spans="2:11" ht="15.75" customHeight="1">
      <c r="B80"/>
      <c r="C80"/>
      <c r="D80"/>
      <c r="E80"/>
    </row>
    <row r="81" spans="2:15" ht="15.75" customHeight="1">
      <c r="B81"/>
      <c r="C81"/>
      <c r="D81"/>
      <c r="E81"/>
    </row>
    <row r="82" spans="2:15" ht="15.75" customHeight="1">
      <c r="B82"/>
      <c r="C82"/>
      <c r="D82"/>
      <c r="E82"/>
    </row>
    <row r="83" spans="2:15" ht="15.75" customHeight="1">
      <c r="B83"/>
      <c r="C83"/>
      <c r="D83"/>
      <c r="E83"/>
    </row>
    <row r="84" spans="2:15" ht="15.75" customHeight="1">
      <c r="B84"/>
      <c r="C84"/>
      <c r="D84"/>
      <c r="E84"/>
    </row>
    <row r="85" spans="2:15" ht="15.75" customHeight="1">
      <c r="B85"/>
      <c r="C85"/>
      <c r="D85"/>
      <c r="E85"/>
    </row>
    <row r="86" spans="2:15" ht="15.75" customHeight="1">
      <c r="B86"/>
      <c r="C86"/>
      <c r="D86"/>
      <c r="E86"/>
    </row>
    <row r="87" spans="2:15" ht="15.75" customHeight="1">
      <c r="B87"/>
      <c r="C87"/>
      <c r="D87"/>
      <c r="E87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2:15" ht="15.75" customHeight="1">
      <c r="B88"/>
      <c r="C88"/>
      <c r="D88"/>
      <c r="E88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2:15" ht="15.75" customHeight="1">
      <c r="B89"/>
      <c r="C89"/>
      <c r="D89"/>
      <c r="E89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2:15" ht="15.75" customHeight="1">
      <c r="B90"/>
      <c r="C90"/>
      <c r="D90"/>
      <c r="E90"/>
      <c r="K90" s="24"/>
    </row>
    <row r="91" spans="2:15" ht="15.75" customHeight="1">
      <c r="B91"/>
      <c r="C91"/>
      <c r="D91"/>
      <c r="E91"/>
    </row>
    <row r="92" spans="2:15" ht="15.75" customHeight="1">
      <c r="B92"/>
      <c r="C92"/>
      <c r="D92"/>
      <c r="E92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2:15" ht="15.75" customHeight="1">
      <c r="B93"/>
      <c r="C93"/>
      <c r="D93"/>
      <c r="E93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2:15" ht="15.75" customHeight="1">
      <c r="B94"/>
      <c r="C94"/>
      <c r="D94"/>
      <c r="E94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2:15" ht="15.75" customHeight="1">
      <c r="B95"/>
      <c r="C95"/>
      <c r="D95"/>
      <c r="E95"/>
      <c r="K95" s="24"/>
    </row>
    <row r="96" spans="2:15" ht="15.75" customHeight="1">
      <c r="B96"/>
      <c r="C96"/>
      <c r="D96"/>
      <c r="E96"/>
    </row>
    <row r="97" spans="2:15" ht="15.75" customHeight="1">
      <c r="B97"/>
      <c r="C97"/>
      <c r="D97"/>
      <c r="E97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2:15" ht="15.75" customHeight="1">
      <c r="B98"/>
      <c r="C98"/>
      <c r="D98"/>
      <c r="E98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2:15" ht="15.75" customHeight="1">
      <c r="B99"/>
      <c r="C99"/>
      <c r="D99"/>
      <c r="E99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2:15" ht="15.75" customHeight="1">
      <c r="B100"/>
      <c r="C100"/>
      <c r="D100"/>
      <c r="E100"/>
      <c r="K100" s="24"/>
    </row>
    <row r="101" spans="2:15" ht="15.75" customHeight="1">
      <c r="B101"/>
      <c r="C101"/>
      <c r="D101"/>
      <c r="E101"/>
    </row>
    <row r="102" spans="2:15" ht="15.75" customHeight="1">
      <c r="B102"/>
      <c r="C102"/>
      <c r="D102"/>
      <c r="E102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2:15" ht="15.75" customHeight="1">
      <c r="B103"/>
      <c r="C103"/>
      <c r="D103"/>
      <c r="E103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2:15" ht="15.75" customHeight="1">
      <c r="B104"/>
      <c r="C104"/>
      <c r="D104"/>
      <c r="E104"/>
      <c r="K104" s="24"/>
    </row>
    <row r="105" spans="2:15" ht="15.75" customHeight="1">
      <c r="B105"/>
      <c r="C105"/>
      <c r="D105"/>
      <c r="E105"/>
    </row>
    <row r="106" spans="2:15" ht="15.75" customHeight="1">
      <c r="B106"/>
      <c r="C106"/>
      <c r="D106"/>
      <c r="E106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2:15" ht="15.75" customHeight="1">
      <c r="B107"/>
      <c r="C107"/>
      <c r="D107"/>
      <c r="E107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2:15" ht="15.75" customHeight="1">
      <c r="B108"/>
      <c r="C108"/>
      <c r="D108"/>
      <c r="E108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2:15" ht="15.75" customHeight="1">
      <c r="B109"/>
      <c r="C109"/>
      <c r="D109"/>
      <c r="E109"/>
      <c r="K109" s="24"/>
    </row>
    <row r="110" spans="2:15" ht="15.75" customHeight="1">
      <c r="B110"/>
      <c r="C110"/>
      <c r="D110"/>
      <c r="E110"/>
    </row>
    <row r="111" spans="2:15" ht="15.75" customHeight="1">
      <c r="B111"/>
      <c r="C111"/>
      <c r="D111"/>
      <c r="E111"/>
    </row>
    <row r="112" spans="2:15" ht="15.75" customHeight="1">
      <c r="B112"/>
      <c r="C112"/>
      <c r="D112"/>
      <c r="E112"/>
      <c r="K112" s="10"/>
    </row>
    <row r="113" spans="2:15" ht="15.75" customHeight="1">
      <c r="B113"/>
      <c r="C113"/>
      <c r="D113"/>
      <c r="E113"/>
    </row>
    <row r="114" spans="2:15" ht="15.75" customHeight="1">
      <c r="B114"/>
      <c r="C114"/>
      <c r="D114"/>
      <c r="E114"/>
    </row>
    <row r="115" spans="2:15" ht="15.75" customHeight="1">
      <c r="B115"/>
      <c r="C115"/>
      <c r="D115"/>
      <c r="E115"/>
    </row>
    <row r="116" spans="2:15" ht="15.75" customHeight="1">
      <c r="B116"/>
      <c r="C116"/>
      <c r="D116"/>
      <c r="E116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2:15" ht="15.75" customHeight="1">
      <c r="B117"/>
      <c r="C117"/>
      <c r="D117"/>
      <c r="E117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2:15" ht="15.75" customHeight="1">
      <c r="B118"/>
      <c r="C118"/>
      <c r="D118"/>
      <c r="E118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2:15" ht="15.75" customHeight="1">
      <c r="B119"/>
      <c r="C119"/>
      <c r="D119"/>
      <c r="E119"/>
      <c r="K119" s="24"/>
    </row>
    <row r="120" spans="2:15" ht="15.75" customHeight="1">
      <c r="C120"/>
      <c r="D120"/>
      <c r="E120"/>
    </row>
    <row r="121" spans="2:15" ht="15.75" customHeight="1">
      <c r="B121"/>
      <c r="C121"/>
      <c r="D121"/>
      <c r="E121"/>
    </row>
    <row r="122" spans="2:15" ht="15.75" customHeight="1">
      <c r="B122"/>
      <c r="C122"/>
      <c r="D122"/>
      <c r="E122"/>
    </row>
    <row r="123" spans="2:15" ht="15.75" customHeight="1">
      <c r="B123"/>
      <c r="C123"/>
      <c r="D123"/>
      <c r="E123"/>
    </row>
    <row r="124" spans="2:15" ht="15.75" customHeight="1">
      <c r="B124"/>
      <c r="C124"/>
      <c r="D124"/>
      <c r="E124"/>
    </row>
    <row r="125" spans="2:15" ht="15.75" customHeight="1">
      <c r="B125"/>
      <c r="C125"/>
      <c r="D125"/>
      <c r="E125"/>
    </row>
    <row r="126" spans="2:15" ht="15.75" customHeight="1">
      <c r="B126"/>
      <c r="C126"/>
      <c r="D126"/>
      <c r="E126"/>
    </row>
    <row r="127" spans="2:15" ht="15.75" customHeight="1">
      <c r="B127"/>
      <c r="C127"/>
      <c r="D127"/>
      <c r="E127"/>
    </row>
    <row r="128" spans="2:15" ht="15.75" customHeight="1">
      <c r="B128"/>
      <c r="C128"/>
      <c r="D128"/>
      <c r="E128"/>
    </row>
    <row r="129" spans="2:5" ht="15.75" customHeight="1">
      <c r="B129"/>
      <c r="C129"/>
      <c r="D129"/>
      <c r="E129"/>
    </row>
    <row r="130" spans="2:5" ht="15.75" customHeight="1">
      <c r="B130"/>
      <c r="C130"/>
      <c r="D130"/>
      <c r="E130"/>
    </row>
    <row r="131" spans="2:5" ht="15.75" customHeight="1">
      <c r="B131"/>
      <c r="C131"/>
      <c r="D131"/>
      <c r="E131"/>
    </row>
    <row r="132" spans="2:5" ht="15.75" customHeight="1">
      <c r="B132"/>
      <c r="C132"/>
      <c r="D132"/>
      <c r="E132"/>
    </row>
    <row r="133" spans="2:5" ht="15.75" customHeight="1">
      <c r="B133"/>
      <c r="C133"/>
      <c r="D133"/>
      <c r="E133"/>
    </row>
    <row r="134" spans="2:5" ht="15.75" customHeight="1">
      <c r="B134"/>
      <c r="C134"/>
      <c r="D134"/>
      <c r="E134"/>
    </row>
    <row r="135" spans="2:5" ht="15.75" customHeight="1">
      <c r="B135"/>
      <c r="C135"/>
      <c r="D135"/>
      <c r="E135"/>
    </row>
    <row r="136" spans="2:5" ht="15.75" customHeight="1">
      <c r="B136"/>
      <c r="C136"/>
      <c r="D136"/>
      <c r="E136"/>
    </row>
    <row r="137" spans="2:5" ht="15.75" customHeight="1">
      <c r="B137"/>
      <c r="C137"/>
      <c r="D137"/>
      <c r="E137"/>
    </row>
    <row r="138" spans="2:5" ht="15.75" customHeight="1">
      <c r="B138"/>
      <c r="C138"/>
      <c r="D138"/>
      <c r="E138"/>
    </row>
    <row r="139" spans="2:5" ht="15.75" customHeight="1">
      <c r="B139"/>
      <c r="C139"/>
      <c r="D139"/>
      <c r="E139"/>
    </row>
    <row r="140" spans="2:5" ht="15.75" customHeight="1">
      <c r="B140"/>
      <c r="C140"/>
      <c r="D140"/>
      <c r="E140"/>
    </row>
    <row r="141" spans="2:5" ht="15.75" customHeight="1">
      <c r="B141"/>
      <c r="C141"/>
      <c r="D141"/>
      <c r="E141"/>
    </row>
    <row r="142" spans="2:5" ht="15.75" customHeight="1">
      <c r="B142"/>
      <c r="C142"/>
      <c r="D142"/>
      <c r="E142"/>
    </row>
    <row r="143" spans="2:5" ht="15.75" customHeight="1">
      <c r="B143"/>
      <c r="C143"/>
      <c r="D143"/>
      <c r="E143"/>
    </row>
  </sheetData>
  <mergeCells count="4">
    <mergeCell ref="A1:D1"/>
    <mergeCell ref="A2:D2"/>
    <mergeCell ref="A3:D3"/>
    <mergeCell ref="A4:D4"/>
  </mergeCells>
  <phoneticPr fontId="20" type="noConversion"/>
  <printOptions horizontalCentered="1"/>
  <pageMargins left="0.67" right="0.57999999999999996" top="0.75" bottom="1.28" header="0.5" footer="0.78"/>
  <pageSetup scale="66" orientation="portrait" verticalDpi="300" r:id="rId1"/>
  <headerFooter alignWithMargins="0">
    <oddFooter>&amp;RSchedule &amp;A
Page 1 of 1</oddFooter>
  </headerFooter>
  <rowBreaks count="1" manualBreakCount="1">
    <brk id="68" min="1" max="4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  <pageSetUpPr fitToPage="1"/>
  </sheetPr>
  <dimension ref="A1:J70"/>
  <sheetViews>
    <sheetView view="pageBreakPreview" zoomScale="80" zoomScaleNormal="100" zoomScaleSheetLayoutView="80" workbookViewId="0">
      <selection sqref="A1:D1"/>
    </sheetView>
  </sheetViews>
  <sheetFormatPr defaultColWidth="7.109375" defaultRowHeight="15"/>
  <cols>
    <col min="1" max="1" width="3.77734375" style="1" customWidth="1"/>
    <col min="2" max="2" width="66.77734375" style="1" bestFit="1" customWidth="1"/>
    <col min="3" max="3" width="13.33203125" style="1" customWidth="1"/>
    <col min="4" max="4" width="12.6640625" style="1" customWidth="1"/>
    <col min="5" max="10" width="7.109375" style="1"/>
    <col min="11" max="11" width="7.88671875" style="1" customWidth="1"/>
    <col min="12" max="12" width="8.5546875" style="1" customWidth="1"/>
    <col min="13" max="16384" width="7.109375" style="1"/>
  </cols>
  <sheetData>
    <row r="1" spans="1:10">
      <c r="A1" s="1057" t="str">
        <f>'Table of Contents'!A1:C1</f>
        <v>Atmos Energy Corporation, Kentucky/Mid-States Division</v>
      </c>
      <c r="B1" s="1057"/>
      <c r="C1" s="1057"/>
      <c r="D1" s="1057"/>
    </row>
    <row r="2" spans="1:10">
      <c r="A2" s="1057" t="str">
        <f>'Table of Contents'!A2:C2</f>
        <v xml:space="preserve">Kentucky Jurisdiction Case No. 2024-00276 </v>
      </c>
      <c r="B2" s="1057"/>
      <c r="C2" s="1057"/>
      <c r="D2" s="1057"/>
    </row>
    <row r="3" spans="1:10">
      <c r="A3" s="1072" t="s">
        <v>409</v>
      </c>
      <c r="B3" s="1072"/>
      <c r="C3" s="1072"/>
      <c r="D3" s="1072"/>
    </row>
    <row r="4" spans="1:10">
      <c r="A4" s="1057" t="str">
        <f>'Table of Contents'!A4:C4</f>
        <v>Forecasted Test Period:  Twelve Months Ended March 31, 2026</v>
      </c>
      <c r="B4" s="1057"/>
      <c r="C4" s="1057"/>
      <c r="D4" s="1057"/>
    </row>
    <row r="5" spans="1:10">
      <c r="F5" s="21"/>
    </row>
    <row r="6" spans="1:10">
      <c r="B6" s="4" t="s">
        <v>653</v>
      </c>
      <c r="D6" s="84" t="s">
        <v>1349</v>
      </c>
      <c r="F6" s="21"/>
    </row>
    <row r="7" spans="1:10">
      <c r="B7" s="4" t="s">
        <v>588</v>
      </c>
      <c r="D7" s="287" t="s">
        <v>255</v>
      </c>
      <c r="F7" s="21"/>
    </row>
    <row r="8" spans="1:10">
      <c r="A8" s="28"/>
      <c r="B8" s="4" t="s">
        <v>356</v>
      </c>
      <c r="C8" s="28"/>
      <c r="D8" s="863" t="str">
        <f>D.1!P9</f>
        <v>Witness: Waller, Wiebe, Troup</v>
      </c>
    </row>
    <row r="9" spans="1:10">
      <c r="A9" s="1" t="s">
        <v>1039</v>
      </c>
      <c r="B9" s="13"/>
      <c r="D9" s="13"/>
    </row>
    <row r="10" spans="1:10">
      <c r="A10" s="28" t="s">
        <v>1040</v>
      </c>
      <c r="B10" s="73" t="s">
        <v>576</v>
      </c>
      <c r="C10" s="6"/>
      <c r="D10" s="9" t="s">
        <v>99</v>
      </c>
    </row>
    <row r="12" spans="1:10" ht="15.75">
      <c r="A12" s="38">
        <v>1</v>
      </c>
      <c r="B12" s="108" t="s">
        <v>577</v>
      </c>
    </row>
    <row r="13" spans="1:10">
      <c r="A13" s="38">
        <v>2</v>
      </c>
      <c r="B13" s="1" t="s">
        <v>1273</v>
      </c>
      <c r="C13" s="4" t="s">
        <v>41</v>
      </c>
      <c r="D13" s="858">
        <f>'C.2.2-F 09'!P14</f>
        <v>21979070.135356475</v>
      </c>
      <c r="J13" s="10"/>
    </row>
    <row r="14" spans="1:10">
      <c r="A14" s="38">
        <v>3</v>
      </c>
      <c r="B14" s="1" t="s">
        <v>1162</v>
      </c>
      <c r="C14" s="4" t="s">
        <v>42</v>
      </c>
      <c r="D14" s="702">
        <f>'C.2.2 B 09'!P14</f>
        <v>19915761.448384304</v>
      </c>
    </row>
    <row r="15" spans="1:10">
      <c r="A15" s="38">
        <v>4</v>
      </c>
      <c r="C15" s="4" t="s">
        <v>144</v>
      </c>
      <c r="D15" s="859">
        <f>D13-D14</f>
        <v>2063308.6869721711</v>
      </c>
    </row>
    <row r="16" spans="1:10">
      <c r="A16" s="38">
        <v>5</v>
      </c>
      <c r="D16" s="860">
        <f>D15/D14</f>
        <v>0.10360179761741221</v>
      </c>
    </row>
    <row r="17" spans="1:10" ht="15.75">
      <c r="A17" s="38">
        <v>6</v>
      </c>
      <c r="B17" s="108" t="s">
        <v>578</v>
      </c>
      <c r="D17" s="18"/>
    </row>
    <row r="18" spans="1:10">
      <c r="A18" s="38">
        <v>7</v>
      </c>
      <c r="B18" s="4" t="s">
        <v>1163</v>
      </c>
      <c r="C18" s="4" t="s">
        <v>41</v>
      </c>
      <c r="D18" s="858">
        <f>'C.2.2-F 09'!P16</f>
        <v>13803542.573109645</v>
      </c>
      <c r="J18" s="10"/>
    </row>
    <row r="19" spans="1:10">
      <c r="A19" s="38">
        <v>8</v>
      </c>
      <c r="B19" s="4" t="s">
        <v>1164</v>
      </c>
      <c r="C19" s="4" t="s">
        <v>42</v>
      </c>
      <c r="D19" s="702">
        <f>'C.2.2 B 09'!P16</f>
        <v>12842194.805499708</v>
      </c>
    </row>
    <row r="20" spans="1:10" ht="16.5" customHeight="1">
      <c r="A20" s="38">
        <v>9</v>
      </c>
      <c r="C20" s="4" t="s">
        <v>144</v>
      </c>
      <c r="D20" s="859">
        <f>D18-D19</f>
        <v>961347.76760993712</v>
      </c>
    </row>
    <row r="21" spans="1:10">
      <c r="A21" s="38">
        <v>10</v>
      </c>
      <c r="D21" s="860">
        <f>D20/D19</f>
        <v>7.4858525522306915E-2</v>
      </c>
    </row>
    <row r="22" spans="1:10">
      <c r="D22" s="23"/>
      <c r="J22" s="10"/>
    </row>
    <row r="23" spans="1:10">
      <c r="B23" s="4"/>
      <c r="C23" s="4"/>
      <c r="D23" s="23"/>
    </row>
    <row r="24" spans="1:10">
      <c r="B24"/>
      <c r="C24"/>
      <c r="D24"/>
      <c r="E24"/>
    </row>
    <row r="25" spans="1:10">
      <c r="B25"/>
      <c r="C25"/>
      <c r="D25"/>
      <c r="E25"/>
    </row>
    <row r="26" spans="1:10">
      <c r="B26"/>
      <c r="C26"/>
      <c r="D26"/>
      <c r="E26"/>
    </row>
    <row r="27" spans="1:10">
      <c r="B27"/>
      <c r="C27"/>
      <c r="D27"/>
      <c r="E27"/>
    </row>
    <row r="28" spans="1:10">
      <c r="B28"/>
      <c r="C28"/>
      <c r="D28"/>
      <c r="E28"/>
    </row>
    <row r="29" spans="1:10">
      <c r="B29"/>
      <c r="C29"/>
      <c r="D29"/>
      <c r="E29"/>
    </row>
    <row r="30" spans="1:10">
      <c r="B30"/>
      <c r="C30"/>
      <c r="D30"/>
      <c r="E30"/>
    </row>
    <row r="31" spans="1:10">
      <c r="B31"/>
      <c r="C31"/>
      <c r="D31"/>
      <c r="E31"/>
    </row>
    <row r="32" spans="1:10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</sheetData>
  <mergeCells count="4">
    <mergeCell ref="A1:D1"/>
    <mergeCell ref="A2:D2"/>
    <mergeCell ref="A3:D3"/>
    <mergeCell ref="A4:D4"/>
  </mergeCells>
  <phoneticPr fontId="20" type="noConversion"/>
  <pageMargins left="0.95" right="0.5" top="0.92" bottom="0.5" header="0.5" footer="0.5"/>
  <pageSetup scale="78" orientation="portrait" verticalDpi="300" r:id="rId1"/>
  <headerFooter alignWithMargins="0">
    <oddFooter>&amp;RSchedule &amp;A
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C23"/>
  <sheetViews>
    <sheetView view="pageBreakPreview" zoomScale="80" zoomScaleNormal="100" zoomScaleSheetLayoutView="80" workbookViewId="0">
      <selection activeCell="F25" sqref="F25"/>
    </sheetView>
  </sheetViews>
  <sheetFormatPr defaultRowHeight="15"/>
  <cols>
    <col min="3" max="3" width="67.6640625" customWidth="1"/>
  </cols>
  <sheetData>
    <row r="1" spans="1:3">
      <c r="A1" s="1057" t="str">
        <f>'Table of Contents'!A1:C1</f>
        <v>Atmos Energy Corporation, Kentucky/Mid-States Division</v>
      </c>
      <c r="B1" s="1057"/>
      <c r="C1" s="1057"/>
    </row>
    <row r="2" spans="1:3">
      <c r="A2" s="1057" t="str">
        <f>'Table of Contents'!A2:C2</f>
        <v xml:space="preserve">Kentucky Jurisdiction Case No. 2024-00276 </v>
      </c>
      <c r="B2" s="1057"/>
      <c r="C2" s="1057"/>
    </row>
    <row r="3" spans="1:3">
      <c r="A3" s="1057" t="str">
        <f>'Table of Contents'!A3:C3</f>
        <v>Base Period: Twelve Months Ended December 31, 2024</v>
      </c>
      <c r="B3" s="1057"/>
      <c r="C3" s="1057"/>
    </row>
    <row r="4" spans="1:3">
      <c r="A4" s="1057" t="str">
        <f>'Table of Contents'!A4:C4</f>
        <v>Forecasted Test Period:  Twelve Months Ended March 31, 2026</v>
      </c>
      <c r="B4" s="1057"/>
      <c r="C4" s="1057"/>
    </row>
    <row r="13" spans="1:3">
      <c r="A13" s="1053" t="s">
        <v>1350</v>
      </c>
      <c r="B13" s="1053"/>
      <c r="C13" s="1053"/>
    </row>
    <row r="15" spans="1:3" ht="15.75">
      <c r="A15" s="1058" t="s">
        <v>441</v>
      </c>
      <c r="B15" s="1058"/>
      <c r="C15" s="1058"/>
    </row>
    <row r="18" spans="1:3">
      <c r="A18" s="41" t="s">
        <v>56</v>
      </c>
      <c r="B18" s="41" t="s">
        <v>587</v>
      </c>
      <c r="C18" s="41" t="s">
        <v>949</v>
      </c>
    </row>
    <row r="20" spans="1:3">
      <c r="A20" s="37" t="s">
        <v>797</v>
      </c>
      <c r="B20" s="37">
        <v>1</v>
      </c>
      <c r="C20" t="s">
        <v>441</v>
      </c>
    </row>
    <row r="21" spans="1:3">
      <c r="B21" s="37"/>
    </row>
    <row r="22" spans="1:3">
      <c r="B22" s="37"/>
    </row>
    <row r="23" spans="1:3">
      <c r="B23" s="37"/>
    </row>
  </sheetData>
  <mergeCells count="6">
    <mergeCell ref="A4:C4"/>
    <mergeCell ref="A13:C13"/>
    <mergeCell ref="A15:C15"/>
    <mergeCell ref="A1:C1"/>
    <mergeCell ref="A2:C2"/>
    <mergeCell ref="A3:C3"/>
  </mergeCells>
  <phoneticPr fontId="20" type="noConversion"/>
  <pageMargins left="0.75" right="0.75" top="1" bottom="1" header="0.5" footer="0.5"/>
  <pageSetup scale="87" orientation="portrait" r:id="rId1"/>
  <headerFooter alignWithMargins="0"/>
  <colBreaks count="1" manualBreakCount="1">
    <brk id="3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tabColor rgb="FF92D050"/>
  </sheetPr>
  <dimension ref="A1:P43"/>
  <sheetViews>
    <sheetView view="pageBreakPreview" zoomScale="80" zoomScaleNormal="100" zoomScaleSheetLayoutView="80" workbookViewId="0">
      <selection sqref="A1:H1"/>
    </sheetView>
  </sheetViews>
  <sheetFormatPr defaultColWidth="13.88671875" defaultRowHeight="15"/>
  <cols>
    <col min="1" max="1" width="3.6640625" style="1" customWidth="1"/>
    <col min="2" max="2" width="16.21875" style="1" customWidth="1"/>
    <col min="3" max="3" width="11" style="1" customWidth="1"/>
    <col min="4" max="4" width="12.33203125" style="1" customWidth="1"/>
    <col min="5" max="5" width="13.109375" style="1" customWidth="1"/>
    <col min="6" max="6" width="12.5546875" style="1" customWidth="1"/>
    <col min="7" max="7" width="13.109375" style="1" customWidth="1"/>
    <col min="8" max="8" width="8.6640625" style="1" customWidth="1"/>
    <col min="9" max="9" width="13.88671875" style="1" customWidth="1"/>
    <col min="10" max="10" width="15.109375" style="1" customWidth="1"/>
    <col min="11" max="16384" width="13.88671875" style="1"/>
  </cols>
  <sheetData>
    <row r="1" spans="1:16">
      <c r="A1" s="1070" t="str">
        <f>'Table of Contents'!A1:C1</f>
        <v>Atmos Energy Corporation, Kentucky/Mid-States Division</v>
      </c>
      <c r="B1" s="1070"/>
      <c r="C1" s="1070"/>
      <c r="D1" s="1070"/>
      <c r="E1" s="1070"/>
      <c r="F1" s="1070"/>
      <c r="G1" s="1070"/>
      <c r="H1" s="1070"/>
      <c r="I1" s="25"/>
      <c r="M1" s="10"/>
      <c r="O1" s="10"/>
      <c r="P1" s="10"/>
    </row>
    <row r="2" spans="1:16">
      <c r="A2" s="1070" t="str">
        <f>'Table of Contents'!A2:C2</f>
        <v xml:space="preserve">Kentucky Jurisdiction Case No. 2024-00276 </v>
      </c>
      <c r="B2" s="1070"/>
      <c r="C2" s="1070"/>
      <c r="D2" s="1070"/>
      <c r="E2" s="1070"/>
      <c r="F2" s="1070"/>
      <c r="G2" s="1070"/>
      <c r="H2" s="1070"/>
      <c r="I2" s="25"/>
      <c r="P2" s="10"/>
    </row>
    <row r="3" spans="1:16">
      <c r="A3" s="1071" t="s">
        <v>145</v>
      </c>
      <c r="B3" s="1071"/>
      <c r="C3" s="1071"/>
      <c r="D3" s="1071"/>
      <c r="E3" s="1071"/>
      <c r="F3" s="1071"/>
      <c r="G3" s="1071"/>
      <c r="H3" s="1071"/>
      <c r="I3" s="25"/>
    </row>
    <row r="4" spans="1:16">
      <c r="A4" s="1070" t="str">
        <f>'Table of Contents'!A3:C3</f>
        <v>Base Period: Twelve Months Ended December 31, 2024</v>
      </c>
      <c r="B4" s="1070"/>
      <c r="C4" s="1070"/>
      <c r="D4" s="1070"/>
      <c r="E4" s="1070"/>
      <c r="F4" s="1070"/>
      <c r="G4" s="1070"/>
      <c r="H4" s="1070"/>
      <c r="I4" s="25"/>
      <c r="M4" s="10"/>
      <c r="O4" s="10"/>
      <c r="P4" s="10"/>
    </row>
    <row r="5" spans="1:16">
      <c r="A5" s="1070" t="str">
        <f>'Table of Contents'!A4:C4</f>
        <v>Forecasted Test Period:  Twelve Months Ended March 31, 2026</v>
      </c>
      <c r="B5" s="1070"/>
      <c r="C5" s="1070"/>
      <c r="D5" s="1070"/>
      <c r="E5" s="1070"/>
      <c r="F5" s="1070"/>
      <c r="G5" s="1070"/>
      <c r="H5" s="1070"/>
      <c r="I5" s="25"/>
      <c r="M5" s="10"/>
      <c r="O5" s="10"/>
      <c r="P5" s="10"/>
    </row>
    <row r="6" spans="1:16">
      <c r="A6" s="4"/>
      <c r="B6" s="10"/>
      <c r="C6" s="10"/>
      <c r="P6" s="10"/>
    </row>
    <row r="7" spans="1:16">
      <c r="A7" s="4" t="s">
        <v>653</v>
      </c>
      <c r="H7" s="84" t="s">
        <v>1322</v>
      </c>
      <c r="I7" s="4"/>
    </row>
    <row r="8" spans="1:16">
      <c r="A8" s="4" t="s">
        <v>588</v>
      </c>
      <c r="H8" s="17" t="s">
        <v>798</v>
      </c>
      <c r="I8" s="4"/>
      <c r="M8" s="10"/>
      <c r="O8" s="10"/>
      <c r="P8" s="10"/>
    </row>
    <row r="9" spans="1:16">
      <c r="A9" s="35" t="s">
        <v>356</v>
      </c>
      <c r="B9" s="6"/>
      <c r="C9" s="6"/>
      <c r="D9" s="6"/>
      <c r="E9" s="28"/>
      <c r="F9" s="28"/>
      <c r="G9" s="28"/>
      <c r="H9" s="635" t="s">
        <v>1647</v>
      </c>
      <c r="M9" s="10"/>
      <c r="P9" s="10"/>
    </row>
    <row r="10" spans="1:16">
      <c r="F10" s="10"/>
      <c r="H10" s="10"/>
    </row>
    <row r="11" spans="1:16">
      <c r="A11" s="10" t="s">
        <v>88</v>
      </c>
      <c r="E11" s="2" t="s">
        <v>315</v>
      </c>
      <c r="F11" s="2"/>
      <c r="G11" s="38" t="s">
        <v>307</v>
      </c>
      <c r="H11" s="38" t="s">
        <v>133</v>
      </c>
      <c r="I11" s="38"/>
    </row>
    <row r="12" spans="1:16">
      <c r="A12" s="29" t="s">
        <v>94</v>
      </c>
      <c r="B12" s="29" t="s">
        <v>949</v>
      </c>
      <c r="C12" s="6"/>
      <c r="D12" s="6"/>
      <c r="E12" s="9" t="s">
        <v>950</v>
      </c>
      <c r="F12" s="9" t="s">
        <v>951</v>
      </c>
      <c r="G12" s="9" t="s">
        <v>799</v>
      </c>
      <c r="H12" s="9" t="s">
        <v>427</v>
      </c>
      <c r="I12" s="2"/>
    </row>
    <row r="13" spans="1:16">
      <c r="E13" s="2" t="s">
        <v>1053</v>
      </c>
      <c r="F13" s="2" t="s">
        <v>1054</v>
      </c>
      <c r="G13" s="2" t="s">
        <v>1055</v>
      </c>
      <c r="H13" s="2"/>
      <c r="I13" s="2"/>
    </row>
    <row r="14" spans="1:16">
      <c r="E14" s="2"/>
      <c r="F14" s="2"/>
      <c r="G14" s="2"/>
      <c r="H14" s="2"/>
      <c r="I14" s="2"/>
    </row>
    <row r="15" spans="1:16">
      <c r="A15" s="38">
        <v>1</v>
      </c>
      <c r="B15" s="1" t="s">
        <v>800</v>
      </c>
      <c r="E15" s="864">
        <f>+C.2!D14-SUM(C.2!D17:D27)</f>
        <v>35523772.119857937</v>
      </c>
      <c r="F15" s="865">
        <f>+G15-E15</f>
        <v>-3895683.5253969729</v>
      </c>
      <c r="G15" s="864">
        <f>C.2!O14-SUM(C.2!O17:O27)</f>
        <v>31628088.594460964</v>
      </c>
      <c r="H15" s="2" t="s">
        <v>134</v>
      </c>
      <c r="I15" s="2"/>
    </row>
    <row r="16" spans="1:16">
      <c r="A16" s="38">
        <f>+A15+1</f>
        <v>2</v>
      </c>
      <c r="E16" s="17"/>
      <c r="F16" s="17"/>
      <c r="G16" s="17"/>
      <c r="H16" s="2"/>
      <c r="I16" s="2"/>
    </row>
    <row r="17" spans="1:9">
      <c r="A17" s="38">
        <f t="shared" ref="A17:A37" si="0">+A16+1</f>
        <v>3</v>
      </c>
      <c r="B17" s="1" t="s">
        <v>203</v>
      </c>
      <c r="E17" s="866">
        <f>+E32</f>
        <v>9867210.9894745797</v>
      </c>
      <c r="F17" s="866">
        <f>+G17-E17</f>
        <v>373999.8091759868</v>
      </c>
      <c r="G17" s="866">
        <f>+G32</f>
        <v>10241210.798650566</v>
      </c>
      <c r="H17" s="2" t="s">
        <v>746</v>
      </c>
      <c r="I17" s="2"/>
    </row>
    <row r="18" spans="1:9">
      <c r="A18" s="38">
        <f t="shared" si="0"/>
        <v>4</v>
      </c>
      <c r="E18" s="17"/>
      <c r="F18" s="17"/>
      <c r="G18" s="17"/>
      <c r="H18" s="2"/>
      <c r="I18" s="2"/>
    </row>
    <row r="19" spans="1:9">
      <c r="A19" s="38">
        <f t="shared" si="0"/>
        <v>5</v>
      </c>
      <c r="B19" s="1" t="s">
        <v>781</v>
      </c>
      <c r="E19" s="865">
        <f>+E15-E17</f>
        <v>25656561.130383357</v>
      </c>
      <c r="F19" s="865">
        <f>+F15-F17</f>
        <v>-4269683.3345729597</v>
      </c>
      <c r="G19" s="865">
        <f>+G15-G17</f>
        <v>21386877.795810398</v>
      </c>
      <c r="H19" s="2"/>
      <c r="I19" s="2"/>
    </row>
    <row r="20" spans="1:9">
      <c r="A20" s="38">
        <f t="shared" si="0"/>
        <v>6</v>
      </c>
      <c r="E20" s="17"/>
      <c r="F20" s="17"/>
      <c r="G20" s="17"/>
      <c r="H20" s="2"/>
      <c r="I20" s="2"/>
    </row>
    <row r="21" spans="1:9">
      <c r="A21" s="38">
        <f t="shared" si="0"/>
        <v>7</v>
      </c>
      <c r="B21" s="1" t="s">
        <v>146</v>
      </c>
      <c r="E21" s="867">
        <f>0.05+0.21*(1-0.05)</f>
        <v>0.2495</v>
      </c>
      <c r="F21" s="87"/>
      <c r="G21" s="868">
        <f>Allocation!E25</f>
        <v>0.2495</v>
      </c>
      <c r="H21" s="2" t="s">
        <v>474</v>
      </c>
      <c r="I21" s="2"/>
    </row>
    <row r="22" spans="1:9">
      <c r="A22" s="38">
        <f t="shared" si="0"/>
        <v>8</v>
      </c>
      <c r="E22" s="17"/>
      <c r="F22" s="17"/>
      <c r="G22" s="17"/>
      <c r="H22" s="2"/>
      <c r="I22" s="2"/>
    </row>
    <row r="23" spans="1:9" ht="16.5" thickBot="1">
      <c r="A23" s="38">
        <f t="shared" si="0"/>
        <v>9</v>
      </c>
      <c r="B23" s="88" t="s">
        <v>1106</v>
      </c>
      <c r="E23" s="869">
        <f>+E19*E21</f>
        <v>6401312.0020306474</v>
      </c>
      <c r="F23" s="869">
        <f>+G23-E23</f>
        <v>-1065285.9919759529</v>
      </c>
      <c r="G23" s="870">
        <f>+G19*G21</f>
        <v>5336026.0100546945</v>
      </c>
      <c r="H23" s="2"/>
      <c r="I23" s="2"/>
    </row>
    <row r="24" spans="1:9" ht="16.5" thickTop="1">
      <c r="A24" s="38">
        <f t="shared" si="0"/>
        <v>10</v>
      </c>
      <c r="B24" s="88"/>
      <c r="E24" s="17"/>
      <c r="F24" s="17"/>
      <c r="G24" s="89"/>
      <c r="H24" s="2"/>
      <c r="I24" s="2"/>
    </row>
    <row r="25" spans="1:9" ht="15.75">
      <c r="A25" s="38">
        <f t="shared" si="0"/>
        <v>11</v>
      </c>
      <c r="B25" s="88"/>
      <c r="E25" s="17"/>
      <c r="F25" s="17"/>
      <c r="G25" s="89"/>
      <c r="H25" s="2"/>
      <c r="I25" s="2"/>
    </row>
    <row r="26" spans="1:9">
      <c r="A26" s="38">
        <f t="shared" si="0"/>
        <v>12</v>
      </c>
      <c r="E26" s="17"/>
      <c r="F26" s="17"/>
      <c r="G26" s="17"/>
      <c r="H26" s="2"/>
      <c r="I26" s="2"/>
    </row>
    <row r="27" spans="1:9">
      <c r="A27" s="38">
        <f t="shared" si="0"/>
        <v>13</v>
      </c>
      <c r="B27" s="90" t="s">
        <v>1107</v>
      </c>
      <c r="E27" s="17"/>
      <c r="F27" s="17"/>
      <c r="G27" s="17"/>
      <c r="H27" s="2"/>
      <c r="I27" s="2"/>
    </row>
    <row r="28" spans="1:9">
      <c r="A28" s="38">
        <f t="shared" si="0"/>
        <v>14</v>
      </c>
      <c r="B28" s="85" t="s">
        <v>21</v>
      </c>
      <c r="E28" s="871">
        <f>+'B.1 B'!F27</f>
        <v>625170076.1927433</v>
      </c>
      <c r="F28" s="84"/>
      <c r="G28" s="872">
        <f>+'B.1 F '!F27</f>
        <v>628286275.63234186</v>
      </c>
      <c r="H28" s="38" t="s">
        <v>358</v>
      </c>
    </row>
    <row r="29" spans="1:9">
      <c r="A29" s="38">
        <f t="shared" si="0"/>
        <v>15</v>
      </c>
    </row>
    <row r="30" spans="1:9">
      <c r="A30" s="38">
        <f t="shared" si="0"/>
        <v>16</v>
      </c>
      <c r="B30" s="85" t="s">
        <v>135</v>
      </c>
      <c r="E30" s="873">
        <f>J.1!N21</f>
        <v>1.5783242617057804E-2</v>
      </c>
      <c r="G30" s="873">
        <f>J.1!V21</f>
        <v>1.6300229999999999E-2</v>
      </c>
      <c r="H30" s="38" t="s">
        <v>1092</v>
      </c>
      <c r="I30" s="329"/>
    </row>
    <row r="31" spans="1:9">
      <c r="A31" s="38">
        <f t="shared" si="0"/>
        <v>17</v>
      </c>
      <c r="I31" s="329"/>
    </row>
    <row r="32" spans="1:9" ht="15.75" thickBot="1">
      <c r="A32" s="38">
        <f t="shared" si="0"/>
        <v>18</v>
      </c>
      <c r="B32" s="86" t="s">
        <v>1015</v>
      </c>
      <c r="E32" s="754">
        <f>+E28*E30</f>
        <v>9867210.9894745797</v>
      </c>
      <c r="G32" s="754">
        <f>+G28*G30</f>
        <v>10241210.798650566</v>
      </c>
    </row>
    <row r="33" spans="1:10" ht="15.75" thickTop="1">
      <c r="A33" s="38">
        <f t="shared" si="0"/>
        <v>19</v>
      </c>
    </row>
    <row r="34" spans="1:10">
      <c r="A34" s="38">
        <f t="shared" si="0"/>
        <v>20</v>
      </c>
    </row>
    <row r="35" spans="1:10">
      <c r="A35" s="38">
        <f t="shared" si="0"/>
        <v>21</v>
      </c>
      <c r="B35" s="90" t="s">
        <v>1550</v>
      </c>
      <c r="I35" s="376"/>
      <c r="J35" s="329"/>
    </row>
    <row r="36" spans="1:10">
      <c r="A36" s="38">
        <f t="shared" si="0"/>
        <v>22</v>
      </c>
      <c r="B36" s="85" t="s">
        <v>1108</v>
      </c>
      <c r="E36" s="358">
        <v>0.05</v>
      </c>
      <c r="I36" s="376"/>
      <c r="J36" s="329"/>
    </row>
    <row r="37" spans="1:10">
      <c r="A37" s="38">
        <f t="shared" si="0"/>
        <v>23</v>
      </c>
      <c r="B37" s="85" t="s">
        <v>1109</v>
      </c>
      <c r="E37" s="358">
        <v>0.21</v>
      </c>
      <c r="I37" s="376"/>
      <c r="J37" s="329"/>
    </row>
    <row r="38" spans="1:10">
      <c r="E38" s="358"/>
      <c r="I38" s="329"/>
      <c r="J38" s="329"/>
    </row>
    <row r="39" spans="1:10">
      <c r="E39" s="91"/>
    </row>
    <row r="40" spans="1:10">
      <c r="E40" s="91"/>
    </row>
    <row r="41" spans="1:10">
      <c r="G41" s="377"/>
    </row>
    <row r="43" spans="1:10">
      <c r="E43" s="91"/>
    </row>
  </sheetData>
  <mergeCells count="5">
    <mergeCell ref="A2:H2"/>
    <mergeCell ref="A3:H3"/>
    <mergeCell ref="A4:H4"/>
    <mergeCell ref="A5:H5"/>
    <mergeCell ref="A1:H1"/>
  </mergeCells>
  <phoneticPr fontId="20" type="noConversion"/>
  <pageMargins left="1.05" right="0.5" top="0.95" bottom="0.5" header="0.5" footer="0.5"/>
  <pageSetup scale="80" orientation="portrait" verticalDpi="300" r:id="rId1"/>
  <headerFooter alignWithMargins="0">
    <oddFooter>&amp;RSchedule &amp;A
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C31"/>
  <sheetViews>
    <sheetView view="pageBreakPreview" zoomScale="80" zoomScaleNormal="100" zoomScaleSheetLayoutView="80" workbookViewId="0">
      <selection activeCell="E31" sqref="E31"/>
    </sheetView>
  </sheetViews>
  <sheetFormatPr defaultRowHeight="15"/>
  <cols>
    <col min="3" max="3" width="45.44140625" customWidth="1"/>
  </cols>
  <sheetData>
    <row r="1" spans="1:3">
      <c r="A1" s="1057" t="str">
        <f>'Table of Contents'!A1:C1</f>
        <v>Atmos Energy Corporation, Kentucky/Mid-States Division</v>
      </c>
      <c r="B1" s="1057"/>
      <c r="C1" s="1057"/>
    </row>
    <row r="2" spans="1:3">
      <c r="A2" s="1057" t="str">
        <f>'Table of Contents'!A2:C2</f>
        <v xml:space="preserve">Kentucky Jurisdiction Case No. 2024-00276 </v>
      </c>
      <c r="B2" s="1057"/>
      <c r="C2" s="1057"/>
    </row>
    <row r="3" spans="1:3">
      <c r="A3" s="1057" t="str">
        <f>'Table of Contents'!A3:C3</f>
        <v>Base Period: Twelve Months Ended December 31, 2024</v>
      </c>
      <c r="B3" s="1057"/>
      <c r="C3" s="1057"/>
    </row>
    <row r="4" spans="1:3">
      <c r="A4" s="1057" t="str">
        <f>'Table of Contents'!A4:C4</f>
        <v>Forecasted Test Period:  Twelve Months Ended March 31, 2026</v>
      </c>
      <c r="B4" s="1057"/>
      <c r="C4" s="1057"/>
    </row>
    <row r="11" spans="1:3">
      <c r="A11" s="1053" t="s">
        <v>1351</v>
      </c>
      <c r="B11" s="1053"/>
      <c r="C11" s="1053"/>
    </row>
    <row r="13" spans="1:3">
      <c r="A13" s="1053"/>
      <c r="B13" s="1053"/>
      <c r="C13" s="1053"/>
    </row>
    <row r="16" spans="1:3">
      <c r="A16" s="41" t="s">
        <v>56</v>
      </c>
      <c r="B16" s="41" t="s">
        <v>587</v>
      </c>
      <c r="C16" s="41" t="s">
        <v>949</v>
      </c>
    </row>
    <row r="18" spans="1:3">
      <c r="A18" t="s">
        <v>518</v>
      </c>
      <c r="B18" s="37">
        <v>2</v>
      </c>
      <c r="C18" t="s">
        <v>519</v>
      </c>
    </row>
    <row r="19" spans="1:3">
      <c r="A19" t="s">
        <v>520</v>
      </c>
      <c r="B19" s="37">
        <v>1</v>
      </c>
      <c r="C19" t="s">
        <v>521</v>
      </c>
    </row>
    <row r="20" spans="1:3">
      <c r="A20" t="s">
        <v>475</v>
      </c>
      <c r="B20" s="37">
        <v>1</v>
      </c>
      <c r="C20" t="s">
        <v>522</v>
      </c>
    </row>
    <row r="21" spans="1:3">
      <c r="A21" t="s">
        <v>523</v>
      </c>
      <c r="B21" s="37">
        <v>1</v>
      </c>
      <c r="C21" t="s">
        <v>524</v>
      </c>
    </row>
    <row r="22" spans="1:3">
      <c r="A22" t="s">
        <v>476</v>
      </c>
      <c r="B22" s="37">
        <v>1</v>
      </c>
      <c r="C22" t="s">
        <v>525</v>
      </c>
    </row>
    <row r="23" spans="1:3">
      <c r="A23" t="s">
        <v>526</v>
      </c>
      <c r="B23" s="37">
        <v>1</v>
      </c>
      <c r="C23" t="s">
        <v>920</v>
      </c>
    </row>
    <row r="24" spans="1:3">
      <c r="A24" t="s">
        <v>527</v>
      </c>
      <c r="B24" s="37">
        <v>1</v>
      </c>
      <c r="C24" t="s">
        <v>528</v>
      </c>
    </row>
    <row r="25" spans="1:3">
      <c r="A25" t="s">
        <v>529</v>
      </c>
      <c r="B25" s="37">
        <v>4</v>
      </c>
      <c r="C25" t="s">
        <v>212</v>
      </c>
    </row>
    <row r="26" spans="1:3">
      <c r="A26" t="s">
        <v>530</v>
      </c>
      <c r="B26" s="37">
        <v>1</v>
      </c>
      <c r="C26" t="s">
        <v>531</v>
      </c>
    </row>
    <row r="27" spans="1:3">
      <c r="A27" t="s">
        <v>936</v>
      </c>
      <c r="B27" s="37">
        <v>1</v>
      </c>
      <c r="C27" t="s">
        <v>532</v>
      </c>
    </row>
    <row r="28" spans="1:3">
      <c r="A28" t="s">
        <v>1229</v>
      </c>
      <c r="B28" s="37">
        <v>1</v>
      </c>
      <c r="C28" t="s">
        <v>1565</v>
      </c>
    </row>
    <row r="29" spans="1:3">
      <c r="A29" t="s">
        <v>1294</v>
      </c>
      <c r="B29" s="37">
        <v>1</v>
      </c>
      <c r="C29" t="s">
        <v>1395</v>
      </c>
    </row>
    <row r="30" spans="1:3">
      <c r="A30" t="s">
        <v>1543</v>
      </c>
      <c r="B30" s="37">
        <v>1</v>
      </c>
      <c r="C30" t="s">
        <v>1505</v>
      </c>
    </row>
    <row r="31" spans="1:3">
      <c r="A31" t="s">
        <v>1544</v>
      </c>
      <c r="B31" s="37">
        <v>1</v>
      </c>
      <c r="C31" t="s">
        <v>1546</v>
      </c>
    </row>
  </sheetData>
  <mergeCells count="6">
    <mergeCell ref="A4:C4"/>
    <mergeCell ref="A11:C11"/>
    <mergeCell ref="A13:C13"/>
    <mergeCell ref="A1:C1"/>
    <mergeCell ref="A2:C2"/>
    <mergeCell ref="A3:C3"/>
  </mergeCells>
  <phoneticPr fontId="20" type="noConversion"/>
  <printOptions horizontalCentered="1"/>
  <pageMargins left="0.75" right="0.75" top="1" bottom="1" header="0.5" footer="0.5"/>
  <pageSetup orientation="portrait" r:id="rId1"/>
  <headerFooter alignWithMargins="0"/>
  <colBreaks count="1" manualBreakCount="1">
    <brk id="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92D050"/>
  </sheetPr>
  <dimension ref="A1:J118"/>
  <sheetViews>
    <sheetView view="pageBreakPreview" topLeftCell="C1" zoomScale="80" zoomScaleNormal="100" zoomScaleSheetLayoutView="80" workbookViewId="0">
      <selection activeCell="C15" sqref="C15"/>
    </sheetView>
  </sheetViews>
  <sheetFormatPr defaultColWidth="11.21875" defaultRowHeight="15"/>
  <cols>
    <col min="1" max="1" width="4.6640625" style="250" customWidth="1"/>
    <col min="2" max="2" width="9.5546875" style="250" customWidth="1"/>
    <col min="3" max="3" width="56.5546875" style="250" customWidth="1"/>
    <col min="4" max="4" width="10.6640625" style="250" customWidth="1"/>
    <col min="5" max="8" width="13.5546875" style="250" customWidth="1"/>
    <col min="9" max="9" width="16.44140625" style="250" bestFit="1" customWidth="1"/>
    <col min="10" max="10" width="7.6640625" style="250" customWidth="1"/>
    <col min="11" max="11" width="4.6640625" style="250" customWidth="1"/>
    <col min="12" max="12" width="23.6640625" style="250" customWidth="1"/>
    <col min="13" max="14" width="10.6640625" style="250" customWidth="1"/>
    <col min="15" max="15" width="11.6640625" style="250" customWidth="1"/>
    <col min="16" max="16" width="10.6640625" style="250" customWidth="1"/>
    <col min="17" max="17" width="9.6640625" style="250" customWidth="1"/>
    <col min="18" max="18" width="14.6640625" style="250" customWidth="1"/>
    <col min="19" max="19" width="5.6640625" style="250" customWidth="1"/>
    <col min="20" max="20" width="4.6640625" style="250" customWidth="1"/>
    <col min="21" max="21" width="9.6640625" style="250" customWidth="1"/>
    <col min="22" max="22" width="20.6640625" style="250" customWidth="1"/>
    <col min="23" max="23" width="9.6640625" style="250" customWidth="1"/>
    <col min="24" max="24" width="15.6640625" style="250" customWidth="1"/>
    <col min="25" max="25" width="9.6640625" style="250" customWidth="1"/>
    <col min="26" max="26" width="6.6640625" style="250" customWidth="1"/>
    <col min="27" max="27" width="9.6640625" style="250" customWidth="1"/>
    <col min="28" max="28" width="16.6640625" style="250" customWidth="1"/>
    <col min="29" max="29" width="9.6640625" style="250" customWidth="1"/>
    <col min="30" max="30" width="5.6640625" style="250" customWidth="1"/>
    <col min="31" max="31" width="10.6640625" style="250" customWidth="1"/>
    <col min="32" max="32" width="19.6640625" style="250" customWidth="1"/>
    <col min="33" max="33" width="9.6640625" style="250" customWidth="1"/>
    <col min="34" max="34" width="16.6640625" style="250" customWidth="1"/>
    <col min="35" max="35" width="11.21875" style="250"/>
    <col min="36" max="36" width="5.6640625" style="250" customWidth="1"/>
    <col min="37" max="37" width="10.6640625" style="250" customWidth="1"/>
    <col min="38" max="38" width="17.6640625" style="250" customWidth="1"/>
    <col min="39" max="39" width="10.6640625" style="250" customWidth="1"/>
    <col min="40" max="40" width="24.6640625" style="250" customWidth="1"/>
    <col min="41" max="42" width="9.6640625" style="250" customWidth="1"/>
    <col min="43" max="43" width="11.6640625" style="250" customWidth="1"/>
    <col min="44" max="45" width="9.6640625" style="250" customWidth="1"/>
    <col min="46" max="46" width="13.6640625" style="250" customWidth="1"/>
    <col min="47" max="47" width="19.6640625" style="250" customWidth="1"/>
    <col min="48" max="48" width="14.6640625" style="250" customWidth="1"/>
    <col min="49" max="52" width="11.21875" style="250"/>
    <col min="53" max="53" width="9.6640625" style="250" customWidth="1"/>
    <col min="54" max="54" width="14.6640625" style="250" customWidth="1"/>
    <col min="55" max="56" width="11.21875" style="250"/>
    <col min="57" max="57" width="12.6640625" style="250" customWidth="1"/>
    <col min="58" max="58" width="10.6640625" style="250" customWidth="1"/>
    <col min="59" max="16384" width="11.21875" style="250"/>
  </cols>
  <sheetData>
    <row r="1" spans="1:9" ht="15.75" customHeight="1">
      <c r="A1" s="1086" t="str">
        <f>'Table of Contents'!A1:C1</f>
        <v>Atmos Energy Corporation, Kentucky/Mid-States Division</v>
      </c>
      <c r="B1" s="1086"/>
      <c r="C1" s="1086"/>
      <c r="D1" s="1086"/>
      <c r="E1" s="1086"/>
      <c r="F1" s="1086"/>
      <c r="G1" s="1086"/>
      <c r="H1" s="1086"/>
      <c r="I1" s="1086"/>
    </row>
    <row r="2" spans="1:9" ht="15.75">
      <c r="A2" s="1086" t="str">
        <f>'Table of Contents'!A2:C2</f>
        <v xml:space="preserve">Kentucky Jurisdiction Case No. 2024-00276 </v>
      </c>
      <c r="B2" s="1086"/>
      <c r="C2" s="1086"/>
      <c r="D2" s="1086"/>
      <c r="E2" s="1086"/>
      <c r="F2" s="1086"/>
      <c r="G2" s="1086"/>
      <c r="H2" s="1086"/>
      <c r="I2" s="1086"/>
    </row>
    <row r="3" spans="1:9" ht="15.75">
      <c r="A3" s="1087" t="s">
        <v>403</v>
      </c>
      <c r="B3" s="1087"/>
      <c r="C3" s="1087"/>
      <c r="D3" s="1087"/>
      <c r="E3" s="1087"/>
      <c r="F3" s="1087"/>
      <c r="G3" s="1087"/>
      <c r="H3" s="1087"/>
      <c r="I3" s="1087"/>
    </row>
    <row r="4" spans="1:9" ht="15.75">
      <c r="A4" s="1086" t="str">
        <f>'Table of Contents'!A3:C3</f>
        <v>Base Period: Twelve Months Ended December 31, 2024</v>
      </c>
      <c r="B4" s="1086"/>
      <c r="C4" s="1086"/>
      <c r="D4" s="1086"/>
      <c r="E4" s="1086"/>
      <c r="F4" s="1086"/>
      <c r="G4" s="1086"/>
      <c r="H4" s="1086"/>
      <c r="I4" s="1086"/>
    </row>
    <row r="5" spans="1:9" ht="15.75">
      <c r="A5" s="1086" t="str">
        <f>'Table of Contents'!A4:C4</f>
        <v>Forecasted Test Period:  Twelve Months Ended March 31, 2026</v>
      </c>
      <c r="B5" s="1086"/>
      <c r="C5" s="1086"/>
      <c r="D5" s="1086"/>
      <c r="E5" s="1086"/>
      <c r="F5" s="1086"/>
      <c r="G5" s="1086"/>
      <c r="H5" s="1086"/>
      <c r="I5" s="1086"/>
    </row>
    <row r="7" spans="1:9" ht="15.75">
      <c r="A7" s="311" t="s">
        <v>773</v>
      </c>
      <c r="B7" s="251"/>
      <c r="I7" s="312" t="s">
        <v>1323</v>
      </c>
    </row>
    <row r="8" spans="1:9" ht="15.75">
      <c r="A8" s="311" t="s">
        <v>1081</v>
      </c>
      <c r="B8" s="251"/>
      <c r="I8" s="313" t="s">
        <v>168</v>
      </c>
    </row>
    <row r="9" spans="1:9" ht="15.75">
      <c r="A9" s="311" t="s">
        <v>405</v>
      </c>
      <c r="B9" s="251"/>
      <c r="I9" s="313" t="s">
        <v>1646</v>
      </c>
    </row>
    <row r="10" spans="1:9">
      <c r="A10" s="253" t="s">
        <v>88</v>
      </c>
      <c r="B10" s="254"/>
      <c r="C10" s="254"/>
      <c r="D10" s="253" t="s">
        <v>91</v>
      </c>
      <c r="E10" s="254"/>
      <c r="F10" s="254"/>
      <c r="G10" s="254"/>
      <c r="H10" s="254"/>
      <c r="I10" s="254"/>
    </row>
    <row r="11" spans="1:9">
      <c r="A11" s="255" t="s">
        <v>94</v>
      </c>
      <c r="B11" s="255" t="s">
        <v>169</v>
      </c>
      <c r="C11" s="255" t="s">
        <v>170</v>
      </c>
      <c r="D11" s="255" t="s">
        <v>566</v>
      </c>
      <c r="E11" s="255" t="s">
        <v>171</v>
      </c>
      <c r="F11" s="255"/>
      <c r="G11" s="255"/>
      <c r="H11" s="255"/>
      <c r="I11" s="255" t="s">
        <v>567</v>
      </c>
    </row>
    <row r="12" spans="1:9">
      <c r="A12" s="257"/>
      <c r="B12" s="257"/>
      <c r="C12" s="257"/>
      <c r="D12" s="257"/>
      <c r="E12" s="257"/>
      <c r="F12" s="257"/>
      <c r="G12" s="257"/>
      <c r="H12" s="257"/>
      <c r="I12" s="257"/>
    </row>
    <row r="13" spans="1:9" ht="15.75">
      <c r="A13" s="257"/>
      <c r="C13" s="261" t="s">
        <v>775</v>
      </c>
      <c r="D13" s="645"/>
      <c r="E13" s="645"/>
      <c r="F13" s="645"/>
      <c r="G13" s="645"/>
      <c r="H13" s="645"/>
      <c r="I13" s="645"/>
    </row>
    <row r="15" spans="1:9">
      <c r="A15" s="256">
        <v>1</v>
      </c>
      <c r="B15" s="257" t="s">
        <v>597</v>
      </c>
      <c r="C15" s="874" t="s">
        <v>1690</v>
      </c>
      <c r="D15" s="874">
        <v>34037.939999999988</v>
      </c>
      <c r="E15" s="258" t="s">
        <v>1020</v>
      </c>
      <c r="F15" s="611">
        <f t="shared" ref="F15:F60" si="0">D15</f>
        <v>34037.939999999988</v>
      </c>
      <c r="G15" s="258"/>
      <c r="H15" s="258"/>
    </row>
    <row r="16" spans="1:9">
      <c r="A16" s="611">
        <f>A15+1</f>
        <v>2</v>
      </c>
      <c r="B16" s="257" t="s">
        <v>597</v>
      </c>
      <c r="C16" s="874" t="s">
        <v>1691</v>
      </c>
      <c r="D16" s="874">
        <v>158</v>
      </c>
      <c r="E16" s="258"/>
      <c r="F16" s="611">
        <f t="shared" si="0"/>
        <v>158</v>
      </c>
      <c r="G16" s="258"/>
      <c r="H16" s="258"/>
    </row>
    <row r="17" spans="1:8">
      <c r="A17" s="611">
        <f t="shared" ref="A17:A60" si="1">A16+1</f>
        <v>3</v>
      </c>
      <c r="B17" s="257" t="s">
        <v>597</v>
      </c>
      <c r="C17" s="874" t="s">
        <v>1692</v>
      </c>
      <c r="D17" s="874">
        <v>-200</v>
      </c>
      <c r="E17" s="100"/>
      <c r="F17" s="611">
        <f t="shared" si="0"/>
        <v>-200</v>
      </c>
      <c r="G17" s="100"/>
      <c r="H17" s="100"/>
    </row>
    <row r="18" spans="1:8">
      <c r="A18" s="611">
        <f t="shared" si="1"/>
        <v>4</v>
      </c>
      <c r="B18" s="257" t="s">
        <v>597</v>
      </c>
      <c r="C18" s="874" t="s">
        <v>1693</v>
      </c>
      <c r="D18" s="874">
        <v>196.45</v>
      </c>
      <c r="E18" s="100"/>
      <c r="F18" s="611">
        <f t="shared" si="0"/>
        <v>196.45</v>
      </c>
      <c r="G18" s="100"/>
      <c r="H18" s="100"/>
    </row>
    <row r="19" spans="1:8">
      <c r="A19" s="611">
        <f t="shared" si="1"/>
        <v>5</v>
      </c>
      <c r="B19" s="257" t="s">
        <v>597</v>
      </c>
      <c r="C19" s="874" t="s">
        <v>1694</v>
      </c>
      <c r="D19" s="874">
        <v>105</v>
      </c>
      <c r="E19" s="100"/>
      <c r="F19" s="611">
        <f t="shared" si="0"/>
        <v>105</v>
      </c>
      <c r="G19" s="100"/>
      <c r="H19" s="100"/>
    </row>
    <row r="20" spans="1:8">
      <c r="A20" s="611">
        <f t="shared" si="1"/>
        <v>6</v>
      </c>
      <c r="B20" s="257" t="s">
        <v>597</v>
      </c>
      <c r="C20" s="874" t="s">
        <v>1695</v>
      </c>
      <c r="D20" s="874">
        <v>450</v>
      </c>
      <c r="E20" s="100"/>
      <c r="F20" s="611">
        <f t="shared" si="0"/>
        <v>450</v>
      </c>
      <c r="G20" s="100"/>
      <c r="H20" s="100"/>
    </row>
    <row r="21" spans="1:8">
      <c r="A21" s="611">
        <f t="shared" si="1"/>
        <v>7</v>
      </c>
      <c r="B21" s="257" t="s">
        <v>597</v>
      </c>
      <c r="C21" s="874" t="s">
        <v>1696</v>
      </c>
      <c r="D21" s="874">
        <v>455</v>
      </c>
      <c r="E21" s="100"/>
      <c r="F21" s="611">
        <f t="shared" si="0"/>
        <v>455</v>
      </c>
      <c r="G21" s="100"/>
      <c r="H21" s="100"/>
    </row>
    <row r="22" spans="1:8">
      <c r="A22" s="611">
        <f t="shared" si="1"/>
        <v>8</v>
      </c>
      <c r="B22" s="257" t="s">
        <v>597</v>
      </c>
      <c r="C22" s="874" t="s">
        <v>1697</v>
      </c>
      <c r="D22" s="874">
        <v>500</v>
      </c>
      <c r="E22" s="100"/>
      <c r="F22" s="611">
        <f t="shared" si="0"/>
        <v>500</v>
      </c>
      <c r="G22" s="100"/>
      <c r="H22" s="100"/>
    </row>
    <row r="23" spans="1:8">
      <c r="A23" s="611">
        <f t="shared" si="1"/>
        <v>9</v>
      </c>
      <c r="B23" s="257" t="s">
        <v>597</v>
      </c>
      <c r="C23" s="874" t="s">
        <v>1698</v>
      </c>
      <c r="D23" s="874">
        <v>55629.979999999996</v>
      </c>
      <c r="E23" s="100"/>
      <c r="F23" s="611">
        <f t="shared" si="0"/>
        <v>55629.979999999996</v>
      </c>
      <c r="G23" s="100"/>
      <c r="H23" s="100"/>
    </row>
    <row r="24" spans="1:8">
      <c r="A24" s="611">
        <f t="shared" si="1"/>
        <v>10</v>
      </c>
      <c r="B24" s="257" t="s">
        <v>597</v>
      </c>
      <c r="C24" s="874" t="s">
        <v>1699</v>
      </c>
      <c r="D24" s="874">
        <v>50</v>
      </c>
      <c r="E24" s="100"/>
      <c r="F24" s="611">
        <f t="shared" si="0"/>
        <v>50</v>
      </c>
      <c r="G24" s="100"/>
      <c r="H24" s="100"/>
    </row>
    <row r="25" spans="1:8">
      <c r="A25" s="611">
        <f t="shared" si="1"/>
        <v>11</v>
      </c>
      <c r="B25" s="257" t="s">
        <v>597</v>
      </c>
      <c r="C25" s="874" t="s">
        <v>1700</v>
      </c>
      <c r="D25" s="874">
        <v>60.72</v>
      </c>
      <c r="E25" s="100"/>
      <c r="F25" s="611">
        <f t="shared" si="0"/>
        <v>60.72</v>
      </c>
      <c r="G25" s="100"/>
      <c r="H25" s="100"/>
    </row>
    <row r="26" spans="1:8">
      <c r="A26" s="611">
        <f t="shared" si="1"/>
        <v>12</v>
      </c>
      <c r="B26" s="257" t="s">
        <v>597</v>
      </c>
      <c r="C26" s="874" t="s">
        <v>1701</v>
      </c>
      <c r="D26" s="874">
        <v>2.83</v>
      </c>
      <c r="E26" s="100"/>
      <c r="F26" s="611">
        <f t="shared" si="0"/>
        <v>2.83</v>
      </c>
      <c r="G26" s="100"/>
      <c r="H26" s="100"/>
    </row>
    <row r="27" spans="1:8">
      <c r="A27" s="611">
        <f t="shared" si="1"/>
        <v>13</v>
      </c>
      <c r="B27" s="257" t="s">
        <v>597</v>
      </c>
      <c r="C27" s="874" t="s">
        <v>1702</v>
      </c>
      <c r="D27" s="874">
        <v>100</v>
      </c>
      <c r="E27" s="100"/>
      <c r="F27" s="611">
        <f t="shared" si="0"/>
        <v>100</v>
      </c>
      <c r="G27" s="100"/>
      <c r="H27" s="100"/>
    </row>
    <row r="28" spans="1:8">
      <c r="A28" s="611">
        <f t="shared" si="1"/>
        <v>14</v>
      </c>
      <c r="B28" s="257" t="s">
        <v>597</v>
      </c>
      <c r="C28" s="874" t="s">
        <v>1703</v>
      </c>
      <c r="D28" s="874">
        <v>18500</v>
      </c>
      <c r="E28" s="100"/>
      <c r="F28" s="611">
        <f t="shared" si="0"/>
        <v>18500</v>
      </c>
      <c r="G28" s="100"/>
      <c r="H28" s="100"/>
    </row>
    <row r="29" spans="1:8">
      <c r="A29" s="611">
        <f t="shared" si="1"/>
        <v>15</v>
      </c>
      <c r="B29" s="257" t="s">
        <v>597</v>
      </c>
      <c r="C29" s="874" t="s">
        <v>1704</v>
      </c>
      <c r="D29" s="874">
        <v>5000</v>
      </c>
      <c r="E29" s="100"/>
      <c r="F29" s="611">
        <f t="shared" si="0"/>
        <v>5000</v>
      </c>
      <c r="G29" s="100"/>
      <c r="H29" s="100"/>
    </row>
    <row r="30" spans="1:8">
      <c r="A30" s="611">
        <f t="shared" si="1"/>
        <v>16</v>
      </c>
      <c r="B30" s="257" t="s">
        <v>597</v>
      </c>
      <c r="C30" s="874" t="s">
        <v>1705</v>
      </c>
      <c r="D30" s="874">
        <v>3000</v>
      </c>
      <c r="E30" s="100"/>
      <c r="F30" s="611">
        <f t="shared" si="0"/>
        <v>3000</v>
      </c>
      <c r="G30" s="100"/>
      <c r="H30" s="100"/>
    </row>
    <row r="31" spans="1:8">
      <c r="A31" s="611">
        <f t="shared" si="1"/>
        <v>17</v>
      </c>
      <c r="B31" s="257" t="s">
        <v>597</v>
      </c>
      <c r="C31" s="874" t="s">
        <v>1706</v>
      </c>
      <c r="D31" s="874">
        <v>10000</v>
      </c>
      <c r="E31" s="100"/>
      <c r="F31" s="611">
        <f t="shared" si="0"/>
        <v>10000</v>
      </c>
      <c r="G31" s="100"/>
      <c r="H31" s="100"/>
    </row>
    <row r="32" spans="1:8">
      <c r="A32" s="611">
        <f t="shared" si="1"/>
        <v>18</v>
      </c>
      <c r="B32" s="257" t="s">
        <v>597</v>
      </c>
      <c r="C32" s="874" t="s">
        <v>1707</v>
      </c>
      <c r="D32" s="874">
        <v>10000</v>
      </c>
      <c r="E32" s="100"/>
      <c r="F32" s="611">
        <f t="shared" si="0"/>
        <v>10000</v>
      </c>
      <c r="G32" s="100"/>
      <c r="H32" s="100"/>
    </row>
    <row r="33" spans="1:8">
      <c r="A33" s="611">
        <f t="shared" si="1"/>
        <v>19</v>
      </c>
      <c r="B33" s="257" t="s">
        <v>597</v>
      </c>
      <c r="C33" s="874" t="s">
        <v>1708</v>
      </c>
      <c r="D33" s="874">
        <v>1570</v>
      </c>
      <c r="E33" s="100"/>
      <c r="F33" s="611">
        <f t="shared" si="0"/>
        <v>1570</v>
      </c>
      <c r="G33" s="100"/>
      <c r="H33" s="100"/>
    </row>
    <row r="34" spans="1:8">
      <c r="A34" s="611">
        <f t="shared" si="1"/>
        <v>20</v>
      </c>
      <c r="B34" s="257" t="s">
        <v>597</v>
      </c>
      <c r="C34" s="874" t="s">
        <v>1709</v>
      </c>
      <c r="D34" s="874">
        <v>550</v>
      </c>
      <c r="E34" s="100"/>
      <c r="F34" s="611">
        <f t="shared" si="0"/>
        <v>550</v>
      </c>
      <c r="G34" s="100"/>
      <c r="H34" s="100"/>
    </row>
    <row r="35" spans="1:8">
      <c r="A35" s="611">
        <f t="shared" si="1"/>
        <v>21</v>
      </c>
      <c r="B35" s="257" t="s">
        <v>597</v>
      </c>
      <c r="C35" s="874" t="s">
        <v>1710</v>
      </c>
      <c r="D35" s="874">
        <v>325</v>
      </c>
      <c r="E35" s="100"/>
      <c r="F35" s="611">
        <f t="shared" si="0"/>
        <v>325</v>
      </c>
      <c r="G35" s="100"/>
      <c r="H35" s="100"/>
    </row>
    <row r="36" spans="1:8">
      <c r="A36" s="611">
        <f t="shared" si="1"/>
        <v>22</v>
      </c>
      <c r="B36" s="257" t="s">
        <v>597</v>
      </c>
      <c r="C36" s="874" t="s">
        <v>1711</v>
      </c>
      <c r="D36" s="874">
        <v>555</v>
      </c>
      <c r="E36" s="100"/>
      <c r="F36" s="611">
        <f t="shared" si="0"/>
        <v>555</v>
      </c>
      <c r="G36" s="100"/>
      <c r="H36" s="100"/>
    </row>
    <row r="37" spans="1:8">
      <c r="A37" s="611">
        <f t="shared" si="1"/>
        <v>23</v>
      </c>
      <c r="B37" s="257" t="s">
        <v>597</v>
      </c>
      <c r="C37" s="874" t="s">
        <v>1712</v>
      </c>
      <c r="D37" s="874">
        <v>25000</v>
      </c>
      <c r="E37" s="100"/>
      <c r="F37" s="611">
        <f t="shared" si="0"/>
        <v>25000</v>
      </c>
      <c r="G37" s="100"/>
      <c r="H37" s="100"/>
    </row>
    <row r="38" spans="1:8">
      <c r="A38" s="611">
        <f t="shared" si="1"/>
        <v>24</v>
      </c>
      <c r="B38" s="257" t="s">
        <v>597</v>
      </c>
      <c r="C38" s="874" t="s">
        <v>1713</v>
      </c>
      <c r="D38" s="874">
        <v>25</v>
      </c>
      <c r="E38" s="258"/>
      <c r="F38" s="611">
        <f t="shared" si="0"/>
        <v>25</v>
      </c>
      <c r="G38" s="258"/>
      <c r="H38" s="258"/>
    </row>
    <row r="39" spans="1:8">
      <c r="A39" s="611">
        <f t="shared" si="1"/>
        <v>25</v>
      </c>
      <c r="B39" s="257" t="s">
        <v>597</v>
      </c>
      <c r="C39" s="874" t="s">
        <v>1714</v>
      </c>
      <c r="D39" s="874">
        <v>1250</v>
      </c>
      <c r="F39" s="611">
        <f t="shared" si="0"/>
        <v>1250</v>
      </c>
    </row>
    <row r="40" spans="1:8">
      <c r="A40" s="611">
        <f t="shared" si="1"/>
        <v>26</v>
      </c>
      <c r="B40" s="257" t="s">
        <v>597</v>
      </c>
      <c r="C40" s="874" t="s">
        <v>1715</v>
      </c>
      <c r="D40" s="874">
        <v>10435.5</v>
      </c>
      <c r="F40" s="611">
        <f t="shared" si="0"/>
        <v>10435.5</v>
      </c>
    </row>
    <row r="41" spans="1:8">
      <c r="A41" s="611">
        <f t="shared" si="1"/>
        <v>27</v>
      </c>
      <c r="B41" s="257" t="s">
        <v>597</v>
      </c>
      <c r="C41" s="874" t="s">
        <v>1716</v>
      </c>
      <c r="D41" s="874">
        <v>1000</v>
      </c>
      <c r="F41" s="611">
        <f t="shared" si="0"/>
        <v>1000</v>
      </c>
    </row>
    <row r="42" spans="1:8">
      <c r="A42" s="611">
        <f t="shared" si="1"/>
        <v>28</v>
      </c>
      <c r="B42" s="257" t="s">
        <v>597</v>
      </c>
      <c r="C42" s="874" t="s">
        <v>1717</v>
      </c>
      <c r="D42" s="874">
        <v>1520</v>
      </c>
      <c r="E42" s="252" t="s">
        <v>314</v>
      </c>
      <c r="F42" s="611">
        <f t="shared" si="0"/>
        <v>1520</v>
      </c>
      <c r="G42" s="252"/>
      <c r="H42" s="252"/>
    </row>
    <row r="43" spans="1:8">
      <c r="A43" s="611">
        <f t="shared" si="1"/>
        <v>29</v>
      </c>
      <c r="B43" s="257" t="s">
        <v>597</v>
      </c>
      <c r="C43" s="874" t="s">
        <v>1718</v>
      </c>
      <c r="D43" s="874">
        <v>150</v>
      </c>
      <c r="F43" s="611">
        <f t="shared" si="0"/>
        <v>150</v>
      </c>
    </row>
    <row r="44" spans="1:8">
      <c r="A44" s="611">
        <f t="shared" si="1"/>
        <v>30</v>
      </c>
      <c r="B44" s="257" t="s">
        <v>597</v>
      </c>
      <c r="C44" s="874" t="s">
        <v>1719</v>
      </c>
      <c r="D44" s="874">
        <v>180.16</v>
      </c>
      <c r="F44" s="611">
        <f t="shared" si="0"/>
        <v>180.16</v>
      </c>
    </row>
    <row r="45" spans="1:8">
      <c r="A45" s="611">
        <f t="shared" si="1"/>
        <v>31</v>
      </c>
      <c r="B45" s="257" t="s">
        <v>597</v>
      </c>
      <c r="C45" s="874" t="s">
        <v>1720</v>
      </c>
      <c r="D45" s="874">
        <v>395</v>
      </c>
      <c r="F45" s="611">
        <f t="shared" si="0"/>
        <v>395</v>
      </c>
    </row>
    <row r="46" spans="1:8">
      <c r="A46" s="611">
        <f t="shared" si="1"/>
        <v>32</v>
      </c>
      <c r="B46" s="257" t="s">
        <v>597</v>
      </c>
      <c r="C46" s="874" t="s">
        <v>1721</v>
      </c>
      <c r="D46" s="874">
        <v>10</v>
      </c>
      <c r="F46" s="611">
        <f t="shared" si="0"/>
        <v>10</v>
      </c>
    </row>
    <row r="47" spans="1:8">
      <c r="A47" s="611">
        <f t="shared" si="1"/>
        <v>33</v>
      </c>
      <c r="B47" s="257" t="s">
        <v>597</v>
      </c>
      <c r="C47" s="874" t="s">
        <v>1722</v>
      </c>
      <c r="D47" s="874">
        <v>229.25</v>
      </c>
      <c r="E47" s="252" t="s">
        <v>314</v>
      </c>
      <c r="F47" s="611">
        <f t="shared" si="0"/>
        <v>229.25</v>
      </c>
      <c r="G47" s="252"/>
      <c r="H47" s="252"/>
    </row>
    <row r="48" spans="1:8">
      <c r="A48" s="611">
        <f t="shared" si="1"/>
        <v>34</v>
      </c>
      <c r="B48" s="257" t="s">
        <v>597</v>
      </c>
      <c r="C48" s="874" t="s">
        <v>1723</v>
      </c>
      <c r="D48" s="874">
        <v>100</v>
      </c>
      <c r="E48" s="252"/>
      <c r="F48" s="611">
        <f t="shared" si="0"/>
        <v>100</v>
      </c>
      <c r="G48" s="252"/>
      <c r="H48" s="252"/>
    </row>
    <row r="49" spans="1:9">
      <c r="A49" s="611">
        <f t="shared" si="1"/>
        <v>35</v>
      </c>
      <c r="B49" s="257" t="s">
        <v>597</v>
      </c>
      <c r="C49" s="874" t="s">
        <v>1724</v>
      </c>
      <c r="D49" s="874">
        <v>292.45999999999998</v>
      </c>
      <c r="E49" s="252"/>
      <c r="F49" s="611">
        <f t="shared" si="0"/>
        <v>292.45999999999998</v>
      </c>
      <c r="G49" s="252"/>
      <c r="H49" s="252"/>
    </row>
    <row r="50" spans="1:9">
      <c r="A50" s="611">
        <f t="shared" si="1"/>
        <v>36</v>
      </c>
      <c r="B50" s="257" t="s">
        <v>597</v>
      </c>
      <c r="C50" s="874" t="s">
        <v>1725</v>
      </c>
      <c r="D50" s="874">
        <v>22.79</v>
      </c>
      <c r="F50" s="611">
        <f t="shared" si="0"/>
        <v>22.79</v>
      </c>
    </row>
    <row r="51" spans="1:9">
      <c r="A51" s="611">
        <f t="shared" si="1"/>
        <v>37</v>
      </c>
      <c r="B51" s="257" t="s">
        <v>597</v>
      </c>
      <c r="C51" s="874" t="s">
        <v>1726</v>
      </c>
      <c r="D51" s="874">
        <v>295</v>
      </c>
      <c r="F51" s="611">
        <f t="shared" si="0"/>
        <v>295</v>
      </c>
    </row>
    <row r="52" spans="1:9">
      <c r="A52" s="611">
        <f t="shared" si="1"/>
        <v>38</v>
      </c>
      <c r="B52" s="257" t="s">
        <v>597</v>
      </c>
      <c r="C52" s="874" t="s">
        <v>1727</v>
      </c>
      <c r="D52" s="874">
        <v>1500</v>
      </c>
      <c r="F52" s="611">
        <f t="shared" si="0"/>
        <v>1500</v>
      </c>
    </row>
    <row r="53" spans="1:9">
      <c r="A53" s="611">
        <f t="shared" si="1"/>
        <v>39</v>
      </c>
      <c r="B53" s="257" t="s">
        <v>597</v>
      </c>
      <c r="C53" s="874" t="s">
        <v>1728</v>
      </c>
      <c r="D53" s="874">
        <v>1363.8799999999999</v>
      </c>
      <c r="F53" s="611">
        <f t="shared" si="0"/>
        <v>1363.8799999999999</v>
      </c>
    </row>
    <row r="54" spans="1:9">
      <c r="A54" s="611">
        <f t="shared" si="1"/>
        <v>40</v>
      </c>
      <c r="B54" s="257" t="s">
        <v>597</v>
      </c>
      <c r="C54" s="874" t="s">
        <v>1729</v>
      </c>
      <c r="D54" s="874">
        <v>850</v>
      </c>
      <c r="F54" s="611">
        <f t="shared" si="0"/>
        <v>850</v>
      </c>
    </row>
    <row r="55" spans="1:9">
      <c r="A55" s="611">
        <f t="shared" si="1"/>
        <v>41</v>
      </c>
      <c r="B55" s="257" t="s">
        <v>597</v>
      </c>
      <c r="C55" s="874" t="s">
        <v>1730</v>
      </c>
      <c r="D55" s="874">
        <v>350</v>
      </c>
      <c r="F55" s="611">
        <f t="shared" si="0"/>
        <v>350</v>
      </c>
    </row>
    <row r="56" spans="1:9">
      <c r="A56" s="611">
        <f t="shared" si="1"/>
        <v>42</v>
      </c>
      <c r="B56" s="257" t="s">
        <v>597</v>
      </c>
      <c r="C56" s="874" t="s">
        <v>1731</v>
      </c>
      <c r="D56" s="874">
        <v>398</v>
      </c>
      <c r="F56" s="611">
        <f t="shared" si="0"/>
        <v>398</v>
      </c>
    </row>
    <row r="57" spans="1:9">
      <c r="A57" s="611">
        <f t="shared" si="1"/>
        <v>43</v>
      </c>
      <c r="B57" s="257" t="s">
        <v>597</v>
      </c>
      <c r="C57" s="874" t="s">
        <v>1732</v>
      </c>
      <c r="D57" s="874">
        <v>284.61</v>
      </c>
      <c r="F57" s="611">
        <f t="shared" si="0"/>
        <v>284.61</v>
      </c>
    </row>
    <row r="58" spans="1:9">
      <c r="A58" s="611">
        <f t="shared" si="1"/>
        <v>44</v>
      </c>
      <c r="B58" s="257" t="s">
        <v>597</v>
      </c>
      <c r="C58" s="874" t="s">
        <v>1733</v>
      </c>
      <c r="D58" s="874">
        <v>50.88</v>
      </c>
      <c r="F58" s="611">
        <f t="shared" si="0"/>
        <v>50.88</v>
      </c>
    </row>
    <row r="59" spans="1:9">
      <c r="A59" s="611">
        <f t="shared" si="1"/>
        <v>45</v>
      </c>
      <c r="B59" s="257" t="s">
        <v>597</v>
      </c>
      <c r="C59" s="874" t="s">
        <v>1734</v>
      </c>
      <c r="D59" s="874">
        <v>40</v>
      </c>
      <c r="F59" s="611">
        <f t="shared" si="0"/>
        <v>40</v>
      </c>
    </row>
    <row r="60" spans="1:9">
      <c r="A60" s="611">
        <f t="shared" si="1"/>
        <v>46</v>
      </c>
      <c r="B60" s="257" t="s">
        <v>597</v>
      </c>
      <c r="C60" s="874" t="s">
        <v>1735</v>
      </c>
      <c r="D60" s="874">
        <v>10</v>
      </c>
      <c r="F60" s="611">
        <f t="shared" si="0"/>
        <v>10</v>
      </c>
    </row>
    <row r="61" spans="1:9">
      <c r="A61" s="256"/>
      <c r="B61" s="257"/>
    </row>
    <row r="62" spans="1:9" ht="15.75">
      <c r="C62" s="260" t="s">
        <v>774</v>
      </c>
      <c r="D62" s="875">
        <f>SUM(D15:D61)</f>
        <v>186798.44999999998</v>
      </c>
      <c r="F62" s="875">
        <f>SUM(F15:F61)</f>
        <v>186798.44999999998</v>
      </c>
    </row>
    <row r="64" spans="1:9" ht="15.75">
      <c r="C64" s="261" t="s">
        <v>1297</v>
      </c>
      <c r="D64" s="646"/>
      <c r="E64" s="646"/>
      <c r="F64" s="646"/>
      <c r="G64" s="646"/>
      <c r="H64" s="646"/>
      <c r="I64" s="646"/>
    </row>
    <row r="65" spans="1:10" ht="15.75">
      <c r="C65" s="677"/>
      <c r="G65" s="250" t="s">
        <v>1548</v>
      </c>
      <c r="H65" s="250" t="s">
        <v>144</v>
      </c>
      <c r="I65" s="250" t="s">
        <v>1549</v>
      </c>
    </row>
    <row r="66" spans="1:10">
      <c r="A66" s="256">
        <v>1</v>
      </c>
      <c r="B66" s="257" t="s">
        <v>597</v>
      </c>
      <c r="C66" s="874" t="s">
        <v>1690</v>
      </c>
      <c r="D66" s="874">
        <v>34037.939999999988</v>
      </c>
      <c r="E66" s="258" t="s">
        <v>1020</v>
      </c>
      <c r="F66" s="611">
        <f t="shared" ref="F66:F67" si="2">D66</f>
        <v>34037.939999999988</v>
      </c>
      <c r="G66" s="1006">
        <v>4.2999999999999997E-2</v>
      </c>
      <c r="H66" s="611">
        <f>F66*-G66</f>
        <v>-1463.6314199999993</v>
      </c>
      <c r="I66" s="876">
        <f>F66+H66</f>
        <v>32574.30857999999</v>
      </c>
      <c r="J66" s="647"/>
    </row>
    <row r="67" spans="1:10">
      <c r="A67" s="611">
        <f t="shared" ref="A67:A111" si="3">A66+1</f>
        <v>2</v>
      </c>
      <c r="B67" s="257" t="s">
        <v>597</v>
      </c>
      <c r="C67" s="874" t="s">
        <v>1691</v>
      </c>
      <c r="D67" s="874">
        <v>158</v>
      </c>
      <c r="F67" s="611">
        <f t="shared" si="2"/>
        <v>158</v>
      </c>
      <c r="G67" s="648"/>
      <c r="I67" s="876">
        <f t="shared" ref="I67:I101" si="4">F67+H67</f>
        <v>158</v>
      </c>
    </row>
    <row r="68" spans="1:10">
      <c r="A68" s="611">
        <f t="shared" si="3"/>
        <v>3</v>
      </c>
      <c r="B68" s="257" t="s">
        <v>597</v>
      </c>
      <c r="C68" s="874" t="s">
        <v>1692</v>
      </c>
      <c r="D68" s="874">
        <v>-200</v>
      </c>
      <c r="F68" s="611">
        <f t="shared" ref="F68:F111" si="5">D68</f>
        <v>-200</v>
      </c>
      <c r="G68" s="648"/>
      <c r="I68" s="876">
        <f t="shared" si="4"/>
        <v>-200</v>
      </c>
    </row>
    <row r="69" spans="1:10">
      <c r="A69" s="611">
        <f t="shared" si="3"/>
        <v>4</v>
      </c>
      <c r="B69" s="257" t="s">
        <v>597</v>
      </c>
      <c r="C69" s="874" t="s">
        <v>1693</v>
      </c>
      <c r="D69" s="874">
        <v>196.45</v>
      </c>
      <c r="F69" s="611">
        <f t="shared" si="5"/>
        <v>196.45</v>
      </c>
      <c r="G69" s="648"/>
      <c r="I69" s="876">
        <f t="shared" si="4"/>
        <v>196.45</v>
      </c>
    </row>
    <row r="70" spans="1:10">
      <c r="A70" s="611">
        <f t="shared" si="3"/>
        <v>5</v>
      </c>
      <c r="B70" s="257" t="s">
        <v>597</v>
      </c>
      <c r="C70" s="874" t="s">
        <v>1694</v>
      </c>
      <c r="D70" s="874">
        <v>105</v>
      </c>
      <c r="F70" s="611">
        <f t="shared" si="5"/>
        <v>105</v>
      </c>
      <c r="G70" s="1006"/>
      <c r="H70" s="611"/>
      <c r="I70" s="876">
        <f t="shared" si="4"/>
        <v>105</v>
      </c>
    </row>
    <row r="71" spans="1:10">
      <c r="A71" s="611">
        <f t="shared" si="3"/>
        <v>6</v>
      </c>
      <c r="B71" s="257" t="s">
        <v>597</v>
      </c>
      <c r="C71" s="874" t="s">
        <v>1695</v>
      </c>
      <c r="D71" s="874">
        <v>450</v>
      </c>
      <c r="F71" s="611">
        <f t="shared" si="5"/>
        <v>450</v>
      </c>
      <c r="G71" s="648"/>
      <c r="I71" s="876">
        <f t="shared" si="4"/>
        <v>450</v>
      </c>
    </row>
    <row r="72" spans="1:10">
      <c r="A72" s="611">
        <f t="shared" si="3"/>
        <v>7</v>
      </c>
      <c r="B72" s="257" t="s">
        <v>597</v>
      </c>
      <c r="C72" s="874" t="s">
        <v>1696</v>
      </c>
      <c r="D72" s="874">
        <v>455</v>
      </c>
      <c r="F72" s="611">
        <f t="shared" si="5"/>
        <v>455</v>
      </c>
      <c r="G72" s="648"/>
      <c r="I72" s="876">
        <f t="shared" si="4"/>
        <v>455</v>
      </c>
    </row>
    <row r="73" spans="1:10">
      <c r="A73" s="611">
        <f t="shared" si="3"/>
        <v>8</v>
      </c>
      <c r="B73" s="257" t="s">
        <v>597</v>
      </c>
      <c r="C73" s="874" t="s">
        <v>1697</v>
      </c>
      <c r="D73" s="874">
        <v>500</v>
      </c>
      <c r="F73" s="611">
        <f t="shared" si="5"/>
        <v>500</v>
      </c>
      <c r="G73" s="648"/>
      <c r="I73" s="876">
        <f t="shared" si="4"/>
        <v>500</v>
      </c>
    </row>
    <row r="74" spans="1:10">
      <c r="A74" s="611">
        <f t="shared" si="3"/>
        <v>9</v>
      </c>
      <c r="B74" s="257" t="s">
        <v>597</v>
      </c>
      <c r="C74" s="874" t="s">
        <v>1698</v>
      </c>
      <c r="D74" s="874">
        <v>55629.979999999996</v>
      </c>
      <c r="F74" s="611">
        <f t="shared" si="5"/>
        <v>55629.979999999996</v>
      </c>
      <c r="G74" s="1006">
        <v>0.2</v>
      </c>
      <c r="H74" s="611">
        <f>F74*-G74</f>
        <v>-11125.995999999999</v>
      </c>
      <c r="I74" s="876">
        <f>F74+H74</f>
        <v>44503.983999999997</v>
      </c>
      <c r="J74" s="647"/>
    </row>
    <row r="75" spans="1:10">
      <c r="A75" s="611">
        <f t="shared" si="3"/>
        <v>10</v>
      </c>
      <c r="B75" s="257" t="s">
        <v>597</v>
      </c>
      <c r="C75" s="874" t="s">
        <v>1699</v>
      </c>
      <c r="D75" s="874">
        <v>50</v>
      </c>
      <c r="F75" s="611">
        <f t="shared" si="5"/>
        <v>50</v>
      </c>
      <c r="G75" s="648"/>
      <c r="I75" s="876">
        <f t="shared" si="4"/>
        <v>50</v>
      </c>
    </row>
    <row r="76" spans="1:10">
      <c r="A76" s="611">
        <f t="shared" si="3"/>
        <v>11</v>
      </c>
      <c r="B76" s="257" t="s">
        <v>597</v>
      </c>
      <c r="C76" s="874" t="s">
        <v>1700</v>
      </c>
      <c r="D76" s="874">
        <v>60.72</v>
      </c>
      <c r="F76" s="611">
        <f t="shared" si="5"/>
        <v>60.72</v>
      </c>
      <c r="G76" s="648"/>
      <c r="I76" s="876">
        <f t="shared" si="4"/>
        <v>60.72</v>
      </c>
    </row>
    <row r="77" spans="1:10">
      <c r="A77" s="611">
        <f t="shared" si="3"/>
        <v>12</v>
      </c>
      <c r="B77" s="257" t="s">
        <v>597</v>
      </c>
      <c r="C77" s="874" t="s">
        <v>1701</v>
      </c>
      <c r="D77" s="874">
        <v>2.83</v>
      </c>
      <c r="F77" s="611">
        <f t="shared" si="5"/>
        <v>2.83</v>
      </c>
      <c r="G77" s="648"/>
      <c r="I77" s="876">
        <f t="shared" si="4"/>
        <v>2.83</v>
      </c>
    </row>
    <row r="78" spans="1:10">
      <c r="A78" s="611">
        <f t="shared" si="3"/>
        <v>13</v>
      </c>
      <c r="B78" s="257" t="s">
        <v>597</v>
      </c>
      <c r="C78" s="874" t="s">
        <v>1702</v>
      </c>
      <c r="D78" s="874">
        <v>100</v>
      </c>
      <c r="F78" s="611">
        <f t="shared" si="5"/>
        <v>100</v>
      </c>
      <c r="G78" s="648"/>
      <c r="I78" s="876">
        <f t="shared" si="4"/>
        <v>100</v>
      </c>
    </row>
    <row r="79" spans="1:10">
      <c r="A79" s="611">
        <f t="shared" si="3"/>
        <v>14</v>
      </c>
      <c r="B79" s="257" t="s">
        <v>597</v>
      </c>
      <c r="C79" s="874" t="s">
        <v>1703</v>
      </c>
      <c r="D79" s="874">
        <v>18500</v>
      </c>
      <c r="F79" s="611">
        <f t="shared" si="5"/>
        <v>18500</v>
      </c>
      <c r="G79" s="648"/>
      <c r="I79" s="876">
        <f t="shared" si="4"/>
        <v>18500</v>
      </c>
    </row>
    <row r="80" spans="1:10">
      <c r="A80" s="611">
        <f t="shared" si="3"/>
        <v>15</v>
      </c>
      <c r="B80" s="257" t="s">
        <v>597</v>
      </c>
      <c r="C80" s="874" t="s">
        <v>1704</v>
      </c>
      <c r="D80" s="874">
        <v>5000</v>
      </c>
      <c r="F80" s="611">
        <f t="shared" si="5"/>
        <v>5000</v>
      </c>
      <c r="G80" s="648"/>
      <c r="I80" s="876">
        <f t="shared" si="4"/>
        <v>5000</v>
      </c>
    </row>
    <row r="81" spans="1:9">
      <c r="A81" s="611">
        <f t="shared" si="3"/>
        <v>16</v>
      </c>
      <c r="B81" s="257" t="s">
        <v>597</v>
      </c>
      <c r="C81" s="874" t="s">
        <v>1705</v>
      </c>
      <c r="D81" s="874">
        <v>3000</v>
      </c>
      <c r="F81" s="611">
        <f t="shared" si="5"/>
        <v>3000</v>
      </c>
      <c r="G81" s="648"/>
      <c r="I81" s="876">
        <f t="shared" si="4"/>
        <v>3000</v>
      </c>
    </row>
    <row r="82" spans="1:9">
      <c r="A82" s="611">
        <f t="shared" si="3"/>
        <v>17</v>
      </c>
      <c r="B82" s="257" t="s">
        <v>597</v>
      </c>
      <c r="C82" s="874" t="s">
        <v>1706</v>
      </c>
      <c r="D82" s="874">
        <v>10000</v>
      </c>
      <c r="F82" s="611">
        <f t="shared" si="5"/>
        <v>10000</v>
      </c>
      <c r="G82" s="648"/>
      <c r="I82" s="876">
        <f t="shared" si="4"/>
        <v>10000</v>
      </c>
    </row>
    <row r="83" spans="1:9">
      <c r="A83" s="611">
        <f t="shared" si="3"/>
        <v>18</v>
      </c>
      <c r="B83" s="257" t="s">
        <v>597</v>
      </c>
      <c r="C83" s="874" t="s">
        <v>1707</v>
      </c>
      <c r="D83" s="874">
        <v>10000</v>
      </c>
      <c r="F83" s="611">
        <f t="shared" si="5"/>
        <v>10000</v>
      </c>
      <c r="G83" s="648"/>
      <c r="I83" s="876">
        <f t="shared" si="4"/>
        <v>10000</v>
      </c>
    </row>
    <row r="84" spans="1:9">
      <c r="A84" s="611">
        <f t="shared" si="3"/>
        <v>19</v>
      </c>
      <c r="B84" s="257" t="s">
        <v>597</v>
      </c>
      <c r="C84" s="874" t="s">
        <v>1708</v>
      </c>
      <c r="D84" s="874">
        <v>1570</v>
      </c>
      <c r="F84" s="611">
        <f t="shared" si="5"/>
        <v>1570</v>
      </c>
      <c r="G84" s="648"/>
      <c r="I84" s="876">
        <f t="shared" si="4"/>
        <v>1570</v>
      </c>
    </row>
    <row r="85" spans="1:9">
      <c r="A85" s="611">
        <f t="shared" si="3"/>
        <v>20</v>
      </c>
      <c r="B85" s="257" t="s">
        <v>597</v>
      </c>
      <c r="C85" s="874" t="s">
        <v>1709</v>
      </c>
      <c r="D85" s="874">
        <v>550</v>
      </c>
      <c r="F85" s="611">
        <f t="shared" si="5"/>
        <v>550</v>
      </c>
      <c r="G85" s="648"/>
      <c r="I85" s="876">
        <f t="shared" si="4"/>
        <v>550</v>
      </c>
    </row>
    <row r="86" spans="1:9">
      <c r="A86" s="611">
        <f t="shared" si="3"/>
        <v>21</v>
      </c>
      <c r="B86" s="257" t="s">
        <v>597</v>
      </c>
      <c r="C86" s="874" t="s">
        <v>1710</v>
      </c>
      <c r="D86" s="874">
        <v>325</v>
      </c>
      <c r="F86" s="611">
        <f t="shared" si="5"/>
        <v>325</v>
      </c>
      <c r="G86" s="648"/>
      <c r="I86" s="876">
        <f t="shared" si="4"/>
        <v>325</v>
      </c>
    </row>
    <row r="87" spans="1:9">
      <c r="A87" s="611">
        <f t="shared" si="3"/>
        <v>22</v>
      </c>
      <c r="B87" s="257" t="s">
        <v>597</v>
      </c>
      <c r="C87" s="874" t="s">
        <v>1711</v>
      </c>
      <c r="D87" s="874">
        <v>555</v>
      </c>
      <c r="F87" s="611">
        <f t="shared" si="5"/>
        <v>555</v>
      </c>
      <c r="G87" s="648"/>
      <c r="I87" s="876">
        <f t="shared" si="4"/>
        <v>555</v>
      </c>
    </row>
    <row r="88" spans="1:9">
      <c r="A88" s="611">
        <f t="shared" si="3"/>
        <v>23</v>
      </c>
      <c r="B88" s="257" t="s">
        <v>597</v>
      </c>
      <c r="C88" s="874" t="s">
        <v>1712</v>
      </c>
      <c r="D88" s="874">
        <v>25000</v>
      </c>
      <c r="F88" s="611">
        <f t="shared" si="5"/>
        <v>25000</v>
      </c>
      <c r="G88" s="258"/>
      <c r="H88" s="256"/>
      <c r="I88" s="876">
        <f t="shared" si="4"/>
        <v>25000</v>
      </c>
    </row>
    <row r="89" spans="1:9">
      <c r="A89" s="611">
        <f t="shared" si="3"/>
        <v>24</v>
      </c>
      <c r="B89" s="257" t="s">
        <v>597</v>
      </c>
      <c r="C89" s="874" t="s">
        <v>1713</v>
      </c>
      <c r="D89" s="874">
        <v>25</v>
      </c>
      <c r="F89" s="611">
        <f t="shared" si="5"/>
        <v>25</v>
      </c>
      <c r="G89" s="648"/>
      <c r="I89" s="876">
        <f t="shared" si="4"/>
        <v>25</v>
      </c>
    </row>
    <row r="90" spans="1:9">
      <c r="A90" s="611">
        <f t="shared" si="3"/>
        <v>25</v>
      </c>
      <c r="B90" s="257" t="s">
        <v>597</v>
      </c>
      <c r="C90" s="874" t="s">
        <v>1714</v>
      </c>
      <c r="D90" s="874">
        <v>1250</v>
      </c>
      <c r="F90" s="611">
        <f t="shared" si="5"/>
        <v>1250</v>
      </c>
      <c r="G90" s="648"/>
      <c r="I90" s="876">
        <f t="shared" si="4"/>
        <v>1250</v>
      </c>
    </row>
    <row r="91" spans="1:9">
      <c r="A91" s="611">
        <f t="shared" si="3"/>
        <v>26</v>
      </c>
      <c r="B91" s="257" t="s">
        <v>597</v>
      </c>
      <c r="C91" s="874" t="s">
        <v>1715</v>
      </c>
      <c r="D91" s="874">
        <v>10435.5</v>
      </c>
      <c r="F91" s="611">
        <f t="shared" si="5"/>
        <v>10435.5</v>
      </c>
      <c r="G91" s="648"/>
      <c r="I91" s="876">
        <f t="shared" si="4"/>
        <v>10435.5</v>
      </c>
    </row>
    <row r="92" spans="1:9">
      <c r="A92" s="611">
        <f t="shared" si="3"/>
        <v>27</v>
      </c>
      <c r="B92" s="257" t="s">
        <v>597</v>
      </c>
      <c r="C92" s="874" t="s">
        <v>1716</v>
      </c>
      <c r="D92" s="874">
        <v>1000</v>
      </c>
      <c r="F92" s="611">
        <f t="shared" si="5"/>
        <v>1000</v>
      </c>
      <c r="G92" s="257"/>
      <c r="H92" s="256"/>
      <c r="I92" s="876">
        <f t="shared" si="4"/>
        <v>1000</v>
      </c>
    </row>
    <row r="93" spans="1:9">
      <c r="A93" s="611">
        <f t="shared" si="3"/>
        <v>28</v>
      </c>
      <c r="B93" s="257" t="s">
        <v>597</v>
      </c>
      <c r="C93" s="874" t="s">
        <v>1717</v>
      </c>
      <c r="D93" s="874">
        <v>1520</v>
      </c>
      <c r="F93" s="611">
        <f t="shared" si="5"/>
        <v>1520</v>
      </c>
      <c r="G93" s="648"/>
      <c r="I93" s="876">
        <f t="shared" si="4"/>
        <v>1520</v>
      </c>
    </row>
    <row r="94" spans="1:9">
      <c r="A94" s="611">
        <f t="shared" si="3"/>
        <v>29</v>
      </c>
      <c r="B94" s="257" t="s">
        <v>597</v>
      </c>
      <c r="C94" s="874" t="s">
        <v>1718</v>
      </c>
      <c r="D94" s="874">
        <v>150</v>
      </c>
      <c r="F94" s="611">
        <f t="shared" si="5"/>
        <v>150</v>
      </c>
      <c r="G94" s="648"/>
      <c r="I94" s="876">
        <f t="shared" si="4"/>
        <v>150</v>
      </c>
    </row>
    <row r="95" spans="1:9">
      <c r="A95" s="611">
        <f t="shared" si="3"/>
        <v>30</v>
      </c>
      <c r="B95" s="257" t="s">
        <v>597</v>
      </c>
      <c r="C95" s="874" t="s">
        <v>1719</v>
      </c>
      <c r="D95" s="874">
        <v>180.16</v>
      </c>
      <c r="F95" s="611">
        <f t="shared" si="5"/>
        <v>180.16</v>
      </c>
      <c r="G95" s="648"/>
      <c r="I95" s="876">
        <f t="shared" si="4"/>
        <v>180.16</v>
      </c>
    </row>
    <row r="96" spans="1:9">
      <c r="A96" s="611">
        <f t="shared" si="3"/>
        <v>31</v>
      </c>
      <c r="B96" s="257" t="s">
        <v>597</v>
      </c>
      <c r="C96" s="874" t="s">
        <v>1720</v>
      </c>
      <c r="D96" s="874">
        <v>395</v>
      </c>
      <c r="F96" s="611">
        <f t="shared" si="5"/>
        <v>395</v>
      </c>
      <c r="G96" s="648"/>
      <c r="I96" s="876">
        <f t="shared" si="4"/>
        <v>395</v>
      </c>
    </row>
    <row r="97" spans="1:9">
      <c r="A97" s="611">
        <f t="shared" si="3"/>
        <v>32</v>
      </c>
      <c r="B97" s="257" t="s">
        <v>597</v>
      </c>
      <c r="C97" s="874" t="s">
        <v>1721</v>
      </c>
      <c r="D97" s="874">
        <v>10</v>
      </c>
      <c r="F97" s="611">
        <f t="shared" si="5"/>
        <v>10</v>
      </c>
      <c r="G97" s="257"/>
      <c r="H97" s="256"/>
      <c r="I97" s="876">
        <f t="shared" si="4"/>
        <v>10</v>
      </c>
    </row>
    <row r="98" spans="1:9">
      <c r="A98" s="611">
        <f t="shared" si="3"/>
        <v>33</v>
      </c>
      <c r="B98" s="257" t="s">
        <v>597</v>
      </c>
      <c r="C98" s="874" t="s">
        <v>1722</v>
      </c>
      <c r="D98" s="874">
        <v>229.25</v>
      </c>
      <c r="F98" s="611">
        <f t="shared" si="5"/>
        <v>229.25</v>
      </c>
      <c r="G98" s="257"/>
      <c r="H98" s="256"/>
      <c r="I98" s="876">
        <f t="shared" si="4"/>
        <v>229.25</v>
      </c>
    </row>
    <row r="99" spans="1:9">
      <c r="A99" s="611">
        <f t="shared" si="3"/>
        <v>34</v>
      </c>
      <c r="B99" s="257" t="s">
        <v>597</v>
      </c>
      <c r="C99" s="874" t="s">
        <v>1723</v>
      </c>
      <c r="D99" s="874">
        <v>100</v>
      </c>
      <c r="F99" s="611">
        <f t="shared" si="5"/>
        <v>100</v>
      </c>
      <c r="G99" s="257"/>
      <c r="H99" s="256"/>
      <c r="I99" s="876">
        <f t="shared" si="4"/>
        <v>100</v>
      </c>
    </row>
    <row r="100" spans="1:9">
      <c r="A100" s="611">
        <f t="shared" si="3"/>
        <v>35</v>
      </c>
      <c r="B100" s="257" t="s">
        <v>597</v>
      </c>
      <c r="C100" s="874" t="s">
        <v>1724</v>
      </c>
      <c r="D100" s="874">
        <v>292.45999999999998</v>
      </c>
      <c r="F100" s="611">
        <f t="shared" si="5"/>
        <v>292.45999999999998</v>
      </c>
      <c r="G100" s="648"/>
      <c r="I100" s="876">
        <f t="shared" si="4"/>
        <v>292.45999999999998</v>
      </c>
    </row>
    <row r="101" spans="1:9">
      <c r="A101" s="611">
        <f t="shared" si="3"/>
        <v>36</v>
      </c>
      <c r="B101" s="257" t="s">
        <v>597</v>
      </c>
      <c r="C101" s="874" t="s">
        <v>1725</v>
      </c>
      <c r="D101" s="874">
        <v>22.79</v>
      </c>
      <c r="F101" s="611">
        <f t="shared" si="5"/>
        <v>22.79</v>
      </c>
      <c r="G101" s="648"/>
      <c r="I101" s="876">
        <f t="shared" si="4"/>
        <v>22.79</v>
      </c>
    </row>
    <row r="102" spans="1:9">
      <c r="A102" s="611">
        <f t="shared" si="3"/>
        <v>37</v>
      </c>
      <c r="B102" s="257" t="s">
        <v>597</v>
      </c>
      <c r="C102" s="874" t="s">
        <v>1726</v>
      </c>
      <c r="D102" s="874">
        <v>295</v>
      </c>
      <c r="F102" s="611">
        <f t="shared" si="5"/>
        <v>295</v>
      </c>
      <c r="G102" s="648"/>
      <c r="I102" s="876"/>
    </row>
    <row r="103" spans="1:9">
      <c r="A103" s="611">
        <f t="shared" si="3"/>
        <v>38</v>
      </c>
      <c r="B103" s="257" t="s">
        <v>597</v>
      </c>
      <c r="C103" s="874" t="s">
        <v>1727</v>
      </c>
      <c r="D103" s="874">
        <v>1500</v>
      </c>
      <c r="F103" s="611">
        <f t="shared" si="5"/>
        <v>1500</v>
      </c>
      <c r="G103" s="648"/>
      <c r="I103" s="876"/>
    </row>
    <row r="104" spans="1:9">
      <c r="A104" s="611">
        <f t="shared" si="3"/>
        <v>39</v>
      </c>
      <c r="B104" s="257" t="s">
        <v>597</v>
      </c>
      <c r="C104" s="874" t="s">
        <v>1728</v>
      </c>
      <c r="D104" s="874">
        <v>1363.8799999999999</v>
      </c>
      <c r="F104" s="611">
        <f t="shared" si="5"/>
        <v>1363.8799999999999</v>
      </c>
      <c r="G104" s="648"/>
      <c r="I104" s="876"/>
    </row>
    <row r="105" spans="1:9">
      <c r="A105" s="611">
        <f t="shared" si="3"/>
        <v>40</v>
      </c>
      <c r="B105" s="257" t="s">
        <v>597</v>
      </c>
      <c r="C105" s="874" t="s">
        <v>1729</v>
      </c>
      <c r="D105" s="874">
        <v>850</v>
      </c>
      <c r="F105" s="611">
        <f t="shared" si="5"/>
        <v>850</v>
      </c>
      <c r="G105" s="648"/>
      <c r="I105" s="876"/>
    </row>
    <row r="106" spans="1:9">
      <c r="A106" s="611">
        <f t="shared" si="3"/>
        <v>41</v>
      </c>
      <c r="B106" s="257" t="s">
        <v>597</v>
      </c>
      <c r="C106" s="874" t="s">
        <v>1730</v>
      </c>
      <c r="D106" s="874">
        <v>350</v>
      </c>
      <c r="F106" s="611">
        <f t="shared" si="5"/>
        <v>350</v>
      </c>
      <c r="G106" s="648"/>
      <c r="I106" s="876"/>
    </row>
    <row r="107" spans="1:9">
      <c r="A107" s="611">
        <f t="shared" si="3"/>
        <v>42</v>
      </c>
      <c r="B107" s="257" t="s">
        <v>597</v>
      </c>
      <c r="C107" s="874" t="s">
        <v>1731</v>
      </c>
      <c r="D107" s="874">
        <v>398</v>
      </c>
      <c r="F107" s="611">
        <f t="shared" si="5"/>
        <v>398</v>
      </c>
      <c r="G107" s="648"/>
      <c r="I107" s="876"/>
    </row>
    <row r="108" spans="1:9">
      <c r="A108" s="611">
        <f t="shared" si="3"/>
        <v>43</v>
      </c>
      <c r="B108" s="257" t="s">
        <v>597</v>
      </c>
      <c r="C108" s="874" t="s">
        <v>1732</v>
      </c>
      <c r="D108" s="874">
        <v>284.61</v>
      </c>
      <c r="F108" s="611">
        <f t="shared" si="5"/>
        <v>284.61</v>
      </c>
      <c r="G108" s="648"/>
      <c r="I108" s="876"/>
    </row>
    <row r="109" spans="1:9">
      <c r="A109" s="611">
        <f t="shared" si="3"/>
        <v>44</v>
      </c>
      <c r="B109" s="257" t="s">
        <v>597</v>
      </c>
      <c r="C109" s="874" t="s">
        <v>1733</v>
      </c>
      <c r="D109" s="874">
        <v>50.88</v>
      </c>
      <c r="F109" s="611">
        <f t="shared" si="5"/>
        <v>50.88</v>
      </c>
      <c r="G109" s="648"/>
      <c r="I109" s="876"/>
    </row>
    <row r="110" spans="1:9">
      <c r="A110" s="611">
        <f t="shared" si="3"/>
        <v>45</v>
      </c>
      <c r="B110" s="257" t="s">
        <v>597</v>
      </c>
      <c r="C110" s="874" t="s">
        <v>1734</v>
      </c>
      <c r="D110" s="874">
        <v>40</v>
      </c>
      <c r="F110" s="611">
        <f t="shared" si="5"/>
        <v>40</v>
      </c>
      <c r="G110" s="648"/>
      <c r="I110" s="876"/>
    </row>
    <row r="111" spans="1:9">
      <c r="A111" s="611">
        <f t="shared" si="3"/>
        <v>46</v>
      </c>
      <c r="B111" s="257" t="s">
        <v>597</v>
      </c>
      <c r="C111" s="874" t="s">
        <v>1735</v>
      </c>
      <c r="D111" s="874">
        <v>10</v>
      </c>
      <c r="F111" s="611">
        <f t="shared" si="5"/>
        <v>10</v>
      </c>
      <c r="G111" s="648"/>
      <c r="I111" s="876"/>
    </row>
    <row r="112" spans="1:9">
      <c r="A112" s="256"/>
      <c r="B112" s="257"/>
      <c r="C112" s="252"/>
      <c r="D112" s="256"/>
      <c r="E112" s="259"/>
      <c r="F112" s="256"/>
      <c r="G112" s="649"/>
      <c r="H112" s="259"/>
    </row>
    <row r="113" spans="3:9" ht="15.75">
      <c r="C113" s="260" t="s">
        <v>1237</v>
      </c>
      <c r="D113" s="875">
        <f>SUM(D66:D112)</f>
        <v>186798.44999999998</v>
      </c>
      <c r="F113" s="875">
        <f>SUM(F66:F112)</f>
        <v>186798.44999999998</v>
      </c>
      <c r="H113" s="875">
        <f>SUM(H66:H112)</f>
        <v>-12589.627419999999</v>
      </c>
      <c r="I113" s="875">
        <f>SUM(I66:I112)</f>
        <v>169066.45258000001</v>
      </c>
    </row>
    <row r="117" spans="3:9">
      <c r="C117" t="s">
        <v>492</v>
      </c>
    </row>
    <row r="118" spans="3:9">
      <c r="C118" t="s">
        <v>1675</v>
      </c>
    </row>
  </sheetData>
  <mergeCells count="5">
    <mergeCell ref="A5:I5"/>
    <mergeCell ref="A1:I1"/>
    <mergeCell ref="A2:I2"/>
    <mergeCell ref="A3:I3"/>
    <mergeCell ref="A4:I4"/>
  </mergeCells>
  <phoneticPr fontId="20" type="noConversion"/>
  <printOptions horizontalCentered="1"/>
  <pageMargins left="0.75" right="0.75" top="0.5" bottom="0.56999999999999995" header="0.5" footer="0.23"/>
  <pageSetup scale="66" fitToHeight="53" orientation="landscape" verticalDpi="300" r:id="rId1"/>
  <headerFooter alignWithMargins="0">
    <oddFooter>&amp;RSchedule &amp;A
Page &amp;P of &amp;N</oddFooter>
  </headerFooter>
  <rowBreaks count="1" manualBreakCount="1">
    <brk id="62" max="6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92D050"/>
  </sheetPr>
  <dimension ref="A1:F42"/>
  <sheetViews>
    <sheetView view="pageBreakPreview" zoomScale="70" zoomScaleNormal="100" zoomScaleSheetLayoutView="70" workbookViewId="0">
      <selection activeCell="C15" sqref="C15"/>
    </sheetView>
  </sheetViews>
  <sheetFormatPr defaultRowHeight="15"/>
  <cols>
    <col min="2" max="2" width="11.44140625" customWidth="1"/>
    <col min="3" max="3" width="43.109375" customWidth="1"/>
    <col min="4" max="4" width="11" bestFit="1" customWidth="1"/>
    <col min="5" max="5" width="12.77734375" customWidth="1"/>
    <col min="6" max="6" width="15.77734375" customWidth="1"/>
  </cols>
  <sheetData>
    <row r="1" spans="1:6" ht="15.75">
      <c r="A1" s="1088" t="str">
        <f>'Table of Contents'!A1:C1</f>
        <v>Atmos Energy Corporation, Kentucky/Mid-States Division</v>
      </c>
      <c r="B1" s="1088"/>
      <c r="C1" s="1088"/>
      <c r="D1" s="1088"/>
      <c r="E1" s="1088"/>
      <c r="F1" s="1088"/>
    </row>
    <row r="2" spans="1:6" ht="15.75">
      <c r="A2" s="1088" t="str">
        <f>'Table of Contents'!A2:C2</f>
        <v xml:space="preserve">Kentucky Jurisdiction Case No. 2024-00276 </v>
      </c>
      <c r="B2" s="1088"/>
      <c r="C2" s="1088"/>
      <c r="D2" s="1088"/>
      <c r="E2" s="1088"/>
      <c r="F2" s="1088"/>
    </row>
    <row r="3" spans="1:6" ht="15.75">
      <c r="A3" s="1061" t="s">
        <v>1296</v>
      </c>
      <c r="B3" s="1061"/>
      <c r="C3" s="1061"/>
      <c r="D3" s="1061"/>
      <c r="E3" s="1061"/>
      <c r="F3" s="1061"/>
    </row>
    <row r="4" spans="1:6" ht="15.75">
      <c r="A4" s="1088" t="str">
        <f>'Table of Contents'!A3:C3</f>
        <v>Base Period: Twelve Months Ended December 31, 2024</v>
      </c>
      <c r="B4" s="1088"/>
      <c r="C4" s="1088"/>
      <c r="D4" s="1088"/>
      <c r="E4" s="1088"/>
      <c r="F4" s="1088"/>
    </row>
    <row r="5" spans="1:6" ht="15.75">
      <c r="A5" s="1088" t="str">
        <f>'Table of Contents'!A4:C4</f>
        <v>Forecasted Test Period:  Twelve Months Ended March 31, 2026</v>
      </c>
      <c r="B5" s="1088"/>
      <c r="C5" s="1088"/>
      <c r="D5" s="1088"/>
      <c r="E5" s="1088"/>
      <c r="F5" s="1088"/>
    </row>
    <row r="6" spans="1:6" ht="15.75">
      <c r="A6" s="12"/>
      <c r="B6" s="12"/>
    </row>
    <row r="7" spans="1:6" ht="15.75">
      <c r="A7" s="48" t="s">
        <v>773</v>
      </c>
      <c r="B7" s="12"/>
      <c r="C7" s="12"/>
      <c r="F7" s="84" t="s">
        <v>1323</v>
      </c>
    </row>
    <row r="8" spans="1:6" ht="15.75">
      <c r="A8" s="48" t="s">
        <v>1081</v>
      </c>
      <c r="B8" s="12"/>
      <c r="C8" s="12"/>
      <c r="F8" s="314" t="s">
        <v>137</v>
      </c>
    </row>
    <row r="9" spans="1:6" ht="15.75">
      <c r="A9" s="48" t="s">
        <v>405</v>
      </c>
      <c r="B9" s="12"/>
      <c r="C9" s="12"/>
      <c r="F9" s="718" t="str">
        <f>F.1!I9</f>
        <v>Witness: Waller</v>
      </c>
    </row>
    <row r="10" spans="1:6">
      <c r="A10" s="68" t="s">
        <v>88</v>
      </c>
      <c r="B10" s="67"/>
      <c r="C10" s="67"/>
      <c r="D10" s="68" t="s">
        <v>91</v>
      </c>
      <c r="E10" s="67"/>
      <c r="F10" s="67"/>
    </row>
    <row r="11" spans="1:6">
      <c r="A11" s="58" t="s">
        <v>94</v>
      </c>
      <c r="B11" s="58" t="s">
        <v>169</v>
      </c>
      <c r="C11" s="58" t="s">
        <v>85</v>
      </c>
      <c r="D11" s="58" t="s">
        <v>566</v>
      </c>
      <c r="E11" s="54" t="s">
        <v>171</v>
      </c>
      <c r="F11" s="58" t="s">
        <v>567</v>
      </c>
    </row>
    <row r="13" spans="1:6" ht="15.75">
      <c r="C13" s="261" t="s">
        <v>775</v>
      </c>
    </row>
    <row r="15" spans="1:6">
      <c r="A15" s="60">
        <v>1</v>
      </c>
      <c r="B15" s="257" t="s">
        <v>597</v>
      </c>
      <c r="C15" s="877" t="s">
        <v>1736</v>
      </c>
      <c r="D15" s="878">
        <v>289340.68</v>
      </c>
      <c r="E15" s="257" t="s">
        <v>1020</v>
      </c>
      <c r="F15" s="745">
        <f>D15</f>
        <v>289340.68</v>
      </c>
    </row>
    <row r="16" spans="1:6">
      <c r="A16" s="359">
        <f t="shared" ref="A16:A22" si="0">A15+1</f>
        <v>2</v>
      </c>
      <c r="B16" s="257" t="s">
        <v>597</v>
      </c>
      <c r="C16" s="877" t="s">
        <v>1737</v>
      </c>
      <c r="D16" s="878">
        <v>60017.67</v>
      </c>
      <c r="E16" s="250"/>
      <c r="F16" s="611">
        <f t="shared" ref="F16:F23" si="1">D16</f>
        <v>60017.67</v>
      </c>
    </row>
    <row r="17" spans="1:6">
      <c r="A17" s="359">
        <f>A16+1</f>
        <v>3</v>
      </c>
      <c r="B17" s="257" t="s">
        <v>597</v>
      </c>
      <c r="C17" s="877" t="s">
        <v>1738</v>
      </c>
      <c r="D17" s="878">
        <v>21000</v>
      </c>
      <c r="E17" s="250"/>
      <c r="F17" s="611">
        <f t="shared" si="1"/>
        <v>21000</v>
      </c>
    </row>
    <row r="18" spans="1:6">
      <c r="A18" s="359">
        <f t="shared" si="0"/>
        <v>4</v>
      </c>
      <c r="B18" s="257" t="s">
        <v>597</v>
      </c>
      <c r="C18" s="877" t="s">
        <v>1739</v>
      </c>
      <c r="D18" s="878">
        <v>15750</v>
      </c>
      <c r="E18" s="250"/>
      <c r="F18" s="611">
        <f t="shared" si="1"/>
        <v>15750</v>
      </c>
    </row>
    <row r="19" spans="1:6">
      <c r="A19" s="359">
        <f t="shared" si="0"/>
        <v>5</v>
      </c>
      <c r="B19" s="257" t="s">
        <v>597</v>
      </c>
      <c r="C19" s="877" t="s">
        <v>1740</v>
      </c>
      <c r="D19" s="878">
        <v>3500</v>
      </c>
      <c r="E19" s="250"/>
      <c r="F19" s="611">
        <f t="shared" si="1"/>
        <v>3500</v>
      </c>
    </row>
    <row r="20" spans="1:6">
      <c r="A20" s="359">
        <f t="shared" si="0"/>
        <v>6</v>
      </c>
      <c r="B20" s="257" t="s">
        <v>597</v>
      </c>
      <c r="C20" s="877" t="s">
        <v>1741</v>
      </c>
      <c r="D20" s="878">
        <v>13630</v>
      </c>
      <c r="E20" s="250"/>
      <c r="F20" s="611">
        <f t="shared" si="1"/>
        <v>13630</v>
      </c>
    </row>
    <row r="21" spans="1:6">
      <c r="A21" s="359">
        <f t="shared" si="0"/>
        <v>7</v>
      </c>
      <c r="B21" s="257" t="s">
        <v>597</v>
      </c>
      <c r="C21" s="877" t="s">
        <v>1742</v>
      </c>
      <c r="D21" s="878">
        <v>1500</v>
      </c>
      <c r="E21" s="250"/>
      <c r="F21" s="611">
        <f t="shared" si="1"/>
        <v>1500</v>
      </c>
    </row>
    <row r="22" spans="1:6">
      <c r="A22" s="359">
        <f t="shared" si="0"/>
        <v>8</v>
      </c>
      <c r="B22" s="257" t="s">
        <v>597</v>
      </c>
      <c r="C22" s="877" t="s">
        <v>1743</v>
      </c>
      <c r="D22" s="878">
        <v>631940.19999999995</v>
      </c>
      <c r="E22" s="250"/>
      <c r="F22" s="611">
        <f t="shared" si="1"/>
        <v>631940.19999999995</v>
      </c>
    </row>
    <row r="23" spans="1:6">
      <c r="B23" s="250"/>
      <c r="C23" s="257" t="s">
        <v>91</v>
      </c>
      <c r="D23" s="879">
        <f>SUM(D15:D22,0)</f>
        <v>1036678.5499999999</v>
      </c>
      <c r="E23" s="250"/>
      <c r="F23" s="880">
        <f t="shared" si="1"/>
        <v>1036678.5499999999</v>
      </c>
    </row>
    <row r="25" spans="1:6" ht="15.75">
      <c r="B25" s="250"/>
      <c r="C25" s="261" t="s">
        <v>1297</v>
      </c>
      <c r="D25" s="256"/>
      <c r="E25" s="250"/>
      <c r="F25" s="256"/>
    </row>
    <row r="26" spans="1:6">
      <c r="B26" s="250"/>
      <c r="C26" s="257"/>
      <c r="D26" s="256"/>
      <c r="E26" s="250"/>
      <c r="F26" s="256"/>
    </row>
    <row r="27" spans="1:6">
      <c r="A27" s="60">
        <v>1</v>
      </c>
      <c r="B27" s="257" t="s">
        <v>597</v>
      </c>
      <c r="C27" s="877" t="s">
        <v>1736</v>
      </c>
      <c r="D27" s="724">
        <v>289340.68</v>
      </c>
      <c r="E27" s="257" t="s">
        <v>1020</v>
      </c>
      <c r="F27" s="745">
        <f t="shared" ref="F27:F35" si="2">D27</f>
        <v>289340.68</v>
      </c>
    </row>
    <row r="28" spans="1:6">
      <c r="A28" s="359">
        <f t="shared" ref="A28:A34" si="3">A27+1</f>
        <v>2</v>
      </c>
      <c r="B28" s="257" t="s">
        <v>597</v>
      </c>
      <c r="C28" s="877" t="s">
        <v>1737</v>
      </c>
      <c r="D28" s="724">
        <v>60017.67</v>
      </c>
      <c r="E28" s="250"/>
      <c r="F28" s="611">
        <f t="shared" si="2"/>
        <v>60017.67</v>
      </c>
    </row>
    <row r="29" spans="1:6">
      <c r="A29" s="359">
        <f t="shared" si="3"/>
        <v>3</v>
      </c>
      <c r="B29" s="257" t="s">
        <v>597</v>
      </c>
      <c r="C29" s="877" t="s">
        <v>1738</v>
      </c>
      <c r="D29" s="724">
        <v>21000</v>
      </c>
      <c r="E29" s="250"/>
      <c r="F29" s="611">
        <f t="shared" si="2"/>
        <v>21000</v>
      </c>
    </row>
    <row r="30" spans="1:6">
      <c r="A30" s="359">
        <f t="shared" si="3"/>
        <v>4</v>
      </c>
      <c r="B30" s="257" t="s">
        <v>597</v>
      </c>
      <c r="C30" s="877" t="s">
        <v>1739</v>
      </c>
      <c r="D30" s="724">
        <v>15750</v>
      </c>
      <c r="E30" s="250"/>
      <c r="F30" s="611">
        <f t="shared" si="2"/>
        <v>15750</v>
      </c>
    </row>
    <row r="31" spans="1:6">
      <c r="A31" s="359">
        <f t="shared" si="3"/>
        <v>5</v>
      </c>
      <c r="B31" s="257" t="s">
        <v>597</v>
      </c>
      <c r="C31" s="877" t="s">
        <v>1740</v>
      </c>
      <c r="D31" s="724">
        <v>3500</v>
      </c>
      <c r="E31" s="250"/>
      <c r="F31" s="611">
        <f t="shared" si="2"/>
        <v>3500</v>
      </c>
    </row>
    <row r="32" spans="1:6">
      <c r="A32" s="359">
        <f t="shared" si="3"/>
        <v>6</v>
      </c>
      <c r="B32" s="257" t="s">
        <v>597</v>
      </c>
      <c r="C32" s="877" t="s">
        <v>1741</v>
      </c>
      <c r="D32" s="724">
        <v>13630</v>
      </c>
      <c r="E32" s="250"/>
      <c r="F32" s="611">
        <f t="shared" si="2"/>
        <v>13630</v>
      </c>
    </row>
    <row r="33" spans="1:6">
      <c r="A33" s="359">
        <f t="shared" si="3"/>
        <v>7</v>
      </c>
      <c r="B33" s="257" t="s">
        <v>597</v>
      </c>
      <c r="C33" s="877" t="s">
        <v>1742</v>
      </c>
      <c r="D33" s="724">
        <v>1500</v>
      </c>
      <c r="E33" s="250"/>
      <c r="F33" s="611">
        <f t="shared" si="2"/>
        <v>1500</v>
      </c>
    </row>
    <row r="34" spans="1:6">
      <c r="A34" s="359">
        <f t="shared" si="3"/>
        <v>8</v>
      </c>
      <c r="B34" s="257" t="s">
        <v>597</v>
      </c>
      <c r="C34" s="877" t="s">
        <v>1743</v>
      </c>
      <c r="D34" s="724">
        <v>631940.19999999995</v>
      </c>
      <c r="E34" s="250"/>
      <c r="F34" s="611">
        <f t="shared" si="2"/>
        <v>631940.19999999995</v>
      </c>
    </row>
    <row r="35" spans="1:6">
      <c r="B35" s="250"/>
      <c r="C35" s="257" t="s">
        <v>91</v>
      </c>
      <c r="D35" s="880">
        <f>SUM(D27:D34,0)</f>
        <v>1036678.5499999999</v>
      </c>
      <c r="E35" s="250"/>
      <c r="F35" s="880">
        <f t="shared" si="2"/>
        <v>1036678.5499999999</v>
      </c>
    </row>
    <row r="37" spans="1:6" ht="15.75">
      <c r="A37" s="12"/>
    </row>
    <row r="38" spans="1:6">
      <c r="B38" s="45" t="s">
        <v>388</v>
      </c>
    </row>
    <row r="41" spans="1:6">
      <c r="B41" t="s">
        <v>492</v>
      </c>
    </row>
    <row r="42" spans="1:6">
      <c r="B42" t="s">
        <v>1676</v>
      </c>
    </row>
  </sheetData>
  <mergeCells count="5">
    <mergeCell ref="A5:F5"/>
    <mergeCell ref="A1:F1"/>
    <mergeCell ref="A2:F2"/>
    <mergeCell ref="A3:F3"/>
    <mergeCell ref="A4:F4"/>
  </mergeCells>
  <phoneticPr fontId="20" type="noConversion"/>
  <printOptions horizontalCentered="1"/>
  <pageMargins left="1" right="1" top="1" bottom="1" header="1" footer="0.5"/>
  <pageSetup scale="80" orientation="landscape" verticalDpi="300" r:id="rId1"/>
  <headerFooter alignWithMargins="0">
    <oddFooter>&amp;RSchedule &amp;A
Page &amp;P of &amp;N</oddFooter>
  </headerFooter>
  <rowBreaks count="3" manualBreakCount="3">
    <brk id="59" max="6" man="1"/>
    <brk id="101" max="6" man="1"/>
    <brk id="141" max="6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92D050"/>
    <pageSetUpPr fitToPage="1"/>
  </sheetPr>
  <dimension ref="A1:L40"/>
  <sheetViews>
    <sheetView view="pageBreakPreview" zoomScale="80" zoomScaleNormal="100" zoomScaleSheetLayoutView="80" workbookViewId="0">
      <selection activeCell="B40" sqref="B40"/>
    </sheetView>
  </sheetViews>
  <sheetFormatPr defaultColWidth="8.88671875" defaultRowHeight="15"/>
  <cols>
    <col min="1" max="1" width="4.44140625" customWidth="1"/>
    <col min="2" max="2" width="10.6640625" customWidth="1"/>
    <col min="3" max="3" width="35.77734375" customWidth="1"/>
    <col min="4" max="6" width="12" bestFit="1" customWidth="1"/>
    <col min="7" max="7" width="4.5546875" customWidth="1"/>
    <col min="8" max="8" width="11" bestFit="1" customWidth="1"/>
    <col min="9" max="9" width="11.6640625" customWidth="1"/>
    <col min="10" max="10" width="12" bestFit="1" customWidth="1"/>
  </cols>
  <sheetData>
    <row r="1" spans="1:12" ht="15.75">
      <c r="A1" s="1089" t="str">
        <f>'Table of Contents'!A1:C1</f>
        <v>Atmos Energy Corporation, Kentucky/Mid-States Division</v>
      </c>
      <c r="B1" s="1089"/>
      <c r="C1" s="1089"/>
      <c r="D1" s="1089"/>
      <c r="E1" s="1089"/>
      <c r="F1" s="1089"/>
      <c r="G1" s="1089"/>
      <c r="H1" s="1089"/>
      <c r="I1" s="1089"/>
      <c r="J1" s="1089"/>
    </row>
    <row r="2" spans="1:12" ht="15.75">
      <c r="A2" s="1089" t="str">
        <f>'Table of Contents'!A2:C2</f>
        <v xml:space="preserve">Kentucky Jurisdiction Case No. 2024-00276 </v>
      </c>
      <c r="B2" s="1089"/>
      <c r="C2" s="1089"/>
      <c r="D2" s="1089"/>
      <c r="E2" s="1089"/>
      <c r="F2" s="1089"/>
      <c r="G2" s="1089"/>
      <c r="H2" s="1089"/>
      <c r="I2" s="1089"/>
      <c r="J2" s="1089"/>
    </row>
    <row r="3" spans="1:12" ht="15.75">
      <c r="A3" s="1058" t="s">
        <v>583</v>
      </c>
      <c r="B3" s="1058"/>
      <c r="C3" s="1058"/>
      <c r="D3" s="1058"/>
      <c r="E3" s="1058"/>
      <c r="F3" s="1058"/>
      <c r="G3" s="1058"/>
      <c r="H3" s="1058"/>
      <c r="I3" s="1058"/>
      <c r="J3" s="1058"/>
    </row>
    <row r="4" spans="1:12" ht="15.75">
      <c r="A4" s="1089" t="str">
        <f>'Table of Contents'!A3:C3</f>
        <v>Base Period: Twelve Months Ended December 31, 2024</v>
      </c>
      <c r="B4" s="1089"/>
      <c r="C4" s="1089"/>
      <c r="D4" s="1089"/>
      <c r="E4" s="1089"/>
      <c r="F4" s="1089"/>
      <c r="G4" s="1089"/>
      <c r="H4" s="1089"/>
      <c r="I4" s="1089"/>
      <c r="J4" s="1089"/>
    </row>
    <row r="5" spans="1:12" ht="15.75">
      <c r="A5" s="1089" t="str">
        <f>'Table of Contents'!A4:C4</f>
        <v>Forecasted Test Period:  Twelve Months Ended March 31, 2026</v>
      </c>
      <c r="B5" s="1089"/>
      <c r="C5" s="1089"/>
      <c r="D5" s="1089"/>
      <c r="E5" s="1089"/>
      <c r="F5" s="1089"/>
      <c r="G5" s="1089"/>
      <c r="H5" s="1089"/>
      <c r="I5" s="1089"/>
      <c r="J5" s="1089"/>
    </row>
    <row r="6" spans="1:12" ht="15.75">
      <c r="B6" s="12"/>
    </row>
    <row r="7" spans="1:12" ht="15.75">
      <c r="B7" s="12"/>
      <c r="C7" s="12"/>
    </row>
    <row r="8" spans="1:12" ht="15.75">
      <c r="A8" s="48" t="s">
        <v>1650</v>
      </c>
      <c r="B8" s="12"/>
      <c r="J8" s="84" t="s">
        <v>1323</v>
      </c>
    </row>
    <row r="9" spans="1:12" ht="15.75">
      <c r="A9" s="48" t="s">
        <v>1084</v>
      </c>
      <c r="B9" s="12"/>
      <c r="J9" s="314" t="s">
        <v>458</v>
      </c>
    </row>
    <row r="10" spans="1:12" ht="15.75">
      <c r="A10" s="48" t="s">
        <v>356</v>
      </c>
      <c r="B10" s="12"/>
      <c r="I10" s="36"/>
      <c r="J10" s="718" t="str">
        <f>F.1!$I$9</f>
        <v>Witness: Waller</v>
      </c>
    </row>
    <row r="11" spans="1:12" ht="15.75">
      <c r="A11" s="67"/>
      <c r="B11" s="67"/>
      <c r="C11" s="67"/>
      <c r="D11" s="315"/>
      <c r="E11" s="316" t="s">
        <v>315</v>
      </c>
      <c r="F11" s="317"/>
      <c r="G11" s="67"/>
      <c r="H11" s="315"/>
      <c r="I11" s="316" t="s">
        <v>316</v>
      </c>
      <c r="J11" s="317"/>
    </row>
    <row r="12" spans="1:12">
      <c r="A12" s="57" t="s">
        <v>88</v>
      </c>
      <c r="C12" s="57"/>
      <c r="D12" s="57" t="s">
        <v>91</v>
      </c>
      <c r="E12" s="37" t="s">
        <v>10</v>
      </c>
      <c r="F12" s="37" t="s">
        <v>11</v>
      </c>
      <c r="H12" s="57" t="s">
        <v>91</v>
      </c>
      <c r="I12" s="37" t="s">
        <v>10</v>
      </c>
      <c r="J12" s="37" t="s">
        <v>11</v>
      </c>
    </row>
    <row r="13" spans="1:12">
      <c r="A13" s="58" t="s">
        <v>94</v>
      </c>
      <c r="B13" s="58" t="s">
        <v>169</v>
      </c>
      <c r="C13" s="58" t="s">
        <v>455</v>
      </c>
      <c r="D13" s="58" t="s">
        <v>566</v>
      </c>
      <c r="E13" s="41" t="s">
        <v>92</v>
      </c>
      <c r="F13" s="58" t="s">
        <v>99</v>
      </c>
      <c r="G13" s="55"/>
      <c r="H13" s="58" t="s">
        <v>566</v>
      </c>
      <c r="I13" s="41" t="s">
        <v>92</v>
      </c>
      <c r="J13" s="58" t="s">
        <v>99</v>
      </c>
    </row>
    <row r="15" spans="1:12" ht="15.75">
      <c r="A15" s="57">
        <v>1</v>
      </c>
      <c r="C15" s="295" t="s">
        <v>187</v>
      </c>
      <c r="D15" s="375"/>
      <c r="E15" s="57"/>
      <c r="F15" s="60"/>
      <c r="H15" s="490"/>
      <c r="I15" s="57"/>
      <c r="J15" s="60"/>
    </row>
    <row r="16" spans="1:12">
      <c r="A16" s="37">
        <v>2</v>
      </c>
      <c r="B16" s="53" t="s">
        <v>597</v>
      </c>
      <c r="C16" s="181" t="s">
        <v>900</v>
      </c>
      <c r="D16" s="189">
        <v>0</v>
      </c>
      <c r="E16" s="337">
        <v>1</v>
      </c>
      <c r="F16" s="713">
        <f>D16*E16</f>
        <v>0</v>
      </c>
      <c r="H16" s="189">
        <v>0</v>
      </c>
      <c r="I16" s="714">
        <f>E16</f>
        <v>1</v>
      </c>
      <c r="J16" s="713">
        <f>H16*I16</f>
        <v>0</v>
      </c>
      <c r="L16" s="491"/>
    </row>
    <row r="17" spans="1:12">
      <c r="A17" s="57">
        <v>3</v>
      </c>
      <c r="B17" s="53"/>
      <c r="C17" s="181"/>
      <c r="D17" s="240"/>
      <c r="E17" s="492"/>
      <c r="F17" s="240"/>
      <c r="H17" s="240"/>
      <c r="I17" s="337"/>
      <c r="J17" s="240"/>
    </row>
    <row r="18" spans="1:12">
      <c r="A18" s="37">
        <v>4</v>
      </c>
      <c r="B18" s="53"/>
      <c r="C18" s="224" t="s">
        <v>91</v>
      </c>
      <c r="D18" s="713">
        <f>SUM(D16:D17)</f>
        <v>0</v>
      </c>
      <c r="F18" s="713">
        <f>SUM(F16:F17)</f>
        <v>0</v>
      </c>
      <c r="H18" s="713">
        <f>SUM(H16:H17)</f>
        <v>0</v>
      </c>
      <c r="I18" s="337"/>
      <c r="J18" s="713">
        <f>SUM(J16:J17)</f>
        <v>0</v>
      </c>
    </row>
    <row r="19" spans="1:12">
      <c r="A19" s="57">
        <v>5</v>
      </c>
      <c r="D19" s="221"/>
      <c r="F19" s="221"/>
      <c r="H19" s="221"/>
      <c r="I19" s="337"/>
      <c r="J19" s="221"/>
    </row>
    <row r="20" spans="1:12" ht="15.75">
      <c r="A20" s="37">
        <v>6</v>
      </c>
      <c r="C20" s="295" t="s">
        <v>73</v>
      </c>
      <c r="D20" s="493"/>
      <c r="E20" s="494"/>
      <c r="F20" s="495"/>
      <c r="G20" s="496"/>
      <c r="H20" s="493"/>
      <c r="I20" s="337"/>
      <c r="J20" s="495"/>
    </row>
    <row r="21" spans="1:12">
      <c r="A21" s="57">
        <v>7</v>
      </c>
      <c r="B21" s="53" t="s">
        <v>597</v>
      </c>
      <c r="C21" s="181" t="s">
        <v>900</v>
      </c>
      <c r="D21" s="706">
        <v>41717.329172174876</v>
      </c>
      <c r="E21" s="881">
        <f>Allocation!$I$17</f>
        <v>0.49969999999999998</v>
      </c>
      <c r="F21" s="713">
        <f>D21*E21</f>
        <v>20846.149387335783</v>
      </c>
      <c r="H21" s="706">
        <v>31754.06832696213</v>
      </c>
      <c r="I21" s="881">
        <f>Allocation!$E$17</f>
        <v>0.48899999999999999</v>
      </c>
      <c r="J21" s="713">
        <f>H21*I21</f>
        <v>15527.73941188448</v>
      </c>
      <c r="L21" s="375"/>
    </row>
    <row r="22" spans="1:12">
      <c r="A22" s="37">
        <v>8</v>
      </c>
      <c r="B22" s="53"/>
      <c r="C22" s="181"/>
      <c r="D22" s="240"/>
      <c r="E22" s="187"/>
      <c r="F22" s="240"/>
      <c r="H22" s="240"/>
      <c r="I22" s="497"/>
      <c r="J22" s="240"/>
    </row>
    <row r="23" spans="1:12">
      <c r="A23" s="57">
        <v>9</v>
      </c>
      <c r="B23" s="53"/>
      <c r="C23" s="224" t="s">
        <v>91</v>
      </c>
      <c r="D23" s="713">
        <f>SUM(D21:D22)</f>
        <v>41717.329172174876</v>
      </c>
      <c r="F23" s="713">
        <f>SUM(F21:F22)</f>
        <v>20846.149387335783</v>
      </c>
      <c r="H23" s="713">
        <f>SUM(H21:H22)</f>
        <v>31754.06832696213</v>
      </c>
      <c r="I23" s="497"/>
      <c r="J23" s="713">
        <f>SUM(J21:J22)</f>
        <v>15527.73941188448</v>
      </c>
    </row>
    <row r="24" spans="1:12">
      <c r="A24" s="37">
        <v>10</v>
      </c>
      <c r="D24" s="293"/>
      <c r="H24" s="293"/>
      <c r="I24" s="497"/>
    </row>
    <row r="25" spans="1:12" ht="15.75">
      <c r="A25" s="57">
        <v>11</v>
      </c>
      <c r="C25" s="295" t="s">
        <v>71</v>
      </c>
      <c r="D25" s="293"/>
      <c r="H25" s="293"/>
      <c r="I25" s="497"/>
    </row>
    <row r="26" spans="1:12">
      <c r="A26" s="37">
        <v>12</v>
      </c>
      <c r="B26" s="53" t="s">
        <v>597</v>
      </c>
      <c r="C26" s="181" t="s">
        <v>900</v>
      </c>
      <c r="D26" s="706">
        <v>102941.54871783193</v>
      </c>
      <c r="E26" s="881">
        <f>Allocation!$I$14</f>
        <v>4.5622610000000001E-2</v>
      </c>
      <c r="F26" s="713">
        <f>D26*E26</f>
        <v>4696.4621299496466</v>
      </c>
      <c r="H26" s="706">
        <v>86825.463343008494</v>
      </c>
      <c r="I26" s="881">
        <f>Allocation!$E$14</f>
        <v>4.3520999999999997E-2</v>
      </c>
      <c r="J26" s="713">
        <f>H26*I26</f>
        <v>3778.7309901510725</v>
      </c>
      <c r="L26" s="375"/>
    </row>
    <row r="27" spans="1:12">
      <c r="A27" s="57">
        <v>13</v>
      </c>
      <c r="B27" s="53"/>
      <c r="C27" s="181"/>
      <c r="D27" s="240"/>
      <c r="E27" s="187"/>
      <c r="F27" s="240"/>
      <c r="H27" s="240"/>
      <c r="I27" s="497"/>
      <c r="J27" s="240"/>
    </row>
    <row r="28" spans="1:12">
      <c r="A28" s="37">
        <v>14</v>
      </c>
      <c r="B28" s="53"/>
      <c r="C28" s="224" t="s">
        <v>91</v>
      </c>
      <c r="D28" s="713">
        <f>SUM(D26:D27)</f>
        <v>102941.54871783193</v>
      </c>
      <c r="E28" s="187"/>
      <c r="F28" s="713">
        <f>SUM(F26:F27)</f>
        <v>4696.4621299496466</v>
      </c>
      <c r="H28" s="713">
        <f>SUM(H26:H27)</f>
        <v>86825.463343008494</v>
      </c>
      <c r="I28" s="497"/>
      <c r="J28" s="713">
        <f>SUM(J26:J27)</f>
        <v>3778.7309901510725</v>
      </c>
    </row>
    <row r="29" spans="1:12">
      <c r="A29" s="57">
        <v>15</v>
      </c>
      <c r="D29" s="293"/>
      <c r="E29" s="187"/>
      <c r="H29" s="293"/>
      <c r="I29" s="497"/>
    </row>
    <row r="30" spans="1:12" ht="15.75">
      <c r="A30" s="37">
        <v>16</v>
      </c>
      <c r="C30" s="295" t="s">
        <v>72</v>
      </c>
      <c r="D30" s="293"/>
      <c r="E30" s="187"/>
      <c r="H30" s="293"/>
      <c r="I30" s="497"/>
    </row>
    <row r="31" spans="1:12">
      <c r="A31" s="57">
        <v>17</v>
      </c>
      <c r="B31" s="53" t="s">
        <v>597</v>
      </c>
      <c r="C31" s="181" t="s">
        <v>900</v>
      </c>
      <c r="D31" s="706">
        <v>22952.112955741686</v>
      </c>
      <c r="E31" s="881">
        <f>Allocation!$I$15</f>
        <v>5.3911399999999998E-2</v>
      </c>
      <c r="F31" s="713">
        <f>D31*E31</f>
        <v>1237.3805424021723</v>
      </c>
      <c r="H31" s="706">
        <v>32716.554794932825</v>
      </c>
      <c r="I31" s="881">
        <f>Allocation!$E$15</f>
        <v>5.3105399999999997E-2</v>
      </c>
      <c r="J31" s="713">
        <f>H31*I31</f>
        <v>1737.4257290068256</v>
      </c>
      <c r="L31" s="375"/>
    </row>
    <row r="32" spans="1:12">
      <c r="A32" s="37">
        <v>18</v>
      </c>
      <c r="B32" s="53"/>
      <c r="C32" s="181"/>
      <c r="D32" s="240"/>
      <c r="E32" s="187"/>
      <c r="F32" s="240"/>
      <c r="H32" s="240"/>
      <c r="I32" s="497"/>
      <c r="J32" s="240"/>
    </row>
    <row r="33" spans="1:10">
      <c r="A33" s="57">
        <v>19</v>
      </c>
      <c r="B33" s="53"/>
      <c r="C33" s="224" t="s">
        <v>91</v>
      </c>
      <c r="D33" s="713">
        <f>SUM(D31:D32)</f>
        <v>22952.112955741686</v>
      </c>
      <c r="F33" s="713">
        <f>SUM(F31:F32)</f>
        <v>1237.3805424021723</v>
      </c>
      <c r="H33" s="713">
        <f>SUM(H31:H32)</f>
        <v>32716.554794932825</v>
      </c>
      <c r="J33" s="713">
        <f>SUM(J31:J32)</f>
        <v>1737.4257290068256</v>
      </c>
    </row>
    <row r="34" spans="1:10">
      <c r="A34" s="37">
        <v>20</v>
      </c>
      <c r="D34" s="293"/>
    </row>
    <row r="35" spans="1:10" ht="16.5" thickBot="1">
      <c r="A35" s="57">
        <v>21</v>
      </c>
      <c r="C35" s="59" t="s">
        <v>901</v>
      </c>
      <c r="D35" s="715">
        <f>D33+D28+D23+D18</f>
        <v>167610.99084574849</v>
      </c>
      <c r="F35" s="715">
        <f>F33+F28+F23+F18</f>
        <v>26779.992059687604</v>
      </c>
      <c r="H35" s="715">
        <f>H33+H28+H23+H18</f>
        <v>151296.08646490343</v>
      </c>
      <c r="J35" s="715">
        <f>J33+J28+J23+J18</f>
        <v>21043.896131042377</v>
      </c>
    </row>
    <row r="36" spans="1:10" ht="16.5" thickTop="1">
      <c r="A36" s="57"/>
      <c r="C36" s="59"/>
      <c r="D36" s="186"/>
      <c r="F36" s="186"/>
      <c r="H36" s="186"/>
      <c r="J36" s="186"/>
    </row>
    <row r="37" spans="1:10" ht="15.75">
      <c r="C37" s="59"/>
    </row>
    <row r="39" spans="1:10">
      <c r="B39" t="s">
        <v>492</v>
      </c>
    </row>
    <row r="40" spans="1:10">
      <c r="B40" t="s">
        <v>1671</v>
      </c>
    </row>
  </sheetData>
  <mergeCells count="5">
    <mergeCell ref="A5:J5"/>
    <mergeCell ref="A1:J1"/>
    <mergeCell ref="A2:J2"/>
    <mergeCell ref="A3:J3"/>
    <mergeCell ref="A4:J4"/>
  </mergeCells>
  <phoneticPr fontId="20" type="noConversion"/>
  <pageMargins left="0.75" right="0.75" top="1" bottom="1" header="0.5" footer="0.5"/>
  <pageSetup scale="80" orientation="landscape" verticalDpi="300" r:id="rId1"/>
  <headerFooter alignWithMargins="0">
    <oddFooter>&amp;RSchedule &amp;A
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92D050"/>
    <pageSetUpPr fitToPage="1"/>
  </sheetPr>
  <dimension ref="A1:N79"/>
  <sheetViews>
    <sheetView view="pageBreakPreview" topLeftCell="A50" zoomScale="80" zoomScaleNormal="100" zoomScaleSheetLayoutView="80" workbookViewId="0">
      <selection activeCell="C15" sqref="C15"/>
    </sheetView>
  </sheetViews>
  <sheetFormatPr defaultColWidth="8.88671875" defaultRowHeight="15"/>
  <cols>
    <col min="1" max="1" width="4.109375" customWidth="1"/>
    <col min="3" max="3" width="50.6640625" customWidth="1"/>
    <col min="4" max="4" width="9.5546875" bestFit="1" customWidth="1"/>
    <col min="5" max="5" width="11.33203125" bestFit="1" customWidth="1"/>
    <col min="6" max="6" width="9.5546875" bestFit="1" customWidth="1"/>
    <col min="7" max="7" width="3.109375" customWidth="1"/>
    <col min="8" max="8" width="9.5546875" customWidth="1"/>
    <col min="9" max="9" width="11.21875" customWidth="1"/>
    <col min="10" max="10" width="9.5546875" customWidth="1"/>
  </cols>
  <sheetData>
    <row r="1" spans="1:10" ht="15.75">
      <c r="A1" s="1088" t="str">
        <f>'Table of Contents'!A1:C1</f>
        <v>Atmos Energy Corporation, Kentucky/Mid-States Division</v>
      </c>
      <c r="B1" s="1088"/>
      <c r="C1" s="1088"/>
      <c r="D1" s="1088"/>
      <c r="E1" s="1088"/>
      <c r="F1" s="1088"/>
      <c r="G1" s="1088"/>
      <c r="H1" s="1088"/>
      <c r="I1" s="1088"/>
      <c r="J1" s="1088"/>
    </row>
    <row r="2" spans="1:10" ht="15.75">
      <c r="A2" s="1088" t="str">
        <f>'Table of Contents'!A2:C2</f>
        <v xml:space="preserve">Kentucky Jurisdiction Case No. 2024-00276 </v>
      </c>
      <c r="B2" s="1088"/>
      <c r="C2" s="1088"/>
      <c r="D2" s="1088"/>
      <c r="E2" s="1088"/>
      <c r="F2" s="1088"/>
      <c r="G2" s="1088"/>
      <c r="H2" s="1088"/>
      <c r="I2" s="1088"/>
      <c r="J2" s="1088"/>
    </row>
    <row r="3" spans="1:10" ht="15.75">
      <c r="A3" s="1061" t="s">
        <v>1018</v>
      </c>
      <c r="B3" s="1061"/>
      <c r="C3" s="1061"/>
      <c r="D3" s="1061"/>
      <c r="E3" s="1061"/>
      <c r="F3" s="1061"/>
      <c r="G3" s="1061"/>
      <c r="H3" s="1061"/>
      <c r="I3" s="1061"/>
      <c r="J3" s="1061"/>
    </row>
    <row r="4" spans="1:10" ht="15.75">
      <c r="A4" s="1088" t="str">
        <f>'Table of Contents'!A3:C3</f>
        <v>Base Period: Twelve Months Ended December 31, 2024</v>
      </c>
      <c r="B4" s="1088"/>
      <c r="C4" s="1088"/>
      <c r="D4" s="1088"/>
      <c r="E4" s="1088"/>
      <c r="F4" s="1088"/>
      <c r="G4" s="1088"/>
      <c r="H4" s="1088"/>
      <c r="I4" s="1088"/>
      <c r="J4" s="1088"/>
    </row>
    <row r="5" spans="1:10" ht="15.75">
      <c r="A5" s="1088" t="str">
        <f>'Table of Contents'!A4:C4</f>
        <v>Forecasted Test Period:  Twelve Months Ended March 31, 2026</v>
      </c>
      <c r="B5" s="1088"/>
      <c r="C5" s="1088"/>
      <c r="D5" s="1088"/>
      <c r="E5" s="1088"/>
      <c r="F5" s="1088"/>
      <c r="G5" s="1088"/>
      <c r="H5" s="1088"/>
      <c r="I5" s="1088"/>
      <c r="J5" s="1088"/>
    </row>
    <row r="6" spans="1:10" ht="15.75">
      <c r="B6" s="12"/>
      <c r="D6" s="578"/>
    </row>
    <row r="7" spans="1:10" ht="15.75">
      <c r="B7" s="12"/>
      <c r="C7" s="12"/>
    </row>
    <row r="8" spans="1:10" ht="15.75">
      <c r="A8" s="48" t="s">
        <v>192</v>
      </c>
      <c r="B8" s="12"/>
      <c r="J8" s="84" t="s">
        <v>1323</v>
      </c>
    </row>
    <row r="9" spans="1:10" ht="15.75">
      <c r="A9" s="48" t="s">
        <v>1083</v>
      </c>
      <c r="B9" s="12"/>
      <c r="J9" s="314" t="s">
        <v>131</v>
      </c>
    </row>
    <row r="10" spans="1:10" ht="15.75">
      <c r="A10" s="48" t="s">
        <v>356</v>
      </c>
      <c r="B10" s="12"/>
      <c r="J10" s="718" t="str">
        <f>F.1!$I$9</f>
        <v>Witness: Waller</v>
      </c>
    </row>
    <row r="11" spans="1:10" ht="15.75">
      <c r="A11" s="67"/>
      <c r="B11" s="67"/>
      <c r="C11" s="67"/>
      <c r="D11" s="315"/>
      <c r="E11" s="316" t="s">
        <v>315</v>
      </c>
      <c r="F11" s="317"/>
      <c r="G11" s="67"/>
      <c r="H11" s="315"/>
      <c r="I11" s="316" t="s">
        <v>316</v>
      </c>
      <c r="J11" s="317"/>
    </row>
    <row r="12" spans="1:10">
      <c r="A12" s="57" t="s">
        <v>88</v>
      </c>
      <c r="B12" s="57" t="s">
        <v>329</v>
      </c>
      <c r="D12" s="57" t="s">
        <v>91</v>
      </c>
      <c r="E12" s="37" t="s">
        <v>10</v>
      </c>
      <c r="F12" s="37" t="s">
        <v>11</v>
      </c>
      <c r="H12" s="57" t="s">
        <v>91</v>
      </c>
      <c r="I12" s="389" t="str">
        <f>E12</f>
        <v xml:space="preserve">Kentucky </v>
      </c>
      <c r="J12" s="37" t="s">
        <v>945</v>
      </c>
    </row>
    <row r="13" spans="1:10">
      <c r="A13" s="58" t="s">
        <v>94</v>
      </c>
      <c r="B13" s="58" t="s">
        <v>132</v>
      </c>
      <c r="C13" s="58" t="s">
        <v>455</v>
      </c>
      <c r="D13" s="58" t="s">
        <v>566</v>
      </c>
      <c r="E13" s="41" t="s">
        <v>92</v>
      </c>
      <c r="F13" s="58" t="s">
        <v>99</v>
      </c>
      <c r="G13" s="55"/>
      <c r="H13" s="58" t="s">
        <v>566</v>
      </c>
      <c r="I13" s="882" t="str">
        <f>E13</f>
        <v>Jurisdictional</v>
      </c>
      <c r="J13" s="58" t="s">
        <v>99</v>
      </c>
    </row>
    <row r="15" spans="1:10" ht="15.75">
      <c r="A15" s="53">
        <v>1</v>
      </c>
      <c r="C15" s="579" t="s">
        <v>541</v>
      </c>
    </row>
    <row r="16" spans="1:10">
      <c r="A16" s="53">
        <v>2</v>
      </c>
      <c r="E16" s="494"/>
      <c r="I16" s="494"/>
    </row>
    <row r="17" spans="1:14" ht="15.75">
      <c r="A17" s="53">
        <v>3</v>
      </c>
      <c r="C17" s="295" t="s">
        <v>187</v>
      </c>
      <c r="E17" s="494"/>
      <c r="I17" s="494"/>
    </row>
    <row r="18" spans="1:14">
      <c r="A18" s="53">
        <v>4</v>
      </c>
      <c r="B18" s="57">
        <v>907</v>
      </c>
      <c r="C18" s="580" t="s">
        <v>941</v>
      </c>
      <c r="D18" s="320">
        <v>0</v>
      </c>
      <c r="E18" s="581">
        <v>1</v>
      </c>
      <c r="F18" s="691">
        <f>D18*E18</f>
        <v>0</v>
      </c>
      <c r="H18" s="320">
        <v>0</v>
      </c>
      <c r="I18" s="883">
        <f>E18</f>
        <v>1</v>
      </c>
      <c r="J18" s="691">
        <f>H18*I18</f>
        <v>0</v>
      </c>
    </row>
    <row r="19" spans="1:14">
      <c r="A19" s="53">
        <v>5</v>
      </c>
      <c r="B19" s="57">
        <v>908</v>
      </c>
      <c r="C19" s="580" t="s">
        <v>457</v>
      </c>
      <c r="D19" s="346">
        <v>0</v>
      </c>
      <c r="E19" s="708">
        <f>$E$18</f>
        <v>1</v>
      </c>
      <c r="F19" s="794">
        <f>D19*E19</f>
        <v>0</v>
      </c>
      <c r="H19" s="346">
        <v>0</v>
      </c>
      <c r="I19" s="883">
        <f>E19</f>
        <v>1</v>
      </c>
      <c r="J19" s="794">
        <f>H19*I19</f>
        <v>0</v>
      </c>
    </row>
    <row r="20" spans="1:14">
      <c r="A20" s="53">
        <v>6</v>
      </c>
      <c r="B20" s="57">
        <v>909</v>
      </c>
      <c r="C20" s="580" t="s">
        <v>942</v>
      </c>
      <c r="D20" s="700">
        <f>'C.2.2 B 09'!P95</f>
        <v>198663.24391409353</v>
      </c>
      <c r="E20" s="708">
        <f>$E$18</f>
        <v>1</v>
      </c>
      <c r="F20" s="794">
        <f>D20*E20</f>
        <v>198663.24391409353</v>
      </c>
      <c r="H20" s="700">
        <f>'C.2.2-F 09'!P95</f>
        <v>214460.81968819545</v>
      </c>
      <c r="I20" s="883">
        <f>E20</f>
        <v>1</v>
      </c>
      <c r="J20" s="794">
        <f>H20*I20</f>
        <v>214460.81968819545</v>
      </c>
    </row>
    <row r="21" spans="1:14">
      <c r="A21" s="53">
        <v>7</v>
      </c>
      <c r="B21" s="582">
        <v>910</v>
      </c>
      <c r="C21" s="580" t="s">
        <v>943</v>
      </c>
      <c r="D21" s="347">
        <v>0</v>
      </c>
      <c r="E21" s="708">
        <f>$E$18</f>
        <v>1</v>
      </c>
      <c r="F21" s="884">
        <f>D21*E21</f>
        <v>0</v>
      </c>
      <c r="H21" s="347">
        <v>0</v>
      </c>
      <c r="I21" s="883">
        <f>E21</f>
        <v>1</v>
      </c>
      <c r="J21" s="884">
        <f>H21*I21</f>
        <v>0</v>
      </c>
    </row>
    <row r="22" spans="1:14">
      <c r="A22" s="53">
        <v>8</v>
      </c>
      <c r="B22" s="37"/>
      <c r="C22" s="165" t="s">
        <v>91</v>
      </c>
      <c r="D22" s="707">
        <f>SUM(D18:D21)</f>
        <v>198663.24391409353</v>
      </c>
      <c r="E22" s="494"/>
      <c r="F22" s="707">
        <f>SUM(F18:F21)</f>
        <v>198663.24391409353</v>
      </c>
      <c r="H22" s="707">
        <f>SUM(H18:H21)</f>
        <v>214460.81968819545</v>
      </c>
      <c r="I22" s="494"/>
      <c r="J22" s="707">
        <f>SUM(J18:J21)</f>
        <v>214460.81968819545</v>
      </c>
    </row>
    <row r="23" spans="1:14">
      <c r="A23" s="53">
        <v>9</v>
      </c>
      <c r="B23" s="37"/>
      <c r="C23" s="165"/>
      <c r="D23" s="338"/>
      <c r="E23" s="494"/>
      <c r="F23" s="338"/>
      <c r="H23" s="338"/>
      <c r="I23" s="494"/>
      <c r="J23" s="338"/>
    </row>
    <row r="24" spans="1:14" ht="15.75">
      <c r="A24" s="53">
        <v>10</v>
      </c>
      <c r="B24" s="37"/>
      <c r="C24" s="295" t="s">
        <v>73</v>
      </c>
      <c r="D24" s="338"/>
      <c r="E24" s="494"/>
      <c r="F24" s="338"/>
      <c r="H24" s="338"/>
      <c r="I24" s="494"/>
      <c r="J24" s="338"/>
    </row>
    <row r="25" spans="1:14">
      <c r="A25" s="53">
        <v>11</v>
      </c>
      <c r="B25" s="57">
        <v>907</v>
      </c>
      <c r="C25" s="580" t="s">
        <v>941</v>
      </c>
      <c r="D25" s="320">
        <v>0</v>
      </c>
      <c r="E25" s="885">
        <f>Allocation!$I$17</f>
        <v>0.49969999999999998</v>
      </c>
      <c r="F25" s="707">
        <f>D25*E25</f>
        <v>0</v>
      </c>
      <c r="H25" s="320">
        <v>0</v>
      </c>
      <c r="I25" s="885">
        <f>Allocation!$E$17</f>
        <v>0.48899999999999999</v>
      </c>
      <c r="J25" s="707">
        <f>H25*I25</f>
        <v>0</v>
      </c>
    </row>
    <row r="26" spans="1:14">
      <c r="A26" s="53">
        <v>12</v>
      </c>
      <c r="B26" s="57">
        <v>908</v>
      </c>
      <c r="C26" s="580" t="s">
        <v>457</v>
      </c>
      <c r="D26" s="346">
        <v>0</v>
      </c>
      <c r="E26" s="360">
        <f>$E$25</f>
        <v>0.49969999999999998</v>
      </c>
      <c r="F26" s="345">
        <f>D26*E26</f>
        <v>0</v>
      </c>
      <c r="H26" s="346">
        <v>0</v>
      </c>
      <c r="I26" s="751">
        <f>I25</f>
        <v>0.48899999999999999</v>
      </c>
      <c r="J26" s="345">
        <f>H26*I26</f>
        <v>0</v>
      </c>
      <c r="N26" s="51"/>
    </row>
    <row r="27" spans="1:14">
      <c r="A27" s="53">
        <v>13</v>
      </c>
      <c r="B27" s="57">
        <v>909</v>
      </c>
      <c r="C27" s="580" t="s">
        <v>942</v>
      </c>
      <c r="D27" s="346">
        <v>0</v>
      </c>
      <c r="E27" s="360">
        <f>$E$25</f>
        <v>0.49969999999999998</v>
      </c>
      <c r="F27" s="345">
        <f>D27*E27</f>
        <v>0</v>
      </c>
      <c r="H27" s="346">
        <v>0</v>
      </c>
      <c r="I27" s="751">
        <f>I25</f>
        <v>0.48899999999999999</v>
      </c>
      <c r="J27" s="345">
        <f>H27*I27</f>
        <v>0</v>
      </c>
    </row>
    <row r="28" spans="1:14">
      <c r="A28" s="53">
        <v>14</v>
      </c>
      <c r="B28" s="582">
        <v>910</v>
      </c>
      <c r="C28" s="580" t="s">
        <v>943</v>
      </c>
      <c r="D28" s="705">
        <f>'C.2.2 B 91'!P44</f>
        <v>3330.578146678652</v>
      </c>
      <c r="E28" s="360">
        <f>$E$25</f>
        <v>0.49969999999999998</v>
      </c>
      <c r="F28" s="711">
        <f>D28*E28</f>
        <v>1664.2898998953224</v>
      </c>
      <c r="H28" s="705">
        <f>'C.2.2-F 91'!P44</f>
        <v>4407.1668543472815</v>
      </c>
      <c r="I28" s="751">
        <f>I25</f>
        <v>0.48899999999999999</v>
      </c>
      <c r="J28" s="711">
        <f>H28*I28</f>
        <v>2155.1045917758206</v>
      </c>
    </row>
    <row r="29" spans="1:14">
      <c r="A29" s="53">
        <v>15</v>
      </c>
      <c r="B29" s="37"/>
      <c r="C29" s="165" t="s">
        <v>91</v>
      </c>
      <c r="D29" s="707">
        <f>SUM(D25:D28)</f>
        <v>3330.578146678652</v>
      </c>
      <c r="E29" s="494"/>
      <c r="F29" s="707">
        <f>SUM(F25:F28)</f>
        <v>1664.2898998953224</v>
      </c>
      <c r="H29" s="707">
        <f>SUM(H25:H28)</f>
        <v>4407.1668543472815</v>
      </c>
      <c r="I29" s="494"/>
      <c r="J29" s="707">
        <f>SUM(J25:J28)</f>
        <v>2155.1045917758206</v>
      </c>
    </row>
    <row r="30" spans="1:14">
      <c r="A30" s="53">
        <v>16</v>
      </c>
      <c r="B30" s="37"/>
      <c r="C30" s="165"/>
      <c r="D30" s="338"/>
      <c r="E30" s="494"/>
      <c r="F30" s="338"/>
      <c r="H30" s="338"/>
      <c r="I30" s="494"/>
      <c r="J30" s="338"/>
    </row>
    <row r="31" spans="1:14" ht="15.75">
      <c r="A31" s="53">
        <v>17</v>
      </c>
      <c r="B31" s="37"/>
      <c r="C31" s="295" t="s">
        <v>71</v>
      </c>
      <c r="D31" s="338"/>
      <c r="F31" s="338"/>
      <c r="H31" s="338"/>
      <c r="I31" s="583"/>
      <c r="J31" s="338"/>
    </row>
    <row r="32" spans="1:14">
      <c r="A32" s="53">
        <v>18</v>
      </c>
      <c r="B32" s="57">
        <v>907</v>
      </c>
      <c r="C32" s="580" t="s">
        <v>941</v>
      </c>
      <c r="D32" s="320">
        <v>0</v>
      </c>
      <c r="E32" s="684">
        <f>Allocation!$I$14</f>
        <v>4.5622610000000001E-2</v>
      </c>
      <c r="F32" s="707">
        <f>D32*E32</f>
        <v>0</v>
      </c>
      <c r="H32" s="320">
        <v>0</v>
      </c>
      <c r="I32" s="684">
        <f>Allocation!$E$14</f>
        <v>4.3520999999999997E-2</v>
      </c>
      <c r="J32" s="707">
        <f>H32*I32</f>
        <v>0</v>
      </c>
    </row>
    <row r="33" spans="1:10">
      <c r="A33" s="53">
        <v>19</v>
      </c>
      <c r="B33" s="57">
        <v>908</v>
      </c>
      <c r="C33" s="580" t="s">
        <v>457</v>
      </c>
      <c r="D33" s="346">
        <v>0</v>
      </c>
      <c r="E33" s="360">
        <f>$E$32</f>
        <v>4.5622610000000001E-2</v>
      </c>
      <c r="F33" s="345">
        <f>D33*E33</f>
        <v>0</v>
      </c>
      <c r="H33" s="346">
        <v>0</v>
      </c>
      <c r="I33" s="751">
        <f>I32</f>
        <v>4.3520999999999997E-2</v>
      </c>
      <c r="J33" s="345">
        <f>H33*I33</f>
        <v>0</v>
      </c>
    </row>
    <row r="34" spans="1:10">
      <c r="A34" s="53">
        <v>20</v>
      </c>
      <c r="B34" s="57">
        <v>909</v>
      </c>
      <c r="C34" s="580" t="s">
        <v>942</v>
      </c>
      <c r="D34" s="346">
        <v>0</v>
      </c>
      <c r="E34" s="360">
        <f>$E$32</f>
        <v>4.5622610000000001E-2</v>
      </c>
      <c r="F34" s="345">
        <f>D34*E34</f>
        <v>0</v>
      </c>
      <c r="H34" s="346">
        <v>0</v>
      </c>
      <c r="I34" s="751">
        <f>I32</f>
        <v>4.3520999999999997E-2</v>
      </c>
      <c r="J34" s="345">
        <f>H34*I34</f>
        <v>0</v>
      </c>
    </row>
    <row r="35" spans="1:10">
      <c r="A35" s="53">
        <v>21</v>
      </c>
      <c r="B35" s="582">
        <v>910</v>
      </c>
      <c r="C35" s="580" t="s">
        <v>943</v>
      </c>
      <c r="D35" s="705">
        <f>'C.2.2 B 02'!P28</f>
        <v>0</v>
      </c>
      <c r="E35" s="360">
        <f>$E$32</f>
        <v>4.5622610000000001E-2</v>
      </c>
      <c r="F35" s="711">
        <f>D35*E35</f>
        <v>0</v>
      </c>
      <c r="H35" s="705">
        <f>'C.2.2-F 02'!P28:P28</f>
        <v>0</v>
      </c>
      <c r="I35" s="751">
        <f>I32</f>
        <v>4.3520999999999997E-2</v>
      </c>
      <c r="J35" s="711">
        <f>H35*I35</f>
        <v>0</v>
      </c>
    </row>
    <row r="36" spans="1:10">
      <c r="A36" s="53">
        <v>22</v>
      </c>
      <c r="B36" s="57"/>
      <c r="C36" s="165" t="s">
        <v>91</v>
      </c>
      <c r="D36" s="707">
        <f>SUM(D32:D35)</f>
        <v>0</v>
      </c>
      <c r="E36" s="494"/>
      <c r="F36" s="707">
        <f>SUM(F32:F35)</f>
        <v>0</v>
      </c>
      <c r="H36" s="707">
        <f>SUM(H32:H35)</f>
        <v>0</v>
      </c>
      <c r="I36" s="494"/>
      <c r="J36" s="707">
        <f>SUM(J32:J35)</f>
        <v>0</v>
      </c>
    </row>
    <row r="37" spans="1:10">
      <c r="A37" s="53">
        <v>23</v>
      </c>
      <c r="B37" s="57"/>
      <c r="C37" s="165"/>
      <c r="D37" s="338"/>
      <c r="E37" s="494"/>
      <c r="F37" s="338"/>
      <c r="H37" s="338"/>
      <c r="I37" s="494"/>
      <c r="J37" s="338"/>
    </row>
    <row r="38" spans="1:10" ht="15.75">
      <c r="A38" s="53">
        <v>24</v>
      </c>
      <c r="B38" s="37"/>
      <c r="C38" s="295" t="s">
        <v>72</v>
      </c>
      <c r="D38" s="338"/>
      <c r="F38" s="338"/>
      <c r="H38" s="338"/>
      <c r="I38" s="583"/>
      <c r="J38" s="338"/>
    </row>
    <row r="39" spans="1:10">
      <c r="A39" s="53">
        <v>25</v>
      </c>
      <c r="B39" s="57">
        <v>907</v>
      </c>
      <c r="C39" s="580" t="s">
        <v>941</v>
      </c>
      <c r="D39" s="320">
        <v>0</v>
      </c>
      <c r="E39" s="684">
        <f>Allocation!$I$15</f>
        <v>5.3911399999999998E-2</v>
      </c>
      <c r="F39" s="707">
        <f>D39*E39</f>
        <v>0</v>
      </c>
      <c r="H39" s="320">
        <v>0</v>
      </c>
      <c r="I39" s="684">
        <f>Allocation!$E$15</f>
        <v>5.3105399999999997E-2</v>
      </c>
      <c r="J39" s="707">
        <f>H39*I39</f>
        <v>0</v>
      </c>
    </row>
    <row r="40" spans="1:10">
      <c r="A40" s="53">
        <v>26</v>
      </c>
      <c r="B40" s="57">
        <v>908</v>
      </c>
      <c r="C40" s="580" t="s">
        <v>457</v>
      </c>
      <c r="D40" s="346">
        <v>0</v>
      </c>
      <c r="E40" s="360">
        <f>$E$39</f>
        <v>5.3911399999999998E-2</v>
      </c>
      <c r="F40" s="345">
        <f>D40*E40</f>
        <v>0</v>
      </c>
      <c r="H40" s="346">
        <v>0</v>
      </c>
      <c r="I40" s="751">
        <f>I39</f>
        <v>5.3105399999999997E-2</v>
      </c>
      <c r="J40" s="345">
        <f>H40*I40</f>
        <v>0</v>
      </c>
    </row>
    <row r="41" spans="1:10">
      <c r="A41" s="53">
        <v>27</v>
      </c>
      <c r="B41" s="57">
        <v>909</v>
      </c>
      <c r="C41" s="580" t="s">
        <v>942</v>
      </c>
      <c r="D41" s="346">
        <v>0</v>
      </c>
      <c r="E41" s="360">
        <f>$E$39</f>
        <v>5.3911399999999998E-2</v>
      </c>
      <c r="F41" s="345">
        <f>D41*E41</f>
        <v>0</v>
      </c>
      <c r="H41" s="346">
        <v>0</v>
      </c>
      <c r="I41" s="751">
        <f>I39</f>
        <v>5.3105399999999997E-2</v>
      </c>
      <c r="J41" s="345">
        <f>H41*I41</f>
        <v>0</v>
      </c>
    </row>
    <row r="42" spans="1:10">
      <c r="A42" s="53">
        <v>28</v>
      </c>
      <c r="B42" s="582">
        <v>910</v>
      </c>
      <c r="C42" s="580" t="s">
        <v>943</v>
      </c>
      <c r="D42" s="346">
        <v>0</v>
      </c>
      <c r="E42" s="360">
        <f>$E$39</f>
        <v>5.3911399999999998E-2</v>
      </c>
      <c r="F42" s="711">
        <f>D42*E42</f>
        <v>0</v>
      </c>
      <c r="H42" s="346">
        <v>0</v>
      </c>
      <c r="I42" s="751">
        <f>I39</f>
        <v>5.3105399999999997E-2</v>
      </c>
      <c r="J42" s="711">
        <f>H42*I42</f>
        <v>0</v>
      </c>
    </row>
    <row r="43" spans="1:10">
      <c r="A43" s="53">
        <v>29</v>
      </c>
      <c r="B43" s="57"/>
      <c r="C43" s="165" t="s">
        <v>91</v>
      </c>
      <c r="D43" s="707">
        <f>SUM(D39:D42)</f>
        <v>0</v>
      </c>
      <c r="E43" s="494"/>
      <c r="F43" s="707">
        <f>SUM(F39:F42)</f>
        <v>0</v>
      </c>
      <c r="H43" s="707">
        <f>SUM(H39:H42)</f>
        <v>0</v>
      </c>
      <c r="I43" s="494"/>
      <c r="J43" s="707">
        <f>SUM(J39:J42)</f>
        <v>0</v>
      </c>
    </row>
    <row r="44" spans="1:10">
      <c r="A44" s="53">
        <v>30</v>
      </c>
      <c r="B44" s="57"/>
      <c r="C44" s="165"/>
      <c r="D44" s="338"/>
      <c r="E44" s="494"/>
      <c r="F44" s="338"/>
      <c r="H44" s="338"/>
      <c r="I44" s="494"/>
      <c r="J44" s="338"/>
    </row>
    <row r="45" spans="1:10" ht="15.75">
      <c r="A45" s="53">
        <v>31</v>
      </c>
      <c r="B45" s="57"/>
      <c r="C45" s="579" t="s">
        <v>468</v>
      </c>
      <c r="D45" s="338"/>
      <c r="E45" s="494"/>
      <c r="F45" s="338"/>
      <c r="H45" s="338"/>
      <c r="I45" s="494"/>
      <c r="J45" s="338"/>
    </row>
    <row r="46" spans="1:10">
      <c r="A46" s="53">
        <v>32</v>
      </c>
      <c r="B46" s="37"/>
      <c r="D46" s="338"/>
      <c r="F46" s="338" t="s">
        <v>314</v>
      </c>
      <c r="H46" s="338"/>
      <c r="J46" s="338" t="s">
        <v>314</v>
      </c>
    </row>
    <row r="47" spans="1:10" ht="15.75">
      <c r="A47" s="53">
        <v>33</v>
      </c>
      <c r="B47" s="37"/>
      <c r="C47" s="295" t="s">
        <v>187</v>
      </c>
      <c r="D47" s="338"/>
      <c r="F47" s="338"/>
      <c r="H47" s="338"/>
      <c r="J47" s="338"/>
    </row>
    <row r="48" spans="1:10">
      <c r="A48" s="53">
        <v>34</v>
      </c>
      <c r="B48" s="57">
        <v>911</v>
      </c>
      <c r="C48" s="580" t="s">
        <v>456</v>
      </c>
      <c r="D48" s="688">
        <f>'C.2.2 B 09'!P97</f>
        <v>143620.08528522789</v>
      </c>
      <c r="E48" s="708">
        <f>E18</f>
        <v>1</v>
      </c>
      <c r="F48" s="691">
        <f>D48*E48</f>
        <v>143620.08528522789</v>
      </c>
      <c r="H48" s="688">
        <f>'C.2.2-F 09'!P97</f>
        <v>158548.88574016749</v>
      </c>
      <c r="I48" s="708">
        <f>I18</f>
        <v>1</v>
      </c>
      <c r="J48" s="691">
        <f>H48</f>
        <v>158548.88574016749</v>
      </c>
    </row>
    <row r="49" spans="1:10">
      <c r="A49" s="53">
        <v>35</v>
      </c>
      <c r="B49" s="57">
        <v>912</v>
      </c>
      <c r="C49" s="580" t="s">
        <v>944</v>
      </c>
      <c r="D49" s="700">
        <f>'C.2.2 B 09'!P98</f>
        <v>88415.442438524173</v>
      </c>
      <c r="E49" s="708">
        <f t="shared" ref="E49:E72" si="0">E19</f>
        <v>1</v>
      </c>
      <c r="F49" s="794">
        <f>D49*E49</f>
        <v>88415.442438524173</v>
      </c>
      <c r="H49" s="700">
        <f>'C.2.2-F 09'!P98</f>
        <v>77078.365467993717</v>
      </c>
      <c r="I49" s="708">
        <f t="shared" ref="I49:I72" si="1">I19</f>
        <v>1</v>
      </c>
      <c r="J49" s="794">
        <f>H49</f>
        <v>77078.365467993717</v>
      </c>
    </row>
    <row r="50" spans="1:10">
      <c r="A50" s="53">
        <v>36</v>
      </c>
      <c r="B50" s="57">
        <v>913</v>
      </c>
      <c r="C50" s="580" t="s">
        <v>920</v>
      </c>
      <c r="D50" s="700">
        <f>'C.2.2 B 09'!P99</f>
        <v>69534.95513628998</v>
      </c>
      <c r="E50" s="708">
        <f t="shared" si="0"/>
        <v>1</v>
      </c>
      <c r="F50" s="794">
        <f>D50*E50</f>
        <v>69534.95513628998</v>
      </c>
      <c r="H50" s="700">
        <f>'C.2.2-F 09'!P99</f>
        <v>36821.435045165337</v>
      </c>
      <c r="I50" s="708">
        <f t="shared" si="1"/>
        <v>1</v>
      </c>
      <c r="J50" s="794">
        <f>H50</f>
        <v>36821.435045165337</v>
      </c>
    </row>
    <row r="51" spans="1:10">
      <c r="A51" s="53">
        <v>37</v>
      </c>
      <c r="B51" s="582">
        <v>916</v>
      </c>
      <c r="C51" s="580" t="s">
        <v>921</v>
      </c>
      <c r="D51" s="347">
        <v>0</v>
      </c>
      <c r="E51" s="708">
        <f t="shared" si="0"/>
        <v>1</v>
      </c>
      <c r="F51" s="884">
        <f>D51*E51</f>
        <v>0</v>
      </c>
      <c r="H51" s="347">
        <v>0</v>
      </c>
      <c r="I51" s="708">
        <f t="shared" si="1"/>
        <v>1</v>
      </c>
      <c r="J51" s="884">
        <f>H51</f>
        <v>0</v>
      </c>
    </row>
    <row r="52" spans="1:10">
      <c r="A52" s="53">
        <v>38</v>
      </c>
      <c r="B52" s="37"/>
      <c r="C52" s="446" t="s">
        <v>91</v>
      </c>
      <c r="D52" s="707">
        <f>SUM(D48:D51)</f>
        <v>301570.48286004207</v>
      </c>
      <c r="E52" s="195"/>
      <c r="F52" s="707">
        <f>SUM(F48:F51)</f>
        <v>301570.48286004207</v>
      </c>
      <c r="H52" s="707">
        <f>SUM(H48:H51)</f>
        <v>272448.68625332654</v>
      </c>
      <c r="I52" s="195"/>
      <c r="J52" s="707">
        <f>SUM(J48:J51)</f>
        <v>272448.68625332654</v>
      </c>
    </row>
    <row r="53" spans="1:10">
      <c r="A53" s="53">
        <v>39</v>
      </c>
      <c r="B53" s="37"/>
      <c r="E53" s="195"/>
      <c r="I53" s="195"/>
    </row>
    <row r="54" spans="1:10" ht="15.75">
      <c r="A54" s="53">
        <v>40</v>
      </c>
      <c r="B54" s="37"/>
      <c r="C54" s="295" t="s">
        <v>73</v>
      </c>
      <c r="E54" s="195"/>
      <c r="I54" s="195"/>
    </row>
    <row r="55" spans="1:10">
      <c r="A55" s="53">
        <v>41</v>
      </c>
      <c r="B55" s="57">
        <v>911</v>
      </c>
      <c r="C55" s="580" t="s">
        <v>456</v>
      </c>
      <c r="D55" s="687">
        <f>'C.2.2 B 91'!P45</f>
        <v>185486.6048567298</v>
      </c>
      <c r="E55" s="360">
        <f t="shared" si="0"/>
        <v>0.49969999999999998</v>
      </c>
      <c r="F55" s="707">
        <f>D55*E55</f>
        <v>92687.656446907873</v>
      </c>
      <c r="H55" s="687">
        <f>'C.2.2-F 91'!P45</f>
        <v>201806.73187616532</v>
      </c>
      <c r="I55" s="360">
        <f t="shared" si="1"/>
        <v>0.48899999999999999</v>
      </c>
      <c r="J55" s="707">
        <f>H55*I55</f>
        <v>98683.491887444834</v>
      </c>
    </row>
    <row r="56" spans="1:10">
      <c r="A56" s="53">
        <v>42</v>
      </c>
      <c r="B56" s="57">
        <v>912</v>
      </c>
      <c r="C56" s="580" t="s">
        <v>944</v>
      </c>
      <c r="D56" s="694">
        <f>'C.2.2 B 91'!P46</f>
        <v>8474.5603273732831</v>
      </c>
      <c r="E56" s="360">
        <f t="shared" si="0"/>
        <v>0.49969999999999998</v>
      </c>
      <c r="F56" s="329">
        <f>D56*E56</f>
        <v>4234.7377955884294</v>
      </c>
      <c r="H56" s="694">
        <f>'C.2.2-F 91'!P46</f>
        <v>11213.909337996251</v>
      </c>
      <c r="I56" s="360">
        <f t="shared" si="1"/>
        <v>0.48899999999999999</v>
      </c>
      <c r="J56" s="329">
        <f>H56*I56</f>
        <v>5483.6016662801667</v>
      </c>
    </row>
    <row r="57" spans="1:10">
      <c r="A57" s="53">
        <v>43</v>
      </c>
      <c r="B57" s="57">
        <v>913</v>
      </c>
      <c r="C57" s="580" t="s">
        <v>920</v>
      </c>
      <c r="D57" s="694">
        <f>'C.2.2 B 91'!P47</f>
        <v>192.43772515161015</v>
      </c>
      <c r="E57" s="360">
        <f t="shared" si="0"/>
        <v>0.49969999999999998</v>
      </c>
      <c r="F57" s="329">
        <f>D57*E57</f>
        <v>96.161131258259587</v>
      </c>
      <c r="H57" s="694">
        <f>'C.2.2-F 91'!P47</f>
        <v>254.64202503698144</v>
      </c>
      <c r="I57" s="360">
        <f t="shared" si="1"/>
        <v>0.48899999999999999</v>
      </c>
      <c r="J57" s="329">
        <f>H57*I57</f>
        <v>124.51995024308393</v>
      </c>
    </row>
    <row r="58" spans="1:10">
      <c r="A58" s="53">
        <v>44</v>
      </c>
      <c r="B58" s="582">
        <v>916</v>
      </c>
      <c r="C58" s="580" t="s">
        <v>921</v>
      </c>
      <c r="D58" s="36">
        <v>0</v>
      </c>
      <c r="E58" s="360">
        <f t="shared" si="0"/>
        <v>0.49969999999999998</v>
      </c>
      <c r="F58" s="698">
        <f>D58*E58</f>
        <v>0</v>
      </c>
      <c r="H58" s="36">
        <v>0</v>
      </c>
      <c r="I58" s="360">
        <f t="shared" si="1"/>
        <v>0.48899999999999999</v>
      </c>
      <c r="J58" s="698">
        <f>H58*I58</f>
        <v>0</v>
      </c>
    </row>
    <row r="59" spans="1:10">
      <c r="A59" s="53">
        <v>45</v>
      </c>
      <c r="B59" s="37"/>
      <c r="C59" s="446" t="s">
        <v>91</v>
      </c>
      <c r="D59" s="707">
        <f>SUM(D55:D58)</f>
        <v>194153.60290925467</v>
      </c>
      <c r="E59" s="195"/>
      <c r="F59" s="707">
        <f>SUM(F55:F58)</f>
        <v>97018.555373754556</v>
      </c>
      <c r="H59" s="707">
        <f>SUM(H55:H58)</f>
        <v>213275.28323919853</v>
      </c>
      <c r="I59" s="187"/>
      <c r="J59" s="707">
        <f>SUM(J55:J58)</f>
        <v>104291.61350396808</v>
      </c>
    </row>
    <row r="60" spans="1:10">
      <c r="A60" s="53">
        <v>46</v>
      </c>
      <c r="B60" s="57"/>
      <c r="E60" s="187"/>
      <c r="I60" s="187"/>
    </row>
    <row r="61" spans="1:10" ht="15.75">
      <c r="A61" s="53">
        <v>47</v>
      </c>
      <c r="B61" s="37"/>
      <c r="C61" s="295" t="s">
        <v>71</v>
      </c>
      <c r="E61" s="187"/>
      <c r="I61" s="187"/>
    </row>
    <row r="62" spans="1:10">
      <c r="A62" s="53">
        <v>48</v>
      </c>
      <c r="B62" s="57">
        <v>911</v>
      </c>
      <c r="C62" s="580" t="s">
        <v>456</v>
      </c>
      <c r="D62" s="209">
        <v>0</v>
      </c>
      <c r="E62" s="360">
        <f t="shared" si="0"/>
        <v>4.5622610000000001E-2</v>
      </c>
      <c r="F62" s="707">
        <f>D62*E62</f>
        <v>0</v>
      </c>
      <c r="H62" s="209">
        <v>0</v>
      </c>
      <c r="I62" s="360">
        <f t="shared" si="1"/>
        <v>4.3520999999999997E-2</v>
      </c>
      <c r="J62" s="707">
        <f>H62*I62</f>
        <v>0</v>
      </c>
    </row>
    <row r="63" spans="1:10">
      <c r="A63" s="53">
        <v>49</v>
      </c>
      <c r="B63" s="57">
        <v>912</v>
      </c>
      <c r="C63" s="580" t="s">
        <v>944</v>
      </c>
      <c r="D63" s="838">
        <f>'C.2.2 B 02'!P29</f>
        <v>366120.07653963083</v>
      </c>
      <c r="E63" s="360">
        <f t="shared" si="0"/>
        <v>4.5622610000000001E-2</v>
      </c>
      <c r="F63" s="345">
        <f>D63*E63</f>
        <v>16703.353465137727</v>
      </c>
      <c r="H63" s="838">
        <f>'C.2.2-F 02'!P29</f>
        <v>97007.182169407184</v>
      </c>
      <c r="I63" s="360">
        <f t="shared" si="1"/>
        <v>4.3520999999999997E-2</v>
      </c>
      <c r="J63" s="345">
        <f>H63*I63</f>
        <v>4221.8495751947694</v>
      </c>
    </row>
    <row r="64" spans="1:10">
      <c r="A64" s="53">
        <v>50</v>
      </c>
      <c r="B64" s="57">
        <v>913</v>
      </c>
      <c r="C64" s="580" t="s">
        <v>920</v>
      </c>
      <c r="D64" s="338">
        <v>0</v>
      </c>
      <c r="E64" s="360">
        <f t="shared" si="0"/>
        <v>4.5622610000000001E-2</v>
      </c>
      <c r="F64" s="345">
        <f>D64*E64</f>
        <v>0</v>
      </c>
      <c r="H64" s="338">
        <v>0</v>
      </c>
      <c r="I64" s="360">
        <f t="shared" si="1"/>
        <v>4.3520999999999997E-2</v>
      </c>
      <c r="J64" s="345">
        <f>H64*I64</f>
        <v>0</v>
      </c>
    </row>
    <row r="65" spans="1:10">
      <c r="A65" s="53">
        <v>51</v>
      </c>
      <c r="B65" s="582">
        <v>916</v>
      </c>
      <c r="C65" s="580" t="s">
        <v>921</v>
      </c>
      <c r="D65" s="551">
        <v>0</v>
      </c>
      <c r="E65" s="360">
        <f t="shared" si="0"/>
        <v>4.5622610000000001E-2</v>
      </c>
      <c r="F65" s="711">
        <f>D65*E65</f>
        <v>0</v>
      </c>
      <c r="H65" s="551">
        <v>0</v>
      </c>
      <c r="I65" s="360">
        <f t="shared" si="1"/>
        <v>4.3520999999999997E-2</v>
      </c>
      <c r="J65" s="711">
        <f>H65*I65</f>
        <v>0</v>
      </c>
    </row>
    <row r="66" spans="1:10">
      <c r="A66" s="53">
        <v>52</v>
      </c>
      <c r="B66" s="37"/>
      <c r="C66" s="446" t="s">
        <v>91</v>
      </c>
      <c r="D66" s="707">
        <f>SUM(D62:D65)</f>
        <v>366120.07653963083</v>
      </c>
      <c r="E66" s="195"/>
      <c r="F66" s="707">
        <f>SUM(F62:F65)</f>
        <v>16703.353465137727</v>
      </c>
      <c r="H66" s="707">
        <f>SUM(H62:H65)</f>
        <v>97007.182169407184</v>
      </c>
      <c r="I66" s="187"/>
      <c r="J66" s="707">
        <f>SUM(J62:J65)</f>
        <v>4221.8495751947694</v>
      </c>
    </row>
    <row r="67" spans="1:10">
      <c r="A67" s="53">
        <v>53</v>
      </c>
      <c r="B67" s="57"/>
      <c r="E67" s="187"/>
      <c r="I67" s="187"/>
    </row>
    <row r="68" spans="1:10" ht="15.75">
      <c r="A68" s="53">
        <v>54</v>
      </c>
      <c r="B68" s="37"/>
      <c r="C68" s="295" t="s">
        <v>72</v>
      </c>
      <c r="E68" s="187"/>
      <c r="I68" s="187"/>
    </row>
    <row r="69" spans="1:10">
      <c r="A69" s="53">
        <v>55</v>
      </c>
      <c r="B69" s="57">
        <v>911</v>
      </c>
      <c r="C69" s="580" t="s">
        <v>456</v>
      </c>
      <c r="D69" s="209">
        <v>0</v>
      </c>
      <c r="E69" s="360">
        <f t="shared" si="0"/>
        <v>5.3911399999999998E-2</v>
      </c>
      <c r="F69" s="707">
        <f>D69*E69</f>
        <v>0</v>
      </c>
      <c r="H69" s="209">
        <v>0</v>
      </c>
      <c r="I69" s="360">
        <f t="shared" si="1"/>
        <v>5.3105399999999997E-2</v>
      </c>
      <c r="J69" s="707">
        <f>H69*I69</f>
        <v>0</v>
      </c>
    </row>
    <row r="70" spans="1:10">
      <c r="A70" s="53">
        <v>56</v>
      </c>
      <c r="B70" s="57">
        <v>912</v>
      </c>
      <c r="C70" s="580" t="s">
        <v>944</v>
      </c>
      <c r="D70" s="338">
        <v>0</v>
      </c>
      <c r="E70" s="360">
        <f t="shared" si="0"/>
        <v>5.3911399999999998E-2</v>
      </c>
      <c r="F70" s="345">
        <f>D70*E70</f>
        <v>0</v>
      </c>
      <c r="H70" s="338">
        <v>0</v>
      </c>
      <c r="I70" s="360">
        <f t="shared" si="1"/>
        <v>5.3105399999999997E-2</v>
      </c>
      <c r="J70" s="345">
        <f>H70*I70</f>
        <v>0</v>
      </c>
    </row>
    <row r="71" spans="1:10">
      <c r="A71" s="53">
        <v>57</v>
      </c>
      <c r="B71" s="57">
        <v>913</v>
      </c>
      <c r="C71" s="580" t="s">
        <v>920</v>
      </c>
      <c r="D71" s="338">
        <v>0</v>
      </c>
      <c r="E71" s="360">
        <f t="shared" si="0"/>
        <v>5.3911399999999998E-2</v>
      </c>
      <c r="F71" s="345">
        <f>D71*E71</f>
        <v>0</v>
      </c>
      <c r="H71" s="338">
        <v>0</v>
      </c>
      <c r="I71" s="360">
        <f t="shared" si="1"/>
        <v>5.3105399999999997E-2</v>
      </c>
      <c r="J71" s="345">
        <f>H71*I71</f>
        <v>0</v>
      </c>
    </row>
    <row r="72" spans="1:10">
      <c r="A72" s="53">
        <v>58</v>
      </c>
      <c r="B72" s="582">
        <v>916</v>
      </c>
      <c r="C72" s="580" t="s">
        <v>921</v>
      </c>
      <c r="D72" s="551">
        <v>0</v>
      </c>
      <c r="E72" s="360">
        <f t="shared" si="0"/>
        <v>5.3911399999999998E-2</v>
      </c>
      <c r="F72" s="711">
        <f>D72*E72</f>
        <v>0</v>
      </c>
      <c r="H72" s="551">
        <v>0</v>
      </c>
      <c r="I72" s="360">
        <f t="shared" si="1"/>
        <v>5.3105399999999997E-2</v>
      </c>
      <c r="J72" s="711">
        <f>H72*I72</f>
        <v>0</v>
      </c>
    </row>
    <row r="73" spans="1:10">
      <c r="A73" s="53">
        <v>59</v>
      </c>
      <c r="C73" s="446" t="s">
        <v>91</v>
      </c>
      <c r="D73" s="707">
        <f>SUM(D69:D72)</f>
        <v>0</v>
      </c>
      <c r="E73" s="195"/>
      <c r="F73" s="707">
        <f>SUM(F69:F72)</f>
        <v>0</v>
      </c>
      <c r="H73" s="707">
        <f>SUM(H69:H72)</f>
        <v>0</v>
      </c>
      <c r="I73" s="195"/>
      <c r="J73" s="707">
        <f>SUM(J69:J72)</f>
        <v>0</v>
      </c>
    </row>
    <row r="76" spans="1:10">
      <c r="B76" s="53" t="s">
        <v>1046</v>
      </c>
    </row>
    <row r="77" spans="1:10">
      <c r="B77" s="53" t="s">
        <v>1184</v>
      </c>
    </row>
    <row r="79" spans="1:10">
      <c r="C79" s="329"/>
    </row>
  </sheetData>
  <mergeCells count="5">
    <mergeCell ref="A5:J5"/>
    <mergeCell ref="A1:J1"/>
    <mergeCell ref="A2:J2"/>
    <mergeCell ref="A3:J3"/>
    <mergeCell ref="A4:J4"/>
  </mergeCells>
  <phoneticPr fontId="20" type="noConversion"/>
  <pageMargins left="0.75" right="0.67" top="0.76" bottom="0.82" header="0.5" footer="0.33"/>
  <pageSetup scale="58" orientation="portrait" verticalDpi="300" r:id="rId1"/>
  <headerFooter alignWithMargins="0">
    <oddFooter>&amp;RSchedule &amp;A
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92D050"/>
    <pageSetUpPr fitToPage="1"/>
  </sheetPr>
  <dimension ref="A1:L41"/>
  <sheetViews>
    <sheetView view="pageBreakPreview" zoomScale="80" zoomScaleNormal="100" zoomScaleSheetLayoutView="80" workbookViewId="0">
      <selection activeCell="C18" sqref="C18"/>
    </sheetView>
  </sheetViews>
  <sheetFormatPr defaultColWidth="8.88671875" defaultRowHeight="15"/>
  <cols>
    <col min="1" max="1" width="4.109375" customWidth="1"/>
    <col min="2" max="2" width="38.33203125" customWidth="1"/>
    <col min="3" max="6" width="11.6640625" customWidth="1"/>
    <col min="7" max="7" width="10.109375" customWidth="1"/>
    <col min="8" max="8" width="4.109375" customWidth="1"/>
    <col min="9" max="9" width="11.33203125" customWidth="1"/>
    <col min="10" max="10" width="10.77734375" customWidth="1"/>
    <col min="11" max="11" width="12.44140625" bestFit="1" customWidth="1"/>
  </cols>
  <sheetData>
    <row r="1" spans="1:12" ht="15.75">
      <c r="A1" s="1088" t="str">
        <f>'Table of Contents'!A1:C1</f>
        <v>Atmos Energy Corporation, Kentucky/Mid-States Division</v>
      </c>
      <c r="B1" s="1088"/>
      <c r="C1" s="1088"/>
      <c r="D1" s="1088"/>
      <c r="E1" s="1088"/>
      <c r="F1" s="1088"/>
      <c r="G1" s="1088"/>
      <c r="H1" s="1088"/>
      <c r="I1" s="1088"/>
      <c r="J1" s="1088"/>
      <c r="K1" s="1088"/>
    </row>
    <row r="2" spans="1:12" ht="15.75">
      <c r="A2" s="1088" t="str">
        <f>'Table of Contents'!A2:C2</f>
        <v xml:space="preserve">Kentucky Jurisdiction Case No. 2024-00276 </v>
      </c>
      <c r="B2" s="1088"/>
      <c r="C2" s="1088"/>
      <c r="D2" s="1088"/>
      <c r="E2" s="1088"/>
      <c r="F2" s="1088"/>
      <c r="G2" s="1088"/>
      <c r="H2" s="1088"/>
      <c r="I2" s="1088"/>
      <c r="J2" s="1088"/>
      <c r="K2" s="1088"/>
    </row>
    <row r="3" spans="1:12" ht="15.75">
      <c r="A3" s="1061" t="s">
        <v>1185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329"/>
    </row>
    <row r="4" spans="1:12" ht="15.75">
      <c r="A4" s="1088" t="str">
        <f>'Table of Contents'!A4:C4</f>
        <v>Forecasted Test Period:  Twelve Months Ended March 31, 2026</v>
      </c>
      <c r="B4" s="1088"/>
      <c r="C4" s="1088"/>
      <c r="D4" s="1088"/>
      <c r="E4" s="1088"/>
      <c r="F4" s="1088"/>
      <c r="G4" s="1088"/>
      <c r="H4" s="1088"/>
      <c r="I4" s="1088"/>
      <c r="J4" s="1088"/>
      <c r="K4" s="1088"/>
      <c r="L4" s="329"/>
    </row>
    <row r="5" spans="1:12" ht="15.75">
      <c r="A5" s="1061"/>
      <c r="B5" s="1061"/>
      <c r="C5" s="1061"/>
      <c r="D5" s="1061"/>
      <c r="E5" s="1061"/>
      <c r="F5" s="1061"/>
      <c r="G5" s="1061"/>
      <c r="H5" s="1061"/>
      <c r="I5" s="1061"/>
      <c r="J5" s="1061"/>
      <c r="K5" s="1061"/>
    </row>
    <row r="6" spans="1:12" ht="15.75">
      <c r="A6" s="12"/>
      <c r="B6" s="12"/>
      <c r="E6" s="330"/>
    </row>
    <row r="7" spans="1:12" ht="15.75">
      <c r="A7" s="12"/>
      <c r="B7" s="12"/>
    </row>
    <row r="8" spans="1:12">
      <c r="A8" s="48" t="s">
        <v>192</v>
      </c>
      <c r="K8" s="84" t="s">
        <v>1323</v>
      </c>
    </row>
    <row r="9" spans="1:12">
      <c r="A9" s="48" t="s">
        <v>1081</v>
      </c>
      <c r="K9" s="314" t="s">
        <v>1228</v>
      </c>
    </row>
    <row r="10" spans="1:12">
      <c r="A10" s="48" t="s">
        <v>405</v>
      </c>
      <c r="K10" s="718" t="str">
        <f>F.1!$I$9</f>
        <v>Witness: Waller</v>
      </c>
    </row>
    <row r="11" spans="1:12" ht="15.75">
      <c r="A11" s="67"/>
      <c r="B11" s="67"/>
      <c r="C11" s="1090" t="s">
        <v>315</v>
      </c>
      <c r="D11" s="1091"/>
      <c r="E11" s="1091"/>
      <c r="F11" s="1091"/>
      <c r="G11" s="1092"/>
      <c r="H11" s="67"/>
      <c r="I11" s="315"/>
      <c r="J11" s="316" t="s">
        <v>316</v>
      </c>
      <c r="K11" s="317"/>
    </row>
    <row r="12" spans="1:12" ht="15.75">
      <c r="C12" s="57" t="s">
        <v>20</v>
      </c>
      <c r="D12" s="57" t="s">
        <v>1133</v>
      </c>
      <c r="F12" s="578"/>
      <c r="I12" s="57" t="s">
        <v>20</v>
      </c>
      <c r="J12" s="578"/>
    </row>
    <row r="13" spans="1:12">
      <c r="A13" s="57" t="s">
        <v>88</v>
      </c>
      <c r="B13" s="57" t="s">
        <v>544</v>
      </c>
      <c r="C13" s="57" t="s">
        <v>580</v>
      </c>
      <c r="D13" s="57" t="s">
        <v>1134</v>
      </c>
      <c r="E13" s="57" t="s">
        <v>91</v>
      </c>
      <c r="F13" s="37" t="s">
        <v>10</v>
      </c>
      <c r="G13" s="37" t="s">
        <v>11</v>
      </c>
      <c r="H13" s="37"/>
      <c r="I13" s="57" t="s">
        <v>580</v>
      </c>
      <c r="J13" s="389" t="str">
        <f>F13</f>
        <v xml:space="preserve">Kentucky </v>
      </c>
      <c r="K13" s="37" t="s">
        <v>945</v>
      </c>
    </row>
    <row r="14" spans="1:12">
      <c r="A14" s="58" t="s">
        <v>94</v>
      </c>
      <c r="B14" s="58" t="s">
        <v>1042</v>
      </c>
      <c r="C14" s="233" t="s">
        <v>920</v>
      </c>
      <c r="D14" s="233" t="s">
        <v>920</v>
      </c>
      <c r="E14" s="58" t="s">
        <v>566</v>
      </c>
      <c r="F14" s="41" t="s">
        <v>92</v>
      </c>
      <c r="G14" s="58" t="s">
        <v>99</v>
      </c>
      <c r="H14" s="58"/>
      <c r="I14" s="233" t="s">
        <v>920</v>
      </c>
      <c r="J14" s="882" t="str">
        <f>F14</f>
        <v>Jurisdictional</v>
      </c>
      <c r="K14" s="58" t="s">
        <v>99</v>
      </c>
    </row>
    <row r="16" spans="1:12">
      <c r="L16" s="184"/>
    </row>
    <row r="17" spans="1:12" ht="15.75">
      <c r="A17" s="53">
        <v>1</v>
      </c>
      <c r="B17" s="584" t="s">
        <v>187</v>
      </c>
      <c r="C17" s="218"/>
      <c r="D17" s="218"/>
      <c r="E17" s="218"/>
      <c r="F17" s="1"/>
      <c r="G17" s="221"/>
      <c r="H17" s="1"/>
      <c r="I17" s="218"/>
      <c r="J17" s="1"/>
      <c r="K17" s="221"/>
      <c r="L17" s="165"/>
    </row>
    <row r="18" spans="1:12">
      <c r="A18" s="53">
        <v>2</v>
      </c>
      <c r="B18" s="224" t="s">
        <v>771</v>
      </c>
      <c r="C18" s="706">
        <v>157820.57700000005</v>
      </c>
      <c r="D18" s="706">
        <v>55854.23</v>
      </c>
      <c r="E18" s="713">
        <f>SUM(C18:D18)</f>
        <v>213674.80700000006</v>
      </c>
      <c r="F18" s="241">
        <v>1</v>
      </c>
      <c r="G18" s="713">
        <f>E18*F18</f>
        <v>213674.80700000006</v>
      </c>
      <c r="H18" s="1"/>
      <c r="I18" s="713">
        <f>C18</f>
        <v>157820.57700000005</v>
      </c>
      <c r="J18" s="714">
        <f>F18</f>
        <v>1</v>
      </c>
      <c r="K18" s="713">
        <f>I18*J18</f>
        <v>157820.57700000005</v>
      </c>
      <c r="L18" s="165"/>
    </row>
    <row r="19" spans="1:12">
      <c r="A19" s="53">
        <v>3</v>
      </c>
      <c r="C19" s="218"/>
      <c r="D19" s="218"/>
      <c r="E19" s="218"/>
      <c r="F19" s="1"/>
      <c r="G19" s="221"/>
      <c r="H19" s="1"/>
      <c r="I19" s="218"/>
      <c r="J19" s="1"/>
      <c r="K19" s="221"/>
      <c r="L19" s="184"/>
    </row>
    <row r="20" spans="1:12" ht="15.75">
      <c r="A20" s="53">
        <v>4</v>
      </c>
      <c r="B20" s="584" t="s">
        <v>73</v>
      </c>
      <c r="C20" s="221"/>
      <c r="D20" s="221"/>
      <c r="E20" s="221"/>
      <c r="F20" s="1"/>
      <c r="G20" s="221"/>
      <c r="H20" s="1"/>
      <c r="I20" s="221"/>
      <c r="J20" s="1"/>
      <c r="K20" s="221"/>
      <c r="L20" s="165"/>
    </row>
    <row r="21" spans="1:12">
      <c r="A21" s="53">
        <v>5</v>
      </c>
      <c r="B21" s="224" t="s">
        <v>771</v>
      </c>
      <c r="C21" s="612">
        <v>38506.1639</v>
      </c>
      <c r="D21" s="612">
        <v>414420.1</v>
      </c>
      <c r="E21" s="710">
        <f>SUM(C21:D21)</f>
        <v>452926.26389999996</v>
      </c>
      <c r="F21" s="684">
        <f>Allocation!$I$17</f>
        <v>0.49969999999999998</v>
      </c>
      <c r="G21" s="710">
        <f>E21*F21</f>
        <v>226327.25407082998</v>
      </c>
      <c r="H21" s="1"/>
      <c r="I21" s="710">
        <f>C21</f>
        <v>38506.1639</v>
      </c>
      <c r="J21" s="684">
        <f>Allocation!$E$17</f>
        <v>0.48899999999999999</v>
      </c>
      <c r="K21" s="710">
        <f>I21*J21</f>
        <v>18829.514147099999</v>
      </c>
      <c r="L21" s="165"/>
    </row>
    <row r="22" spans="1:12">
      <c r="A22" s="53">
        <v>6</v>
      </c>
      <c r="B22" s="165"/>
      <c r="C22" s="338"/>
      <c r="D22" s="338"/>
      <c r="E22" s="338"/>
      <c r="G22" s="338"/>
      <c r="I22" s="338"/>
      <c r="L22" s="165"/>
    </row>
    <row r="23" spans="1:12" ht="15.75">
      <c r="A23" s="53">
        <v>7</v>
      </c>
      <c r="B23" s="584" t="s">
        <v>71</v>
      </c>
      <c r="C23" s="338"/>
      <c r="D23" s="338"/>
      <c r="E23" s="338"/>
      <c r="G23" s="338"/>
      <c r="I23" s="338"/>
      <c r="L23" s="585"/>
    </row>
    <row r="24" spans="1:12">
      <c r="A24" s="53">
        <v>8</v>
      </c>
      <c r="B24" s="224" t="s">
        <v>771</v>
      </c>
      <c r="C24" s="612">
        <v>208279.78</v>
      </c>
      <c r="D24" s="612">
        <v>544793.09779999999</v>
      </c>
      <c r="E24" s="710">
        <f>SUM(C24:D24)</f>
        <v>753072.87780000002</v>
      </c>
      <c r="F24" s="684">
        <f>Allocation!$I$14</f>
        <v>4.5622610000000001E-2</v>
      </c>
      <c r="G24" s="710">
        <f>E24*F24</f>
        <v>34357.150205447062</v>
      </c>
      <c r="I24" s="710">
        <f>C24</f>
        <v>208279.78</v>
      </c>
      <c r="J24" s="684">
        <f>Allocation!$E$14</f>
        <v>4.3520999999999997E-2</v>
      </c>
      <c r="K24" s="710">
        <f>I24*J24</f>
        <v>9064.5443053799991</v>
      </c>
      <c r="L24" s="232"/>
    </row>
    <row r="25" spans="1:12">
      <c r="A25" s="53">
        <v>9</v>
      </c>
      <c r="B25" s="585"/>
      <c r="C25" s="338"/>
      <c r="D25" s="338"/>
      <c r="E25" s="338"/>
      <c r="G25" s="338"/>
      <c r="I25" s="338"/>
    </row>
    <row r="26" spans="1:12" ht="15.75">
      <c r="A26" s="53">
        <v>10</v>
      </c>
      <c r="B26" s="584" t="s">
        <v>72</v>
      </c>
      <c r="C26" s="338"/>
      <c r="D26" s="338"/>
      <c r="E26" s="338"/>
      <c r="G26" s="338"/>
      <c r="I26" s="338"/>
    </row>
    <row r="27" spans="1:12">
      <c r="A27" s="53">
        <v>11</v>
      </c>
      <c r="B27" s="224" t="s">
        <v>771</v>
      </c>
      <c r="C27" s="612">
        <v>40004.959999999999</v>
      </c>
      <c r="D27" s="612">
        <v>1601</v>
      </c>
      <c r="E27" s="710">
        <f>SUM(C27:D27)</f>
        <v>41605.96</v>
      </c>
      <c r="F27" s="684">
        <f>Allocation!$I$15</f>
        <v>5.3911399999999998E-2</v>
      </c>
      <c r="G27" s="710">
        <f>E27*F27</f>
        <v>2243.035551944</v>
      </c>
      <c r="I27" s="710">
        <f>C27</f>
        <v>40004.959999999999</v>
      </c>
      <c r="J27" s="684">
        <f>Allocation!$E$15</f>
        <v>5.3105399999999997E-2</v>
      </c>
      <c r="K27" s="710">
        <f>I27*J27</f>
        <v>2124.4794027839998</v>
      </c>
    </row>
    <row r="28" spans="1:12">
      <c r="A28" s="53">
        <v>12</v>
      </c>
      <c r="G28" s="338"/>
    </row>
    <row r="29" spans="1:12" ht="16.5" thickBot="1">
      <c r="A29" s="53">
        <v>13</v>
      </c>
      <c r="B29" s="88" t="s">
        <v>901</v>
      </c>
      <c r="C29" s="712">
        <f>SUM(C18:C27)</f>
        <v>444611.48090000002</v>
      </c>
      <c r="D29" s="712">
        <f>SUM(D18:D27)</f>
        <v>1016668.4277999999</v>
      </c>
      <c r="E29" s="712">
        <f>SUM(E18:E27)</f>
        <v>1461279.9087</v>
      </c>
      <c r="G29" s="712">
        <f>SUM(G18:G27)</f>
        <v>476602.24682822108</v>
      </c>
      <c r="I29" s="712">
        <f>SUM(I18:I27)</f>
        <v>444611.48090000002</v>
      </c>
      <c r="K29" s="712">
        <f>SUM(K18:K27)</f>
        <v>187839.11485526405</v>
      </c>
    </row>
    <row r="30" spans="1:12" ht="15.75" thickTop="1"/>
    <row r="32" spans="1:12">
      <c r="B32" s="586"/>
    </row>
    <row r="33" spans="2:2">
      <c r="B33" s="586"/>
    </row>
    <row r="34" spans="2:2">
      <c r="B34" t="s">
        <v>492</v>
      </c>
    </row>
    <row r="35" spans="2:2">
      <c r="B35" t="s">
        <v>1677</v>
      </c>
    </row>
    <row r="39" spans="2:2">
      <c r="B39" s="329"/>
    </row>
    <row r="40" spans="2:2">
      <c r="B40" s="329"/>
    </row>
    <row r="41" spans="2:2">
      <c r="B41" s="329"/>
    </row>
  </sheetData>
  <mergeCells count="6">
    <mergeCell ref="C11:G11"/>
    <mergeCell ref="A5:K5"/>
    <mergeCell ref="A1:K1"/>
    <mergeCell ref="A2:K2"/>
    <mergeCell ref="A3:K3"/>
    <mergeCell ref="A4:K4"/>
  </mergeCells>
  <phoneticPr fontId="20" type="noConversion"/>
  <printOptions horizontalCentered="1"/>
  <pageMargins left="0.83" right="0.73" top="0.81" bottom="0.5" header="0.5" footer="0.5"/>
  <pageSetup scale="73" orientation="landscape" verticalDpi="300" r:id="rId1"/>
  <headerFooter alignWithMargins="0">
    <oddFooter>&amp;RSchedule &amp;A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O31"/>
  <sheetViews>
    <sheetView view="pageBreakPreview" zoomScale="80" zoomScaleNormal="100" zoomScaleSheetLayoutView="80" workbookViewId="0">
      <selection activeCell="D15" sqref="D15"/>
    </sheetView>
  </sheetViews>
  <sheetFormatPr defaultColWidth="8" defaultRowHeight="15"/>
  <cols>
    <col min="1" max="1" width="7.21875" style="1" customWidth="1"/>
    <col min="2" max="2" width="45.88671875" style="1" customWidth="1"/>
    <col min="3" max="3" width="14.33203125" style="1" customWidth="1"/>
    <col min="4" max="4" width="22.77734375" style="1" customWidth="1"/>
    <col min="5" max="5" width="3.77734375" style="1" customWidth="1"/>
    <col min="6" max="6" width="26.6640625" style="1" customWidth="1"/>
    <col min="7" max="7" width="4.21875" style="1" customWidth="1"/>
    <col min="8" max="8" width="3.77734375" style="1" customWidth="1"/>
    <col min="9" max="9" width="13.109375" style="1" bestFit="1" customWidth="1"/>
    <col min="10" max="10" width="2.77734375" style="1" customWidth="1"/>
    <col min="11" max="11" width="13.109375" style="1" bestFit="1" customWidth="1"/>
    <col min="12" max="12" width="4.33203125" style="1" customWidth="1"/>
    <col min="13" max="13" width="12" style="1" bestFit="1" customWidth="1"/>
    <col min="14" max="14" width="2.109375" style="1" customWidth="1"/>
    <col min="15" max="15" width="12" style="1" bestFit="1" customWidth="1"/>
    <col min="16" max="16384" width="8" style="1"/>
  </cols>
  <sheetData>
    <row r="1" spans="1:15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</row>
    <row r="2" spans="1:15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</row>
    <row r="3" spans="1:15">
      <c r="A3" s="1060" t="s">
        <v>1069</v>
      </c>
      <c r="B3" s="1060"/>
      <c r="C3" s="1060"/>
      <c r="D3" s="1060"/>
      <c r="E3" s="1060"/>
      <c r="F3" s="1060"/>
    </row>
    <row r="4" spans="1:15">
      <c r="A4" s="1059" t="str">
        <f>'Table of Contents'!A3:C3</f>
        <v>Base Period: Twelve Months Ended December 31, 2024</v>
      </c>
      <c r="B4" s="1059"/>
      <c r="C4" s="1059"/>
      <c r="D4" s="1059"/>
      <c r="E4" s="1059"/>
      <c r="F4" s="1059"/>
    </row>
    <row r="6" spans="1:15">
      <c r="A6" s="4" t="s">
        <v>361</v>
      </c>
      <c r="F6" s="84" t="s">
        <v>1330</v>
      </c>
    </row>
    <row r="7" spans="1:15">
      <c r="A7" s="699" t="str">
        <f>A.1!A8</f>
        <v>Type of Filing:___X____Original________Updated ________Revised</v>
      </c>
      <c r="F7" s="17" t="s">
        <v>718</v>
      </c>
    </row>
    <row r="8" spans="1:15">
      <c r="A8" s="5" t="s">
        <v>405</v>
      </c>
      <c r="B8" s="6"/>
      <c r="C8" s="6"/>
      <c r="D8" s="6"/>
      <c r="E8" s="28"/>
      <c r="F8" s="635" t="s">
        <v>1646</v>
      </c>
    </row>
    <row r="9" spans="1:15">
      <c r="F9" s="2"/>
    </row>
    <row r="10" spans="1:15">
      <c r="C10" s="2" t="s">
        <v>1143</v>
      </c>
      <c r="D10" s="2" t="s">
        <v>42</v>
      </c>
      <c r="F10" s="2" t="s">
        <v>42</v>
      </c>
      <c r="I10" s="393"/>
      <c r="J10" s="363"/>
      <c r="K10" s="363"/>
      <c r="L10" s="363"/>
      <c r="M10" s="396"/>
      <c r="N10" s="363"/>
      <c r="O10" s="363"/>
    </row>
    <row r="11" spans="1:15">
      <c r="A11" s="2" t="s">
        <v>88</v>
      </c>
      <c r="C11" s="2" t="s">
        <v>56</v>
      </c>
      <c r="D11" s="2" t="s">
        <v>511</v>
      </c>
      <c r="F11" s="2" t="s">
        <v>511</v>
      </c>
      <c r="I11" s="363"/>
      <c r="J11" s="363"/>
      <c r="K11" s="363"/>
      <c r="L11" s="363"/>
      <c r="M11" s="363"/>
      <c r="N11" s="363"/>
      <c r="O11" s="363"/>
    </row>
    <row r="12" spans="1:15">
      <c r="A12" s="9" t="s">
        <v>94</v>
      </c>
      <c r="B12" s="5" t="s">
        <v>1146</v>
      </c>
      <c r="C12" s="9" t="s">
        <v>96</v>
      </c>
      <c r="D12" s="9" t="s">
        <v>308</v>
      </c>
      <c r="E12" s="6"/>
      <c r="F12" s="9" t="s">
        <v>486</v>
      </c>
      <c r="I12" s="393"/>
      <c r="J12" s="363"/>
      <c r="K12" s="363"/>
      <c r="L12" s="363"/>
      <c r="M12" s="363"/>
      <c r="N12" s="363"/>
      <c r="O12" s="363"/>
    </row>
    <row r="13" spans="1:15">
      <c r="D13" s="2"/>
      <c r="F13" s="2"/>
      <c r="I13" s="393"/>
      <c r="J13" s="363"/>
      <c r="K13" s="363"/>
      <c r="L13" s="363"/>
      <c r="M13" s="363"/>
      <c r="N13" s="363"/>
      <c r="O13" s="363"/>
    </row>
    <row r="14" spans="1:15">
      <c r="I14" s="393"/>
      <c r="J14" s="363"/>
      <c r="K14" s="363"/>
      <c r="L14" s="363"/>
      <c r="M14" s="363"/>
      <c r="N14" s="363"/>
      <c r="O14" s="363"/>
    </row>
    <row r="15" spans="1:15">
      <c r="A15" s="2">
        <v>1</v>
      </c>
      <c r="B15" s="4" t="s">
        <v>161</v>
      </c>
      <c r="C15" s="2" t="s">
        <v>659</v>
      </c>
      <c r="D15" s="688">
        <f>'B.2 B'!I266</f>
        <v>931028844.08598149</v>
      </c>
      <c r="E15" s="10"/>
      <c r="F15" s="688">
        <f>'B.2 B'!N266</f>
        <v>913547893.64877605</v>
      </c>
      <c r="I15" s="393"/>
      <c r="J15" s="363"/>
      <c r="K15" s="363"/>
      <c r="L15" s="363"/>
      <c r="M15" s="363"/>
      <c r="N15" s="363"/>
      <c r="O15" s="363"/>
    </row>
    <row r="16" spans="1:15">
      <c r="A16" s="605">
        <f>A15+1</f>
        <v>2</v>
      </c>
      <c r="B16" s="4" t="s">
        <v>465</v>
      </c>
      <c r="C16" s="2" t="s">
        <v>659</v>
      </c>
      <c r="D16" s="700">
        <f>'B.2 B'!I268</f>
        <v>0</v>
      </c>
      <c r="E16" s="10"/>
      <c r="F16" s="695">
        <f>'B.2 B'!N268</f>
        <v>0</v>
      </c>
      <c r="I16" s="651"/>
      <c r="J16" s="363"/>
      <c r="K16" s="363"/>
      <c r="L16" s="363"/>
      <c r="M16" s="363"/>
      <c r="N16" s="363"/>
      <c r="O16" s="363"/>
    </row>
    <row r="17" spans="1:15">
      <c r="A17" s="605">
        <f>A16+1</f>
        <v>3</v>
      </c>
      <c r="B17" s="4" t="s">
        <v>502</v>
      </c>
      <c r="C17" s="2" t="s">
        <v>660</v>
      </c>
      <c r="D17" s="701">
        <f>-'B.3 B'!I263</f>
        <v>-204757750.61073717</v>
      </c>
      <c r="E17" s="10"/>
      <c r="F17" s="701">
        <f>-'B.3 B'!N263</f>
        <v>-196963786.0894472</v>
      </c>
      <c r="I17" s="393"/>
      <c r="J17" s="363"/>
      <c r="K17" s="363"/>
      <c r="L17" s="363"/>
      <c r="M17" s="363"/>
      <c r="N17" s="363"/>
      <c r="O17" s="363"/>
    </row>
    <row r="18" spans="1:15">
      <c r="A18" s="2"/>
      <c r="B18" s="4"/>
      <c r="C18" s="2"/>
      <c r="D18" s="10"/>
      <c r="E18" s="10"/>
      <c r="F18" s="10"/>
      <c r="I18" s="393"/>
      <c r="J18" s="363"/>
      <c r="K18" s="363"/>
      <c r="L18" s="363"/>
      <c r="M18" s="363"/>
      <c r="N18" s="363"/>
      <c r="O18" s="363"/>
    </row>
    <row r="19" spans="1:15">
      <c r="A19" s="605">
        <f>+A17+1</f>
        <v>4</v>
      </c>
      <c r="B19" s="4" t="s">
        <v>150</v>
      </c>
      <c r="D19" s="691">
        <f>SUM(D15:D17)</f>
        <v>726271093.47524428</v>
      </c>
      <c r="E19" s="10"/>
      <c r="F19" s="691">
        <f>SUM(F15:F17)</f>
        <v>716584107.55932879</v>
      </c>
      <c r="I19" s="393"/>
      <c r="J19" s="363"/>
      <c r="K19" s="363"/>
      <c r="L19" s="363"/>
      <c r="M19" s="363"/>
      <c r="N19" s="363"/>
      <c r="O19" s="363"/>
    </row>
    <row r="20" spans="1:15">
      <c r="A20" s="2"/>
      <c r="B20" s="4"/>
      <c r="D20" s="10"/>
      <c r="E20" s="10"/>
      <c r="F20" s="10"/>
      <c r="I20" s="393"/>
      <c r="J20" s="363"/>
      <c r="K20" s="363"/>
      <c r="L20" s="363"/>
      <c r="M20" s="363"/>
      <c r="N20" s="363"/>
      <c r="O20" s="363"/>
    </row>
    <row r="21" spans="1:15">
      <c r="A21" s="605">
        <f>A19+1</f>
        <v>5</v>
      </c>
      <c r="B21" s="4" t="s">
        <v>756</v>
      </c>
      <c r="C21" s="2" t="s">
        <v>661</v>
      </c>
      <c r="D21" s="688">
        <f>+'B.4 B'!E14</f>
        <v>-1984345</v>
      </c>
      <c r="E21" s="10"/>
      <c r="F21" s="691">
        <f>+D21</f>
        <v>-1984345</v>
      </c>
      <c r="G21" s="329"/>
      <c r="H21" s="329"/>
      <c r="I21" s="393"/>
      <c r="J21" s="363"/>
      <c r="K21" s="363"/>
      <c r="L21" s="363"/>
      <c r="M21" s="363"/>
      <c r="N21" s="363"/>
      <c r="O21" s="363"/>
    </row>
    <row r="22" spans="1:15">
      <c r="A22" s="605">
        <f>+A21+1</f>
        <v>6</v>
      </c>
      <c r="B22" s="53" t="s">
        <v>1619</v>
      </c>
      <c r="C22" s="2" t="s">
        <v>662</v>
      </c>
      <c r="D22" s="700">
        <f>+'B.4.1 B'!F37</f>
        <v>14639447.294058401</v>
      </c>
      <c r="E22" s="10"/>
      <c r="F22" s="700">
        <f>+'B.4.1 B'!K37</f>
        <v>17822951.562119897</v>
      </c>
      <c r="I22" s="393"/>
      <c r="J22" s="363"/>
      <c r="K22" s="363"/>
      <c r="L22" s="363"/>
      <c r="M22" s="363"/>
      <c r="N22" s="363"/>
      <c r="O22" s="363"/>
    </row>
    <row r="23" spans="1:15">
      <c r="A23" s="605">
        <f>+A22+1</f>
        <v>7</v>
      </c>
      <c r="B23" s="4" t="s">
        <v>606</v>
      </c>
      <c r="C23" s="2" t="s">
        <v>663</v>
      </c>
      <c r="D23" s="695">
        <f>'B.6 B'!G24</f>
        <v>-736136.34</v>
      </c>
      <c r="F23" s="695">
        <f>'B.6 B'!L24</f>
        <v>-736136.34</v>
      </c>
      <c r="I23" s="393"/>
      <c r="J23" s="363"/>
      <c r="K23" s="363"/>
      <c r="L23" s="363"/>
      <c r="M23" s="363"/>
      <c r="N23" s="363"/>
      <c r="O23" s="363"/>
    </row>
    <row r="24" spans="1:15">
      <c r="A24" s="605">
        <f t="shared" ref="A24:A25" si="0">+A23+1</f>
        <v>8</v>
      </c>
      <c r="B24" s="4" t="s">
        <v>1489</v>
      </c>
      <c r="C24" s="2" t="s">
        <v>1561</v>
      </c>
      <c r="D24" s="700">
        <f>'WP B.5 B1'!D22</f>
        <v>-7387966.2201038189</v>
      </c>
      <c r="E24" s="1039"/>
      <c r="F24" s="700">
        <f>'WP B.5 B1'!D23</f>
        <v>-11725173.438305419</v>
      </c>
      <c r="I24" s="393"/>
      <c r="J24" s="363"/>
      <c r="K24" s="363"/>
      <c r="L24" s="363"/>
      <c r="M24" s="363"/>
      <c r="N24" s="363"/>
      <c r="O24" s="363"/>
    </row>
    <row r="25" spans="1:15">
      <c r="A25" s="605">
        <f t="shared" si="0"/>
        <v>9</v>
      </c>
      <c r="B25" s="4" t="s">
        <v>1563</v>
      </c>
      <c r="C25" s="2" t="s">
        <v>664</v>
      </c>
      <c r="D25" s="702">
        <f>'B.5 B'!G49</f>
        <v>-98484338.651369676</v>
      </c>
      <c r="F25" s="702">
        <f>'B.5 B'!L49</f>
        <v>-94791328.150399983</v>
      </c>
      <c r="I25" s="393"/>
      <c r="J25" s="363"/>
      <c r="K25" s="363"/>
      <c r="L25" s="363"/>
      <c r="M25" s="363"/>
      <c r="N25" s="363"/>
      <c r="O25" s="363"/>
    </row>
    <row r="26" spans="1:15">
      <c r="A26" s="2"/>
      <c r="I26" s="393"/>
      <c r="J26" s="363"/>
      <c r="K26" s="363"/>
      <c r="L26" s="363"/>
      <c r="M26" s="363"/>
      <c r="N26" s="363"/>
      <c r="O26" s="363"/>
    </row>
    <row r="27" spans="1:15" ht="15.75" thickBot="1">
      <c r="A27" s="605">
        <f>+A25+1</f>
        <v>10</v>
      </c>
      <c r="B27" s="4" t="s">
        <v>151</v>
      </c>
      <c r="D27" s="703">
        <f>SUM(D19:D25)</f>
        <v>632317754.55782914</v>
      </c>
      <c r="E27" s="10"/>
      <c r="F27" s="703">
        <f>SUM(F19:F25)</f>
        <v>625170076.1927433</v>
      </c>
      <c r="I27" s="393"/>
      <c r="J27" s="363"/>
      <c r="K27" s="363"/>
      <c r="L27" s="363"/>
      <c r="M27" s="363"/>
      <c r="N27" s="363"/>
      <c r="O27" s="363"/>
    </row>
    <row r="28" spans="1:15" ht="15.75" thickTop="1">
      <c r="A28" s="2"/>
      <c r="D28" s="10"/>
      <c r="E28" s="10"/>
      <c r="F28" s="10"/>
    </row>
    <row r="29" spans="1:15">
      <c r="B29" s="53"/>
    </row>
    <row r="30" spans="1:15">
      <c r="D30" s="10"/>
      <c r="F30" s="10"/>
    </row>
    <row r="31" spans="1:15">
      <c r="D31" s="10"/>
      <c r="E31" s="10"/>
      <c r="F31" s="10"/>
    </row>
  </sheetData>
  <mergeCells count="4">
    <mergeCell ref="A1:F1"/>
    <mergeCell ref="A2:F2"/>
    <mergeCell ref="A3:F3"/>
    <mergeCell ref="A4:F4"/>
  </mergeCells>
  <phoneticPr fontId="20" type="noConversion"/>
  <printOptions horizontalCentered="1"/>
  <pageMargins left="0.5" right="0.5" top="0.79" bottom="0.5" header="0.5" footer="0.5"/>
  <pageSetup scale="86" orientation="landscape" verticalDpi="300" r:id="rId1"/>
  <headerFooter alignWithMargins="0">
    <oddFooter>&amp;RSchedule &amp;A
Page &amp;P of &amp;N</oddFooter>
  </headerFooter>
  <colBreaks count="1" manualBreakCount="1">
    <brk id="6" max="54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92D050"/>
    <pageSetUpPr fitToPage="1"/>
  </sheetPr>
  <dimension ref="A1:L43"/>
  <sheetViews>
    <sheetView view="pageBreakPreview" topLeftCell="A6" zoomScale="80" zoomScaleNormal="100" zoomScaleSheetLayoutView="80" workbookViewId="0">
      <selection activeCell="B43" sqref="B43"/>
    </sheetView>
  </sheetViews>
  <sheetFormatPr defaultColWidth="8.88671875" defaultRowHeight="15"/>
  <cols>
    <col min="1" max="1" width="5.88671875" customWidth="1"/>
    <col min="2" max="2" width="34.6640625" customWidth="1"/>
    <col min="3" max="3" width="13.5546875" bestFit="1" customWidth="1"/>
    <col min="4" max="4" width="11.109375" customWidth="1"/>
    <col min="5" max="5" width="11.77734375" customWidth="1"/>
    <col min="6" max="6" width="4.21875" customWidth="1"/>
    <col min="7" max="7" width="12" bestFit="1" customWidth="1"/>
    <col min="8" max="8" width="12" customWidth="1"/>
    <col min="9" max="9" width="13.109375" bestFit="1" customWidth="1"/>
  </cols>
  <sheetData>
    <row r="1" spans="1:12" ht="15.75">
      <c r="A1" s="1089" t="str">
        <f>'Table of Contents'!A1:C1</f>
        <v>Atmos Energy Corporation, Kentucky/Mid-States Division</v>
      </c>
      <c r="B1" s="1089"/>
      <c r="C1" s="1089"/>
      <c r="D1" s="1089"/>
      <c r="E1" s="1089"/>
      <c r="F1" s="1089"/>
      <c r="G1" s="1089"/>
      <c r="H1" s="1089"/>
      <c r="I1" s="1089"/>
    </row>
    <row r="2" spans="1:12" ht="15.75">
      <c r="A2" s="1089" t="str">
        <f>'Table of Contents'!A2:C2</f>
        <v xml:space="preserve">Kentucky Jurisdiction Case No. 2024-00276 </v>
      </c>
      <c r="B2" s="1089" t="s">
        <v>314</v>
      </c>
      <c r="C2" s="1089"/>
      <c r="D2" s="1089"/>
      <c r="E2" s="1089"/>
      <c r="F2" s="1089"/>
      <c r="G2" s="1089"/>
      <c r="H2" s="1089"/>
      <c r="I2" s="1089"/>
    </row>
    <row r="3" spans="1:12" ht="15.75">
      <c r="A3" s="1058" t="s">
        <v>399</v>
      </c>
      <c r="B3" s="1058"/>
      <c r="C3" s="1058"/>
      <c r="D3" s="1058"/>
      <c r="E3" s="1058"/>
      <c r="F3" s="1058"/>
      <c r="G3" s="1058"/>
      <c r="H3" s="1058"/>
      <c r="I3" s="1058"/>
    </row>
    <row r="4" spans="1:12" ht="15.75">
      <c r="A4" s="1089" t="str">
        <f>'Table of Contents'!A3:C3</f>
        <v>Base Period: Twelve Months Ended December 31, 2024</v>
      </c>
      <c r="B4" s="1089"/>
      <c r="C4" s="1089"/>
      <c r="D4" s="1089"/>
      <c r="E4" s="1089"/>
      <c r="F4" s="1089"/>
      <c r="G4" s="1089"/>
      <c r="H4" s="1089"/>
      <c r="I4" s="1089"/>
    </row>
    <row r="5" spans="1:12" ht="15.75">
      <c r="A5" s="1089" t="str">
        <f>'Table of Contents'!A4:C4</f>
        <v>Forecasted Test Period:  Twelve Months Ended March 31, 2026</v>
      </c>
      <c r="B5" s="1089"/>
      <c r="C5" s="1089"/>
      <c r="D5" s="1089"/>
      <c r="E5" s="1089"/>
      <c r="F5" s="1089"/>
      <c r="G5" s="1089"/>
      <c r="H5" s="1089"/>
      <c r="I5" s="1089"/>
    </row>
    <row r="6" spans="1:12" ht="15.75">
      <c r="B6" s="12"/>
      <c r="C6" s="12"/>
    </row>
    <row r="7" spans="1:12" ht="15.75">
      <c r="A7" s="48" t="s">
        <v>192</v>
      </c>
      <c r="C7" s="12"/>
      <c r="I7" s="84" t="s">
        <v>1323</v>
      </c>
    </row>
    <row r="8" spans="1:12" ht="15.75">
      <c r="A8" s="48" t="s">
        <v>1082</v>
      </c>
      <c r="C8" s="12"/>
      <c r="I8" s="314" t="s">
        <v>545</v>
      </c>
    </row>
    <row r="9" spans="1:12" ht="15.75">
      <c r="A9" s="48" t="s">
        <v>356</v>
      </c>
      <c r="C9" s="12"/>
      <c r="I9" s="718" t="str">
        <f>F.1!$I$9</f>
        <v>Witness: Waller</v>
      </c>
    </row>
    <row r="10" spans="1:12" ht="15.75">
      <c r="A10" s="67"/>
      <c r="B10" s="67"/>
      <c r="C10" s="315"/>
      <c r="D10" s="316" t="s">
        <v>315</v>
      </c>
      <c r="E10" s="317"/>
      <c r="F10" s="67"/>
      <c r="G10" s="315"/>
      <c r="H10" s="316" t="s">
        <v>316</v>
      </c>
      <c r="I10" s="317"/>
    </row>
    <row r="11" spans="1:12">
      <c r="A11" s="57" t="s">
        <v>88</v>
      </c>
      <c r="C11" s="57" t="s">
        <v>91</v>
      </c>
      <c r="D11" s="37" t="s">
        <v>10</v>
      </c>
      <c r="E11" s="37" t="s">
        <v>11</v>
      </c>
      <c r="G11" s="57" t="s">
        <v>91</v>
      </c>
      <c r="H11" s="389" t="str">
        <f>D11</f>
        <v xml:space="preserve">Kentucky </v>
      </c>
      <c r="I11" s="37" t="s">
        <v>945</v>
      </c>
    </row>
    <row r="12" spans="1:12">
      <c r="A12" s="58" t="s">
        <v>94</v>
      </c>
      <c r="B12" s="58" t="s">
        <v>949</v>
      </c>
      <c r="C12" s="58" t="s">
        <v>566</v>
      </c>
      <c r="D12" s="41" t="s">
        <v>92</v>
      </c>
      <c r="E12" s="58" t="s">
        <v>99</v>
      </c>
      <c r="F12" s="55"/>
      <c r="G12" s="58" t="s">
        <v>566</v>
      </c>
      <c r="H12" s="882" t="str">
        <f>D12</f>
        <v>Jurisdictional</v>
      </c>
      <c r="I12" s="58" t="s">
        <v>99</v>
      </c>
    </row>
    <row r="14" spans="1:12" ht="15.75">
      <c r="A14" s="37"/>
      <c r="B14" s="379" t="s">
        <v>1190</v>
      </c>
      <c r="C14" s="330"/>
    </row>
    <row r="15" spans="1:12" ht="15.75">
      <c r="A15" s="57">
        <v>1</v>
      </c>
      <c r="B15" s="53"/>
      <c r="C15" s="587"/>
      <c r="D15" s="53"/>
      <c r="E15" s="53"/>
      <c r="F15" s="53"/>
      <c r="H15" s="60"/>
      <c r="I15" s="53"/>
    </row>
    <row r="16" spans="1:12">
      <c r="A16" s="389">
        <f>A15+1</f>
        <v>2</v>
      </c>
      <c r="B16" s="184" t="s">
        <v>187</v>
      </c>
      <c r="D16" s="492"/>
      <c r="F16" s="60"/>
      <c r="G16" s="57"/>
      <c r="H16" s="60"/>
      <c r="I16" s="60"/>
      <c r="L16" s="329"/>
    </row>
    <row r="17" spans="1:9">
      <c r="A17" s="389">
        <f t="shared" ref="A17:A34" si="0">A16+1</f>
        <v>3</v>
      </c>
      <c r="B17" s="165" t="s">
        <v>946</v>
      </c>
      <c r="C17" s="886">
        <v>0</v>
      </c>
      <c r="D17" s="492">
        <v>1</v>
      </c>
      <c r="E17" s="887">
        <f>C17*D17</f>
        <v>0</v>
      </c>
      <c r="F17" s="60"/>
      <c r="G17" s="886">
        <v>0</v>
      </c>
      <c r="H17" s="888">
        <f>D17</f>
        <v>1</v>
      </c>
      <c r="I17" s="887">
        <f>G17*H17</f>
        <v>0</v>
      </c>
    </row>
    <row r="18" spans="1:9">
      <c r="A18" s="389">
        <f t="shared" si="0"/>
        <v>4</v>
      </c>
      <c r="B18" s="165" t="s">
        <v>947</v>
      </c>
      <c r="C18" s="886">
        <v>96909.051195151013</v>
      </c>
      <c r="D18" s="888">
        <f>D17</f>
        <v>1</v>
      </c>
      <c r="E18" s="889">
        <f>C18*D18</f>
        <v>96909.051195151013</v>
      </c>
      <c r="F18" s="60"/>
      <c r="G18" s="886">
        <v>69992.773357752987</v>
      </c>
      <c r="H18" s="888">
        <f>D18</f>
        <v>1</v>
      </c>
      <c r="I18" s="889">
        <f>G18*H18</f>
        <v>69992.773357752987</v>
      </c>
    </row>
    <row r="19" spans="1:9">
      <c r="A19" s="389">
        <f t="shared" si="0"/>
        <v>5</v>
      </c>
      <c r="B19" s="585" t="s">
        <v>462</v>
      </c>
      <c r="C19" s="890">
        <f>SUM(C16:C18)</f>
        <v>96909.051195151013</v>
      </c>
      <c r="D19" s="492"/>
      <c r="E19" s="887">
        <f>SUM(E16:E18)</f>
        <v>96909.051195151013</v>
      </c>
      <c r="F19" s="60"/>
      <c r="G19" s="890">
        <f>SUM(G16:G18)</f>
        <v>69992.773357752987</v>
      </c>
      <c r="H19" s="60"/>
      <c r="I19" s="887">
        <f>SUM(I16:I18)</f>
        <v>69992.773357752987</v>
      </c>
    </row>
    <row r="20" spans="1:9">
      <c r="A20" s="389">
        <f t="shared" si="0"/>
        <v>6</v>
      </c>
      <c r="B20" s="232"/>
      <c r="C20" s="588"/>
      <c r="D20" s="337"/>
      <c r="E20" s="588"/>
      <c r="G20" s="588"/>
      <c r="I20" s="588"/>
    </row>
    <row r="21" spans="1:9">
      <c r="A21" s="389">
        <f t="shared" si="0"/>
        <v>7</v>
      </c>
      <c r="B21" s="184" t="s">
        <v>73</v>
      </c>
      <c r="C21" s="222"/>
      <c r="D21" s="589"/>
      <c r="E21" s="222"/>
      <c r="F21" s="495"/>
      <c r="G21" s="222"/>
      <c r="H21" s="495"/>
      <c r="I21" s="222"/>
    </row>
    <row r="22" spans="1:9">
      <c r="A22" s="389">
        <f t="shared" si="0"/>
        <v>8</v>
      </c>
      <c r="B22" s="165" t="s">
        <v>946</v>
      </c>
      <c r="C22" s="886">
        <v>178425.69458116771</v>
      </c>
      <c r="D22" s="891">
        <f>Allocation!$I$17</f>
        <v>0.49969999999999998</v>
      </c>
      <c r="E22" s="887">
        <f>C22*D22</f>
        <v>89159.3195822095</v>
      </c>
      <c r="F22" s="495"/>
      <c r="G22" s="886">
        <v>317682.22796997521</v>
      </c>
      <c r="H22" s="891">
        <f>Allocation!$E$17</f>
        <v>0.48899999999999999</v>
      </c>
      <c r="I22" s="887">
        <f>G22*H22</f>
        <v>155346.60947731786</v>
      </c>
    </row>
    <row r="23" spans="1:9">
      <c r="A23" s="389">
        <f t="shared" si="0"/>
        <v>9</v>
      </c>
      <c r="B23" s="165" t="s">
        <v>947</v>
      </c>
      <c r="C23" s="886">
        <v>-462495.59567927022</v>
      </c>
      <c r="D23" s="892">
        <f>D22</f>
        <v>0.49969999999999998</v>
      </c>
      <c r="E23" s="889">
        <f>C23*D23</f>
        <v>-231109.04916093132</v>
      </c>
      <c r="F23" s="495"/>
      <c r="G23" s="886">
        <v>-823461.17024559458</v>
      </c>
      <c r="H23" s="892">
        <f>H22</f>
        <v>0.48899999999999999</v>
      </c>
      <c r="I23" s="889">
        <f>G23*H23</f>
        <v>-402672.51225009572</v>
      </c>
    </row>
    <row r="24" spans="1:9">
      <c r="A24" s="389">
        <f t="shared" si="0"/>
        <v>10</v>
      </c>
      <c r="B24" s="585" t="s">
        <v>462</v>
      </c>
      <c r="C24" s="890">
        <f>SUM(C22:C23)</f>
        <v>-284069.90109810251</v>
      </c>
      <c r="D24" s="589"/>
      <c r="E24" s="887">
        <f>SUM(E22:E23)</f>
        <v>-141949.7295787218</v>
      </c>
      <c r="F24" s="495"/>
      <c r="G24" s="890">
        <f>SUM(G22:G23)</f>
        <v>-505778.94227561937</v>
      </c>
      <c r="H24" s="64"/>
      <c r="I24" s="887">
        <f>SUM(I22:I23)</f>
        <v>-247325.90277277786</v>
      </c>
    </row>
    <row r="25" spans="1:9">
      <c r="A25" s="389">
        <f t="shared" si="0"/>
        <v>11</v>
      </c>
      <c r="B25" s="232"/>
      <c r="C25" s="588"/>
      <c r="D25" s="497"/>
      <c r="E25" s="588"/>
      <c r="G25" s="588"/>
      <c r="H25" s="532"/>
      <c r="I25" s="588"/>
    </row>
    <row r="26" spans="1:9">
      <c r="A26" s="389">
        <f t="shared" si="0"/>
        <v>12</v>
      </c>
      <c r="B26" s="232" t="s">
        <v>71</v>
      </c>
      <c r="C26" s="588"/>
      <c r="D26" s="187"/>
      <c r="E26" s="588"/>
      <c r="G26" s="588"/>
      <c r="H26" s="532"/>
      <c r="I26" s="588"/>
    </row>
    <row r="27" spans="1:9">
      <c r="A27" s="389">
        <f t="shared" si="0"/>
        <v>13</v>
      </c>
      <c r="B27" s="165" t="s">
        <v>946</v>
      </c>
      <c r="C27" s="886">
        <v>16211762.184235653</v>
      </c>
      <c r="D27" s="684">
        <f>Allocation!$I$14</f>
        <v>4.5622610000000001E-2</v>
      </c>
      <c r="E27" s="887">
        <f>C27*D27</f>
        <v>739622.90354413132</v>
      </c>
      <c r="G27" s="886">
        <v>9569727.5245456062</v>
      </c>
      <c r="H27" s="684">
        <f>Allocation!$E$14</f>
        <v>4.3520999999999997E-2</v>
      </c>
      <c r="I27" s="887">
        <f>G27*H27</f>
        <v>416484.11159574927</v>
      </c>
    </row>
    <row r="28" spans="1:9">
      <c r="A28" s="389">
        <f t="shared" si="0"/>
        <v>14</v>
      </c>
      <c r="B28" s="165" t="s">
        <v>947</v>
      </c>
      <c r="C28" s="886">
        <v>7353348.2401002878</v>
      </c>
      <c r="D28" s="721">
        <f>D27</f>
        <v>4.5622610000000001E-2</v>
      </c>
      <c r="E28" s="893">
        <f>C28*D28</f>
        <v>335478.93895228178</v>
      </c>
      <c r="G28" s="886">
        <v>4340647.1333069615</v>
      </c>
      <c r="H28" s="892">
        <f>H27</f>
        <v>4.3520999999999997E-2</v>
      </c>
      <c r="I28" s="893">
        <f>G28*H28</f>
        <v>188909.30388865227</v>
      </c>
    </row>
    <row r="29" spans="1:9">
      <c r="A29" s="389">
        <f t="shared" si="0"/>
        <v>15</v>
      </c>
      <c r="B29" s="585" t="s">
        <v>462</v>
      </c>
      <c r="C29" s="890">
        <f>SUM(C27:C28)</f>
        <v>23565110.424335942</v>
      </c>
      <c r="D29" s="187"/>
      <c r="E29" s="887">
        <f>SUM(E27:E28)</f>
        <v>1075101.842496413</v>
      </c>
      <c r="G29" s="890">
        <f>SUM(G27:G28)</f>
        <v>13910374.657852568</v>
      </c>
      <c r="H29" s="532"/>
      <c r="I29" s="887">
        <f>SUM(I27:I28)</f>
        <v>605393.41548440151</v>
      </c>
    </row>
    <row r="30" spans="1:9">
      <c r="A30" s="389">
        <f t="shared" si="0"/>
        <v>16</v>
      </c>
      <c r="B30" s="232"/>
      <c r="C30" s="588"/>
      <c r="D30" s="187"/>
      <c r="E30" s="588"/>
      <c r="G30" s="588"/>
      <c r="H30" s="532"/>
      <c r="I30" s="588"/>
    </row>
    <row r="31" spans="1:9">
      <c r="A31" s="389">
        <f t="shared" si="0"/>
        <v>17</v>
      </c>
      <c r="B31" s="232" t="s">
        <v>72</v>
      </c>
      <c r="C31" s="588"/>
      <c r="D31" s="187"/>
      <c r="E31" s="588"/>
      <c r="G31" s="588"/>
      <c r="H31" s="532"/>
      <c r="I31" s="588"/>
    </row>
    <row r="32" spans="1:9">
      <c r="A32" s="389">
        <f t="shared" si="0"/>
        <v>18</v>
      </c>
      <c r="B32" s="165" t="s">
        <v>946</v>
      </c>
      <c r="C32" s="720">
        <v>576515.06221381808</v>
      </c>
      <c r="D32" s="684">
        <f>Allocation!$I$15</f>
        <v>5.3911399999999998E-2</v>
      </c>
      <c r="E32" s="707">
        <f>C32*D32</f>
        <v>31080.734125034032</v>
      </c>
      <c r="G32" s="720">
        <v>731812.85303154076</v>
      </c>
      <c r="H32" s="684">
        <f>Allocation!$E$15</f>
        <v>5.3105399999999997E-2</v>
      </c>
      <c r="I32" s="707">
        <f>G32*H32</f>
        <v>38863.214285381182</v>
      </c>
    </row>
    <row r="33" spans="1:11">
      <c r="A33" s="389">
        <f t="shared" si="0"/>
        <v>19</v>
      </c>
      <c r="B33" s="165" t="s">
        <v>947</v>
      </c>
      <c r="C33" s="720">
        <v>0</v>
      </c>
      <c r="D33" s="360">
        <f>D32</f>
        <v>5.3911399999999998E-2</v>
      </c>
      <c r="E33" s="894">
        <f>C33*D33</f>
        <v>0</v>
      </c>
      <c r="G33" s="720">
        <v>0</v>
      </c>
      <c r="H33" s="892">
        <f>H32</f>
        <v>5.3105399999999997E-2</v>
      </c>
      <c r="I33" s="894">
        <f>G33*H33</f>
        <v>0</v>
      </c>
      <c r="K33" s="375"/>
    </row>
    <row r="34" spans="1:11">
      <c r="A34" s="389">
        <f t="shared" si="0"/>
        <v>20</v>
      </c>
      <c r="B34" s="585" t="s">
        <v>462</v>
      </c>
      <c r="C34" s="775">
        <f>SUM(C32:C33)</f>
        <v>576515.06221381808</v>
      </c>
      <c r="E34" s="707">
        <f>SUM(E32:E33)</f>
        <v>31080.734125034032</v>
      </c>
      <c r="G34" s="775">
        <f>SUM(G32:G33)</f>
        <v>731812.85303154076</v>
      </c>
      <c r="H34" s="532"/>
      <c r="I34" s="707">
        <f>SUM(I32:I33)</f>
        <v>38863.214285381182</v>
      </c>
    </row>
    <row r="37" spans="1:11">
      <c r="A37" s="45" t="s">
        <v>384</v>
      </c>
    </row>
    <row r="40" spans="1:11" ht="15.75">
      <c r="C40" s="330"/>
    </row>
    <row r="42" spans="1:11">
      <c r="B42" t="s">
        <v>492</v>
      </c>
      <c r="D42" t="s">
        <v>314</v>
      </c>
    </row>
    <row r="43" spans="1:11">
      <c r="B43" t="s">
        <v>1671</v>
      </c>
    </row>
  </sheetData>
  <mergeCells count="5">
    <mergeCell ref="A5:I5"/>
    <mergeCell ref="A1:I1"/>
    <mergeCell ref="A2:I2"/>
    <mergeCell ref="A3:I3"/>
    <mergeCell ref="A4:I4"/>
  </mergeCells>
  <phoneticPr fontId="20" type="noConversion"/>
  <pageMargins left="0.89" right="0.71" top="0.76" bottom="0.5" header="0.57999999999999996" footer="0.5"/>
  <pageSetup scale="84" orientation="landscape" verticalDpi="300" r:id="rId1"/>
  <headerFooter alignWithMargins="0">
    <oddFooter>&amp;RSchedule &amp;A
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92D050"/>
  </sheetPr>
  <dimension ref="A1:J36"/>
  <sheetViews>
    <sheetView view="pageBreakPreview" topLeftCell="A4" zoomScale="80" zoomScaleNormal="100" zoomScaleSheetLayoutView="80" workbookViewId="0">
      <selection activeCell="D15" sqref="D15"/>
    </sheetView>
  </sheetViews>
  <sheetFormatPr defaultRowHeight="15"/>
  <cols>
    <col min="1" max="1" width="6.33203125" customWidth="1"/>
    <col min="2" max="2" width="44.21875" customWidth="1"/>
    <col min="3" max="3" width="16.6640625" customWidth="1"/>
    <col min="4" max="4" width="13.6640625" customWidth="1"/>
    <col min="5" max="5" width="12.44140625" bestFit="1" customWidth="1"/>
    <col min="7" max="7" width="9.6640625" customWidth="1"/>
    <col min="8" max="8" width="9" customWidth="1"/>
    <col min="9" max="9" width="20.33203125" customWidth="1"/>
    <col min="10" max="10" width="20.21875" customWidth="1"/>
    <col min="12" max="12" width="13.33203125" customWidth="1"/>
    <col min="13" max="13" width="23.109375" customWidth="1"/>
    <col min="14" max="14" width="23.33203125" customWidth="1"/>
    <col min="15" max="16" width="8.21875" customWidth="1"/>
    <col min="17" max="17" width="16.77734375" bestFit="1" customWidth="1"/>
    <col min="18" max="18" width="15" bestFit="1" customWidth="1"/>
    <col min="19" max="19" width="4.109375" bestFit="1" customWidth="1"/>
  </cols>
  <sheetData>
    <row r="1" spans="1:10" ht="15.75">
      <c r="A1" s="1088" t="str">
        <f>'Table of Contents'!A1:C1</f>
        <v>Atmos Energy Corporation, Kentucky/Mid-States Division</v>
      </c>
      <c r="B1" s="1088"/>
      <c r="C1" s="1088"/>
      <c r="D1" s="1088"/>
      <c r="E1" s="1088"/>
      <c r="F1" s="12"/>
      <c r="G1" s="1"/>
      <c r="H1" s="1"/>
      <c r="I1" s="1"/>
      <c r="J1" s="1"/>
    </row>
    <row r="2" spans="1:10" ht="15.75">
      <c r="A2" s="1088" t="str">
        <f>'Table of Contents'!A2:C2</f>
        <v xml:space="preserve">Kentucky Jurisdiction Case No. 2024-00276 </v>
      </c>
      <c r="B2" s="1088"/>
      <c r="C2" s="1088"/>
      <c r="D2" s="1088"/>
      <c r="E2" s="1088"/>
      <c r="F2" s="413"/>
      <c r="G2" s="1"/>
      <c r="H2" s="1"/>
      <c r="I2" s="1"/>
      <c r="J2" s="1"/>
    </row>
    <row r="3" spans="1:10" ht="15.75">
      <c r="A3" s="1061" t="s">
        <v>212</v>
      </c>
      <c r="B3" s="1061"/>
      <c r="C3" s="1061"/>
      <c r="D3" s="1061"/>
      <c r="E3" s="1061"/>
      <c r="F3" s="413"/>
      <c r="G3" s="1"/>
      <c r="H3" s="1"/>
      <c r="I3" s="1"/>
      <c r="J3" s="1"/>
    </row>
    <row r="4" spans="1:10" ht="15.75">
      <c r="A4" s="12"/>
      <c r="B4" s="1"/>
      <c r="C4" s="1"/>
      <c r="D4" s="1"/>
      <c r="E4" s="1"/>
      <c r="F4" s="413"/>
      <c r="G4" s="1"/>
      <c r="H4" s="1"/>
      <c r="I4" s="1"/>
      <c r="J4" s="1"/>
    </row>
    <row r="5" spans="1:10" ht="15.75">
      <c r="A5" s="12"/>
      <c r="B5" s="1"/>
      <c r="C5" s="1"/>
      <c r="D5" s="1"/>
      <c r="E5" s="1"/>
      <c r="F5" s="413"/>
      <c r="G5" s="1"/>
      <c r="I5" s="1"/>
      <c r="J5" s="1"/>
    </row>
    <row r="6" spans="1:10" ht="15.75">
      <c r="A6" s="12"/>
      <c r="B6" s="1"/>
      <c r="C6" s="1"/>
      <c r="D6" s="1"/>
      <c r="F6" s="413"/>
      <c r="G6" s="1"/>
      <c r="I6" s="1"/>
      <c r="J6" s="1"/>
    </row>
    <row r="7" spans="1:10" ht="15.75">
      <c r="A7" s="48" t="s">
        <v>538</v>
      </c>
      <c r="C7" s="1"/>
      <c r="D7" s="1"/>
      <c r="E7" s="318" t="s">
        <v>1323</v>
      </c>
      <c r="F7" s="413"/>
      <c r="G7" s="1"/>
      <c r="I7" s="1"/>
      <c r="J7" s="1"/>
    </row>
    <row r="8" spans="1:10" ht="15.75">
      <c r="A8" s="48" t="s">
        <v>588</v>
      </c>
      <c r="C8" s="1"/>
      <c r="D8" s="1"/>
      <c r="E8" s="17" t="s">
        <v>70</v>
      </c>
      <c r="F8" s="413"/>
      <c r="G8" s="1"/>
      <c r="I8" s="1"/>
      <c r="J8" s="1"/>
    </row>
    <row r="9" spans="1:10" ht="15.75">
      <c r="A9" s="319" t="s">
        <v>405</v>
      </c>
      <c r="B9" s="36"/>
      <c r="C9" s="28"/>
      <c r="D9" s="28"/>
      <c r="E9" s="895" t="str">
        <f>F.1!$I$9</f>
        <v>Witness: Waller</v>
      </c>
      <c r="F9" s="12"/>
      <c r="G9" s="415"/>
      <c r="H9" s="1"/>
      <c r="I9" s="1"/>
      <c r="J9" s="1"/>
    </row>
    <row r="10" spans="1:10" ht="15.75">
      <c r="B10" s="22"/>
      <c r="C10" s="1"/>
      <c r="D10" s="1"/>
      <c r="E10" s="53"/>
      <c r="F10" s="1"/>
      <c r="G10" s="329"/>
    </row>
    <row r="11" spans="1:10">
      <c r="A11" s="57" t="s">
        <v>88</v>
      </c>
      <c r="C11" s="1"/>
      <c r="D11" s="1"/>
      <c r="E11" s="53"/>
      <c r="F11" s="1"/>
      <c r="G11" s="329"/>
    </row>
    <row r="12" spans="1:10">
      <c r="A12" s="58" t="s">
        <v>94</v>
      </c>
      <c r="B12" s="58" t="s">
        <v>949</v>
      </c>
      <c r="C12" s="28"/>
      <c r="D12" s="28"/>
      <c r="E12" s="233" t="s">
        <v>99</v>
      </c>
      <c r="F12" s="1"/>
      <c r="G12" s="329"/>
    </row>
    <row r="13" spans="1:10">
      <c r="A13" s="57"/>
      <c r="B13" s="57"/>
      <c r="C13" s="1"/>
      <c r="D13" s="1"/>
      <c r="E13" s="1"/>
      <c r="F13" s="1"/>
      <c r="G13" s="329"/>
    </row>
    <row r="14" spans="1:10" ht="15.75">
      <c r="A14" s="37">
        <v>1</v>
      </c>
      <c r="B14" s="80" t="s">
        <v>213</v>
      </c>
      <c r="F14" s="1"/>
      <c r="G14" s="414"/>
    </row>
    <row r="15" spans="1:10">
      <c r="A15" s="389">
        <f t="shared" ref="A15:A31" si="0">A14+1</f>
        <v>2</v>
      </c>
      <c r="B15" s="181" t="s">
        <v>902</v>
      </c>
      <c r="D15" s="896">
        <v>50000</v>
      </c>
      <c r="E15" s="79"/>
      <c r="F15" s="1"/>
      <c r="G15" s="329"/>
    </row>
    <row r="16" spans="1:10">
      <c r="A16" s="389">
        <f t="shared" si="0"/>
        <v>3</v>
      </c>
      <c r="B16" s="181" t="s">
        <v>1615</v>
      </c>
      <c r="D16" s="1010">
        <v>30000</v>
      </c>
      <c r="E16" s="79"/>
      <c r="F16" s="1"/>
    </row>
    <row r="17" spans="1:7">
      <c r="A17" s="389">
        <f t="shared" si="0"/>
        <v>4</v>
      </c>
      <c r="B17" s="181" t="s">
        <v>1616</v>
      </c>
      <c r="D17" s="898">
        <v>120000</v>
      </c>
      <c r="E17" s="79"/>
      <c r="F17" s="1"/>
      <c r="G17" s="329"/>
    </row>
    <row r="18" spans="1:7">
      <c r="A18" s="389">
        <f t="shared" si="0"/>
        <v>5</v>
      </c>
      <c r="B18" s="81" t="s">
        <v>381</v>
      </c>
      <c r="D18" s="79"/>
      <c r="E18" s="899">
        <f>SUM(D15:D17)</f>
        <v>200000</v>
      </c>
      <c r="F18" s="1"/>
    </row>
    <row r="19" spans="1:7">
      <c r="A19" s="389">
        <f t="shared" si="0"/>
        <v>6</v>
      </c>
      <c r="B19" s="81"/>
      <c r="D19" s="79"/>
      <c r="E19" s="79"/>
      <c r="F19" s="1"/>
    </row>
    <row r="20" spans="1:7" ht="15.75">
      <c r="A20" s="389">
        <f t="shared" si="0"/>
        <v>7</v>
      </c>
      <c r="B20" s="80" t="s">
        <v>382</v>
      </c>
      <c r="D20" s="79"/>
    </row>
    <row r="21" spans="1:7">
      <c r="A21" s="389">
        <f t="shared" si="0"/>
        <v>8</v>
      </c>
      <c r="B21" t="s">
        <v>1620</v>
      </c>
      <c r="D21" s="79"/>
      <c r="E21" s="900">
        <v>303000</v>
      </c>
      <c r="F21" s="77"/>
    </row>
    <row r="22" spans="1:7">
      <c r="A22" s="389">
        <f t="shared" si="0"/>
        <v>9</v>
      </c>
      <c r="B22" s="81" t="s">
        <v>314</v>
      </c>
      <c r="D22" s="79"/>
      <c r="E22" s="79"/>
      <c r="F22" s="77"/>
    </row>
    <row r="23" spans="1:7" ht="15.75">
      <c r="A23" s="389">
        <f t="shared" si="0"/>
        <v>10</v>
      </c>
      <c r="B23" s="80" t="s">
        <v>383</v>
      </c>
      <c r="D23" s="79"/>
      <c r="E23" s="79"/>
      <c r="F23" s="76"/>
    </row>
    <row r="24" spans="1:7">
      <c r="A24" s="389">
        <f t="shared" si="0"/>
        <v>11</v>
      </c>
      <c r="B24" s="81" t="s">
        <v>385</v>
      </c>
      <c r="D24" s="79"/>
      <c r="E24" s="897">
        <v>31617</v>
      </c>
      <c r="G24" s="77"/>
    </row>
    <row r="25" spans="1:7">
      <c r="A25" s="389">
        <f t="shared" si="0"/>
        <v>12</v>
      </c>
      <c r="B25" s="81"/>
      <c r="D25" s="79"/>
      <c r="E25" s="79"/>
    </row>
    <row r="26" spans="1:7" ht="15.75">
      <c r="A26" s="389">
        <f t="shared" si="0"/>
        <v>13</v>
      </c>
      <c r="B26" s="80" t="s">
        <v>386</v>
      </c>
      <c r="D26" s="79"/>
      <c r="E26" s="79"/>
      <c r="G26" s="76"/>
    </row>
    <row r="27" spans="1:7">
      <c r="A27" s="389">
        <f t="shared" si="0"/>
        <v>14</v>
      </c>
      <c r="B27" s="81" t="s">
        <v>387</v>
      </c>
      <c r="D27" s="79"/>
      <c r="E27" s="898">
        <v>108105.12</v>
      </c>
      <c r="G27" s="76"/>
    </row>
    <row r="28" spans="1:7">
      <c r="A28" s="389">
        <f t="shared" si="0"/>
        <v>15</v>
      </c>
      <c r="B28" s="81"/>
      <c r="D28" s="79"/>
      <c r="E28" s="79"/>
      <c r="G28" s="76"/>
    </row>
    <row r="29" spans="1:7" ht="16.5" thickBot="1">
      <c r="A29" s="389">
        <f t="shared" si="0"/>
        <v>16</v>
      </c>
      <c r="B29" s="80" t="s">
        <v>923</v>
      </c>
      <c r="D29" s="79"/>
      <c r="E29" s="901">
        <f>SUM(E14:E27)</f>
        <v>642722.12</v>
      </c>
      <c r="G29" s="76"/>
    </row>
    <row r="30" spans="1:7" ht="15.75" thickTop="1">
      <c r="A30" s="389">
        <f t="shared" si="0"/>
        <v>17</v>
      </c>
      <c r="D30" s="79"/>
      <c r="E30" s="79"/>
      <c r="G30" s="78"/>
    </row>
    <row r="31" spans="1:7" ht="16.5" thickBot="1">
      <c r="A31" s="389">
        <f t="shared" si="0"/>
        <v>18</v>
      </c>
      <c r="B31" s="80" t="s">
        <v>1507</v>
      </c>
      <c r="E31" s="754">
        <f>E29/3</f>
        <v>214240.70666666667</v>
      </c>
    </row>
    <row r="32" spans="1:7" ht="15.75" thickTop="1">
      <c r="A32" s="678"/>
    </row>
    <row r="33" spans="2:2">
      <c r="B33" t="s">
        <v>1536</v>
      </c>
    </row>
    <row r="34" spans="2:2">
      <c r="B34" t="s">
        <v>1678</v>
      </c>
    </row>
    <row r="36" spans="2:2">
      <c r="B36" t="s">
        <v>1589</v>
      </c>
    </row>
  </sheetData>
  <mergeCells count="3">
    <mergeCell ref="A1:E1"/>
    <mergeCell ref="A2:E2"/>
    <mergeCell ref="A3:E3"/>
  </mergeCells>
  <phoneticPr fontId="20" type="noConversion"/>
  <printOptions horizontalCentered="1"/>
  <pageMargins left="1" right="0.87" top="1" bottom="1" header="0.5" footer="0.5"/>
  <pageSetup scale="58" fitToWidth="0" fitToHeight="0" orientation="portrait" verticalDpi="300" r:id="rId1"/>
  <headerFooter alignWithMargins="0">
    <oddFooter>&amp;RSchedule &amp;A
Page &amp;P of &amp;N</oddFooter>
  </headerFooter>
  <colBreaks count="3" manualBreakCount="3">
    <brk id="5" max="67" man="1"/>
    <brk id="11" max="67" man="1"/>
    <brk id="15" max="67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92D050"/>
    <pageSetUpPr fitToPage="1"/>
  </sheetPr>
  <dimension ref="A1:L56"/>
  <sheetViews>
    <sheetView view="pageBreakPreview" topLeftCell="A24" zoomScale="80" zoomScaleNormal="100" zoomScaleSheetLayoutView="80" workbookViewId="0">
      <selection activeCell="B56" sqref="B56"/>
    </sheetView>
  </sheetViews>
  <sheetFormatPr defaultColWidth="8.88671875" defaultRowHeight="15"/>
  <cols>
    <col min="1" max="1" width="5.21875" customWidth="1"/>
    <col min="2" max="2" width="24.6640625" customWidth="1"/>
    <col min="3" max="3" width="9.5546875" bestFit="1" customWidth="1"/>
    <col min="4" max="4" width="11.6640625" customWidth="1"/>
    <col min="5" max="5" width="9.44140625" customWidth="1"/>
    <col min="6" max="6" width="4.109375" customWidth="1"/>
    <col min="7" max="7" width="11" customWidth="1"/>
    <col min="8" max="8" width="10.77734375" customWidth="1"/>
    <col min="9" max="9" width="10.109375" customWidth="1"/>
  </cols>
  <sheetData>
    <row r="1" spans="1:12" ht="15.75">
      <c r="A1" s="1088" t="str">
        <f>'Table of Contents'!A1:C1</f>
        <v>Atmos Energy Corporation, Kentucky/Mid-States Division</v>
      </c>
      <c r="B1" s="1088"/>
      <c r="C1" s="1088"/>
      <c r="D1" s="1088"/>
      <c r="E1" s="1088"/>
      <c r="F1" s="1088"/>
      <c r="G1" s="1088"/>
      <c r="H1" s="1088"/>
      <c r="I1" s="1088"/>
    </row>
    <row r="2" spans="1:12" ht="15.75">
      <c r="A2" s="1088" t="str">
        <f>'Table of Contents'!A2:C2</f>
        <v xml:space="preserve">Kentucky Jurisdiction Case No. 2024-00276 </v>
      </c>
      <c r="B2" s="1088"/>
      <c r="C2" s="1088"/>
      <c r="D2" s="1088"/>
      <c r="E2" s="1088"/>
      <c r="F2" s="1088"/>
      <c r="G2" s="1088"/>
      <c r="H2" s="1088"/>
      <c r="I2" s="1088"/>
    </row>
    <row r="3" spans="1:12" ht="15.75">
      <c r="A3" s="1061" t="s">
        <v>38</v>
      </c>
      <c r="B3" s="1061"/>
      <c r="C3" s="1061"/>
      <c r="D3" s="1061"/>
      <c r="E3" s="1061"/>
      <c r="F3" s="1061"/>
      <c r="G3" s="1061"/>
      <c r="H3" s="1061"/>
      <c r="I3" s="1061"/>
    </row>
    <row r="4" spans="1:12" ht="15.75">
      <c r="A4" s="1088" t="str">
        <f>'Table of Contents'!A3:C3</f>
        <v>Base Period: Twelve Months Ended December 31, 2024</v>
      </c>
      <c r="B4" s="1088"/>
      <c r="C4" s="1088"/>
      <c r="D4" s="1088"/>
      <c r="E4" s="1088"/>
      <c r="F4" s="1088"/>
      <c r="G4" s="1088"/>
      <c r="H4" s="1088"/>
      <c r="I4" s="1088"/>
    </row>
    <row r="5" spans="1:12" ht="15.75">
      <c r="A5" s="1088" t="str">
        <f>'Table of Contents'!A4:C4</f>
        <v>Forecasted Test Period:  Twelve Months Ended March 31, 2026</v>
      </c>
      <c r="B5" s="1088"/>
      <c r="C5" s="1088"/>
      <c r="D5" s="1088"/>
      <c r="E5" s="1088"/>
      <c r="F5" s="1088"/>
      <c r="G5" s="1088"/>
      <c r="H5" s="1088"/>
      <c r="I5" s="1088"/>
    </row>
    <row r="6" spans="1:12" ht="15.75">
      <c r="A6" s="12"/>
      <c r="B6" s="12"/>
      <c r="L6" s="375"/>
    </row>
    <row r="7" spans="1:12" ht="15.75">
      <c r="A7" s="12"/>
      <c r="B7" s="12"/>
      <c r="D7" s="330"/>
      <c r="L7" s="375"/>
    </row>
    <row r="8" spans="1:12">
      <c r="A8" s="48" t="s">
        <v>192</v>
      </c>
      <c r="I8" s="84" t="s">
        <v>1323</v>
      </c>
    </row>
    <row r="9" spans="1:12">
      <c r="A9" s="48" t="s">
        <v>1081</v>
      </c>
      <c r="I9" s="314" t="s">
        <v>546</v>
      </c>
    </row>
    <row r="10" spans="1:12">
      <c r="A10" s="48" t="s">
        <v>405</v>
      </c>
      <c r="I10" s="718" t="str">
        <f>F.1!$I$9</f>
        <v>Witness: Waller</v>
      </c>
    </row>
    <row r="11" spans="1:12" ht="15.75">
      <c r="A11" s="67"/>
      <c r="B11" s="67"/>
      <c r="C11" s="315"/>
      <c r="D11" s="316" t="s">
        <v>315</v>
      </c>
      <c r="E11" s="317"/>
      <c r="F11" s="67"/>
      <c r="G11" s="315"/>
      <c r="H11" s="316" t="s">
        <v>316</v>
      </c>
      <c r="I11" s="317"/>
      <c r="L11" s="375"/>
    </row>
    <row r="12" spans="1:12">
      <c r="A12" s="57" t="s">
        <v>88</v>
      </c>
      <c r="B12" s="57" t="s">
        <v>544</v>
      </c>
      <c r="C12" s="57" t="s">
        <v>91</v>
      </c>
      <c r="D12" s="37" t="s">
        <v>10</v>
      </c>
      <c r="E12" s="37" t="s">
        <v>11</v>
      </c>
      <c r="F12" s="37"/>
      <c r="G12" s="57" t="s">
        <v>91</v>
      </c>
      <c r="H12" s="389" t="str">
        <f>D12</f>
        <v xml:space="preserve">Kentucky </v>
      </c>
      <c r="I12" s="37" t="s">
        <v>945</v>
      </c>
    </row>
    <row r="13" spans="1:12">
      <c r="A13" s="58" t="s">
        <v>94</v>
      </c>
      <c r="B13" s="58" t="s">
        <v>1042</v>
      </c>
      <c r="C13" s="58" t="s">
        <v>566</v>
      </c>
      <c r="D13" s="41" t="s">
        <v>92</v>
      </c>
      <c r="E13" s="58" t="s">
        <v>99</v>
      </c>
      <c r="F13" s="58"/>
      <c r="G13" s="58" t="s">
        <v>566</v>
      </c>
      <c r="H13" s="882" t="str">
        <f>D13</f>
        <v>Jurisdictional</v>
      </c>
      <c r="I13" s="58" t="s">
        <v>99</v>
      </c>
      <c r="L13" s="375"/>
    </row>
    <row r="15" spans="1:12" ht="15.75">
      <c r="A15" s="53">
        <v>1</v>
      </c>
      <c r="B15" s="584" t="s">
        <v>187</v>
      </c>
      <c r="C15" s="218"/>
      <c r="D15" s="1"/>
      <c r="E15" s="221"/>
      <c r="F15" s="1"/>
      <c r="G15" s="218"/>
      <c r="H15" s="1"/>
      <c r="I15" s="221"/>
      <c r="J15" s="165"/>
    </row>
    <row r="16" spans="1:12">
      <c r="A16" s="53">
        <v>2</v>
      </c>
      <c r="B16" s="224" t="s">
        <v>547</v>
      </c>
      <c r="C16" s="189">
        <v>0</v>
      </c>
      <c r="D16" s="241">
        <v>1</v>
      </c>
      <c r="E16" s="713">
        <f>C16*D16</f>
        <v>0</v>
      </c>
      <c r="F16" s="1"/>
      <c r="G16" s="189">
        <v>0</v>
      </c>
      <c r="H16" s="714">
        <f>D16</f>
        <v>1</v>
      </c>
      <c r="I16" s="713">
        <f>G16*H16</f>
        <v>0</v>
      </c>
      <c r="J16" s="165"/>
    </row>
    <row r="17" spans="1:10">
      <c r="A17" s="53">
        <v>3</v>
      </c>
      <c r="B17" s="224" t="s">
        <v>548</v>
      </c>
      <c r="C17" s="218">
        <v>0</v>
      </c>
      <c r="D17" s="714">
        <f>$D$16</f>
        <v>1</v>
      </c>
      <c r="E17" s="768">
        <f>C17*D17</f>
        <v>0</v>
      </c>
      <c r="F17" s="1"/>
      <c r="G17" s="218">
        <v>0</v>
      </c>
      <c r="H17" s="714">
        <f>D17</f>
        <v>1</v>
      </c>
      <c r="I17" s="768">
        <f>G17*H17</f>
        <v>0</v>
      </c>
      <c r="J17" s="585"/>
    </row>
    <row r="18" spans="1:10">
      <c r="A18" s="53">
        <v>4</v>
      </c>
      <c r="B18" s="224" t="s">
        <v>636</v>
      </c>
      <c r="C18" s="612">
        <v>63927.17</v>
      </c>
      <c r="D18" s="714">
        <f>$D$16</f>
        <v>1</v>
      </c>
      <c r="E18" s="710">
        <f>C18*D18</f>
        <v>63927.17</v>
      </c>
      <c r="F18" s="1"/>
      <c r="G18" s="710">
        <f>C18</f>
        <v>63927.17</v>
      </c>
      <c r="H18" s="714">
        <f>D18</f>
        <v>1</v>
      </c>
      <c r="I18" s="710">
        <f>G18*H18</f>
        <v>63927.17</v>
      </c>
      <c r="J18" s="232"/>
    </row>
    <row r="19" spans="1:10">
      <c r="A19" s="53">
        <v>5</v>
      </c>
      <c r="B19" s="224" t="s">
        <v>557</v>
      </c>
      <c r="C19" s="240">
        <v>0</v>
      </c>
      <c r="D19" s="714">
        <f>$D$16</f>
        <v>1</v>
      </c>
      <c r="E19" s="884">
        <f>C19*D19</f>
        <v>0</v>
      </c>
      <c r="F19" s="1"/>
      <c r="G19" s="240">
        <v>0</v>
      </c>
      <c r="H19" s="714">
        <f>D19</f>
        <v>1</v>
      </c>
      <c r="I19" s="884">
        <f>G19*H19</f>
        <v>0</v>
      </c>
      <c r="J19" s="184"/>
    </row>
    <row r="20" spans="1:10">
      <c r="A20" s="53">
        <v>6</v>
      </c>
      <c r="B20" s="239" t="s">
        <v>91</v>
      </c>
      <c r="C20" s="764">
        <f>SUM(C16:C19)</f>
        <v>63927.17</v>
      </c>
      <c r="D20" s="1"/>
      <c r="E20" s="764">
        <f>SUM(E16:E19)</f>
        <v>63927.17</v>
      </c>
      <c r="F20" s="1"/>
      <c r="G20" s="764">
        <f>SUM(G16:G19)</f>
        <v>63927.17</v>
      </c>
      <c r="H20" s="1"/>
      <c r="I20" s="764">
        <f>SUM(I16:I19)</f>
        <v>63927.17</v>
      </c>
      <c r="J20" s="184"/>
    </row>
    <row r="21" spans="1:10">
      <c r="A21" s="53">
        <v>7</v>
      </c>
      <c r="C21" s="218"/>
      <c r="D21" s="1"/>
      <c r="E21" s="218"/>
      <c r="F21" s="1"/>
      <c r="G21" s="218"/>
      <c r="H21" s="1"/>
      <c r="I21" s="218"/>
      <c r="J21" s="184"/>
    </row>
    <row r="22" spans="1:10" ht="15.75">
      <c r="A22" s="53">
        <v>8</v>
      </c>
      <c r="B22" s="584" t="s">
        <v>73</v>
      </c>
      <c r="C22" s="221"/>
      <c r="D22" s="1"/>
      <c r="E22" s="221"/>
      <c r="F22" s="1"/>
      <c r="G22" s="221"/>
      <c r="H22" s="1"/>
      <c r="I22" s="221"/>
      <c r="J22" s="165"/>
    </row>
    <row r="23" spans="1:10">
      <c r="A23" s="53">
        <v>9</v>
      </c>
      <c r="B23" s="224" t="s">
        <v>547</v>
      </c>
      <c r="C23" s="189">
        <v>0</v>
      </c>
      <c r="D23" s="881">
        <f>Allocation!$I$17</f>
        <v>0.49969999999999998</v>
      </c>
      <c r="E23" s="713">
        <f>C23*D23</f>
        <v>0</v>
      </c>
      <c r="F23" s="1"/>
      <c r="G23" s="189">
        <v>0</v>
      </c>
      <c r="H23" s="881">
        <f>Allocation!$E$17</f>
        <v>0.48899999999999999</v>
      </c>
      <c r="I23" s="713">
        <f>G23*H23</f>
        <v>0</v>
      </c>
      <c r="J23" s="165"/>
    </row>
    <row r="24" spans="1:10">
      <c r="A24" s="53">
        <v>10</v>
      </c>
      <c r="B24" s="224" t="s">
        <v>548</v>
      </c>
      <c r="C24" s="218">
        <v>0</v>
      </c>
      <c r="D24" s="721">
        <f>$D$23</f>
        <v>0.49969999999999998</v>
      </c>
      <c r="E24" s="768">
        <f>C24*D24</f>
        <v>0</v>
      </c>
      <c r="F24" s="1"/>
      <c r="G24" s="218">
        <v>0</v>
      </c>
      <c r="H24" s="721">
        <f>H23</f>
        <v>0.48899999999999999</v>
      </c>
      <c r="I24" s="768">
        <f>G24*H24</f>
        <v>0</v>
      </c>
      <c r="J24" s="585"/>
    </row>
    <row r="25" spans="1:10">
      <c r="A25" s="53">
        <v>11</v>
      </c>
      <c r="B25" s="224" t="s">
        <v>636</v>
      </c>
      <c r="C25" s="612">
        <v>0</v>
      </c>
      <c r="D25" s="721">
        <f>$D$23</f>
        <v>0.49969999999999998</v>
      </c>
      <c r="E25" s="710">
        <f>C25*D25</f>
        <v>0</v>
      </c>
      <c r="F25" s="1"/>
      <c r="G25" s="710">
        <f>C25</f>
        <v>0</v>
      </c>
      <c r="H25" s="721">
        <f>H23</f>
        <v>0.48899999999999999</v>
      </c>
      <c r="I25" s="710">
        <f>G25*H25</f>
        <v>0</v>
      </c>
      <c r="J25" s="232"/>
    </row>
    <row r="26" spans="1:10">
      <c r="A26" s="53">
        <v>12</v>
      </c>
      <c r="B26" s="224" t="s">
        <v>557</v>
      </c>
      <c r="C26" s="240">
        <v>0</v>
      </c>
      <c r="D26" s="721">
        <f>$D$23</f>
        <v>0.49969999999999998</v>
      </c>
      <c r="E26" s="884">
        <f>C26*D26</f>
        <v>0</v>
      </c>
      <c r="F26" s="1"/>
      <c r="G26" s="240">
        <v>0</v>
      </c>
      <c r="H26" s="721">
        <f>H23</f>
        <v>0.48899999999999999</v>
      </c>
      <c r="I26" s="884">
        <f>G26*H26</f>
        <v>0</v>
      </c>
      <c r="J26" s="232"/>
    </row>
    <row r="27" spans="1:10">
      <c r="A27" s="53">
        <v>13</v>
      </c>
      <c r="B27" s="239" t="s">
        <v>91</v>
      </c>
      <c r="C27" s="764">
        <f>SUM(C23:C26)</f>
        <v>0</v>
      </c>
      <c r="E27" s="764">
        <f>SUM(E23:E26)</f>
        <v>0</v>
      </c>
      <c r="G27" s="764">
        <f>SUM(G23:G26)</f>
        <v>0</v>
      </c>
      <c r="I27" s="764">
        <f>SUM(I23:I26)</f>
        <v>0</v>
      </c>
      <c r="J27" s="165"/>
    </row>
    <row r="28" spans="1:10">
      <c r="A28" s="53">
        <v>14</v>
      </c>
      <c r="B28" s="165"/>
      <c r="J28" s="165"/>
    </row>
    <row r="29" spans="1:10" ht="15.75">
      <c r="A29" s="53">
        <v>15</v>
      </c>
      <c r="B29" s="584" t="s">
        <v>71</v>
      </c>
      <c r="J29" s="585"/>
    </row>
    <row r="30" spans="1:10">
      <c r="A30" s="53">
        <v>16</v>
      </c>
      <c r="B30" s="224" t="s">
        <v>547</v>
      </c>
      <c r="C30" s="189">
        <v>0</v>
      </c>
      <c r="D30" s="684">
        <f>Allocation!$I$14</f>
        <v>4.5622610000000001E-2</v>
      </c>
      <c r="E30" s="713">
        <f>C30*D30</f>
        <v>0</v>
      </c>
      <c r="G30" s="189">
        <v>0</v>
      </c>
      <c r="H30" s="684">
        <f>Allocation!$E$14</f>
        <v>4.3520999999999997E-2</v>
      </c>
      <c r="I30" s="713">
        <f>G30*H30</f>
        <v>0</v>
      </c>
      <c r="J30" s="232"/>
    </row>
    <row r="31" spans="1:10">
      <c r="A31" s="53">
        <v>17</v>
      </c>
      <c r="B31" s="224" t="s">
        <v>548</v>
      </c>
      <c r="C31" s="218">
        <v>0</v>
      </c>
      <c r="D31" s="360">
        <f>$D$30</f>
        <v>4.5622610000000001E-2</v>
      </c>
      <c r="E31" s="768">
        <f>C31*D31</f>
        <v>0</v>
      </c>
      <c r="G31" s="218">
        <v>0</v>
      </c>
      <c r="H31" s="721">
        <f>D31</f>
        <v>4.5622610000000001E-2</v>
      </c>
      <c r="I31" s="768">
        <f>G31*H31</f>
        <v>0</v>
      </c>
      <c r="J31" s="232"/>
    </row>
    <row r="32" spans="1:10">
      <c r="A32" s="53">
        <v>18</v>
      </c>
      <c r="B32" s="224" t="s">
        <v>636</v>
      </c>
      <c r="C32" s="612">
        <v>359377.42</v>
      </c>
      <c r="D32" s="360">
        <f>$D$30</f>
        <v>4.5622610000000001E-2</v>
      </c>
      <c r="E32" s="710">
        <f>C32*D32</f>
        <v>16395.735875466198</v>
      </c>
      <c r="G32" s="710">
        <f>C32</f>
        <v>359377.42</v>
      </c>
      <c r="H32" s="721">
        <f>D32</f>
        <v>4.5622610000000001E-2</v>
      </c>
      <c r="I32" s="710">
        <f>G32*H32</f>
        <v>16395.735875466198</v>
      </c>
      <c r="J32" s="165"/>
    </row>
    <row r="33" spans="1:10">
      <c r="A33" s="53">
        <v>19</v>
      </c>
      <c r="B33" s="224" t="s">
        <v>557</v>
      </c>
      <c r="C33" s="240">
        <v>0</v>
      </c>
      <c r="D33" s="360">
        <f>$D$30</f>
        <v>4.5622610000000001E-2</v>
      </c>
      <c r="E33" s="884">
        <f>C33*D33</f>
        <v>0</v>
      </c>
      <c r="G33" s="240">
        <v>0</v>
      </c>
      <c r="H33" s="721">
        <f>D33</f>
        <v>4.5622610000000001E-2</v>
      </c>
      <c r="I33" s="884">
        <f>G33*H33</f>
        <v>0</v>
      </c>
      <c r="J33" s="165"/>
    </row>
    <row r="34" spans="1:10">
      <c r="A34" s="53">
        <v>20</v>
      </c>
      <c r="B34" s="239" t="s">
        <v>91</v>
      </c>
      <c r="C34" s="764">
        <f>SUM(C30:C33)</f>
        <v>359377.42</v>
      </c>
      <c r="E34" s="764">
        <f>SUM(E30:E33)</f>
        <v>16395.735875466198</v>
      </c>
      <c r="G34" s="764">
        <f>SUM(G30:G33)</f>
        <v>359377.42</v>
      </c>
      <c r="I34" s="764">
        <f>SUM(I30:I33)</f>
        <v>16395.735875466198</v>
      </c>
      <c r="J34" s="585"/>
    </row>
    <row r="35" spans="1:10">
      <c r="A35" s="53">
        <v>21</v>
      </c>
      <c r="B35" s="585"/>
    </row>
    <row r="36" spans="1:10" ht="15.75">
      <c r="A36" s="53">
        <v>22</v>
      </c>
      <c r="B36" s="584" t="s">
        <v>72</v>
      </c>
    </row>
    <row r="37" spans="1:10">
      <c r="A37" s="53">
        <v>23</v>
      </c>
      <c r="B37" s="224" t="s">
        <v>547</v>
      </c>
      <c r="C37" s="189">
        <v>0</v>
      </c>
      <c r="D37" s="684">
        <f>Allocation!$I$15</f>
        <v>5.3911399999999998E-2</v>
      </c>
      <c r="E37" s="713">
        <f>C37*D37</f>
        <v>0</v>
      </c>
      <c r="G37" s="189">
        <v>0</v>
      </c>
      <c r="H37" s="721">
        <f>D37</f>
        <v>5.3911399999999998E-2</v>
      </c>
      <c r="I37" s="713">
        <f>G37*H37</f>
        <v>0</v>
      </c>
    </row>
    <row r="38" spans="1:10">
      <c r="A38" s="53">
        <v>24</v>
      </c>
      <c r="B38" s="224" t="s">
        <v>548</v>
      </c>
      <c r="C38" s="218">
        <v>0</v>
      </c>
      <c r="D38" s="360">
        <f>$D$37</f>
        <v>5.3911399999999998E-2</v>
      </c>
      <c r="E38" s="768">
        <f>C38*D38</f>
        <v>0</v>
      </c>
      <c r="G38" s="218">
        <v>0</v>
      </c>
      <c r="H38" s="721">
        <f>D38</f>
        <v>5.3911399999999998E-2</v>
      </c>
      <c r="I38" s="768">
        <f>G38*H38</f>
        <v>0</v>
      </c>
    </row>
    <row r="39" spans="1:10">
      <c r="A39" s="53">
        <v>25</v>
      </c>
      <c r="B39" s="224" t="s">
        <v>636</v>
      </c>
      <c r="C39" s="221">
        <v>0</v>
      </c>
      <c r="D39" s="360">
        <f>$D$37</f>
        <v>5.3911399999999998E-2</v>
      </c>
      <c r="E39" s="710">
        <f>C39*D39</f>
        <v>0</v>
      </c>
      <c r="G39" s="710">
        <f>C39</f>
        <v>0</v>
      </c>
      <c r="H39" s="721">
        <f>D39</f>
        <v>5.3911399999999998E-2</v>
      </c>
      <c r="I39" s="710">
        <f>G39*H39</f>
        <v>0</v>
      </c>
    </row>
    <row r="40" spans="1:10">
      <c r="A40" s="53">
        <v>26</v>
      </c>
      <c r="B40" s="224" t="s">
        <v>557</v>
      </c>
      <c r="C40" s="240">
        <v>0</v>
      </c>
      <c r="D40" s="360">
        <f>$D$37</f>
        <v>5.3911399999999998E-2</v>
      </c>
      <c r="E40" s="884">
        <f>C40*D40</f>
        <v>0</v>
      </c>
      <c r="G40" s="240">
        <v>0</v>
      </c>
      <c r="H40" s="721">
        <f>D40</f>
        <v>5.3911399999999998E-2</v>
      </c>
      <c r="I40" s="884">
        <f>G40*H40</f>
        <v>0</v>
      </c>
    </row>
    <row r="41" spans="1:10">
      <c r="A41" s="53">
        <v>27</v>
      </c>
      <c r="B41" s="239" t="s">
        <v>91</v>
      </c>
      <c r="C41" s="764">
        <f>SUM(C37:C40)</f>
        <v>0</v>
      </c>
      <c r="E41" s="764">
        <f>SUM(E37:E40)</f>
        <v>0</v>
      </c>
      <c r="G41" s="764">
        <f>SUM(G37:G40)</f>
        <v>0</v>
      </c>
      <c r="I41" s="764">
        <f>SUM(I37:I40)</f>
        <v>0</v>
      </c>
    </row>
    <row r="42" spans="1:10">
      <c r="A42" s="53">
        <v>28</v>
      </c>
    </row>
    <row r="43" spans="1:10" ht="16.5" thickBot="1">
      <c r="A43" s="53">
        <v>29</v>
      </c>
      <c r="B43" s="88" t="s">
        <v>901</v>
      </c>
      <c r="C43" s="715">
        <f>C41+C34+C27+C20</f>
        <v>423304.58999999997</v>
      </c>
      <c r="E43" s="715">
        <f>E41+E34+E27+E20</f>
        <v>80322.905875466196</v>
      </c>
      <c r="G43" s="715">
        <f>G41+G34+G27+G20</f>
        <v>423304.58999999997</v>
      </c>
      <c r="I43" s="715">
        <f>I41+I34+I27+I20</f>
        <v>80322.905875466196</v>
      </c>
    </row>
    <row r="44" spans="1:10" ht="15.75" thickTop="1"/>
    <row r="45" spans="1:10">
      <c r="B45" t="s">
        <v>772</v>
      </c>
    </row>
    <row r="46" spans="1:10">
      <c r="B46" s="4" t="s">
        <v>277</v>
      </c>
    </row>
    <row r="47" spans="1:10">
      <c r="B47" s="4" t="s">
        <v>370</v>
      </c>
    </row>
    <row r="48" spans="1:10">
      <c r="B48" s="1"/>
    </row>
    <row r="49" spans="2:2">
      <c r="B49" s="4" t="s">
        <v>404</v>
      </c>
    </row>
    <row r="51" spans="2:2">
      <c r="B51" s="4" t="s">
        <v>737</v>
      </c>
    </row>
    <row r="55" spans="2:2">
      <c r="B55" t="s">
        <v>492</v>
      </c>
    </row>
    <row r="56" spans="2:2">
      <c r="B56" t="s">
        <v>1677</v>
      </c>
    </row>
  </sheetData>
  <mergeCells count="5">
    <mergeCell ref="A5:I5"/>
    <mergeCell ref="A1:I1"/>
    <mergeCell ref="A2:I2"/>
    <mergeCell ref="A3:I3"/>
    <mergeCell ref="A4:I4"/>
  </mergeCells>
  <phoneticPr fontId="20" type="noConversion"/>
  <printOptions horizontalCentered="1"/>
  <pageMargins left="0.89" right="0.34" top="0.5" bottom="0.5" header="0.5" footer="0.5"/>
  <pageSetup scale="80" orientation="portrait" verticalDpi="300" r:id="rId1"/>
  <headerFooter alignWithMargins="0">
    <oddFooter>&amp;RSchedule &amp;A
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P39"/>
  <sheetViews>
    <sheetView view="pageBreakPreview" zoomScale="80" zoomScaleNormal="100" zoomScaleSheetLayoutView="80" workbookViewId="0">
      <selection activeCell="C20" sqref="C20"/>
    </sheetView>
  </sheetViews>
  <sheetFormatPr defaultColWidth="8.88671875" defaultRowHeight="15"/>
  <cols>
    <col min="1" max="1" width="5.88671875" customWidth="1"/>
    <col min="2" max="2" width="32.44140625" customWidth="1"/>
    <col min="3" max="3" width="11.33203125" customWidth="1"/>
    <col min="4" max="4" width="11.109375" customWidth="1"/>
    <col min="5" max="5" width="9.6640625" customWidth="1"/>
    <col min="6" max="6" width="4.21875" customWidth="1"/>
    <col min="7" max="7" width="11" bestFit="1" customWidth="1"/>
    <col min="8" max="8" width="12" customWidth="1"/>
    <col min="9" max="9" width="10.77734375" customWidth="1"/>
  </cols>
  <sheetData>
    <row r="1" spans="1:14" ht="15.75">
      <c r="A1" s="1089" t="str">
        <f>'Table of Contents'!A1:C1</f>
        <v>Atmos Energy Corporation, Kentucky/Mid-States Division</v>
      </c>
      <c r="B1" s="1089"/>
      <c r="C1" s="1089"/>
      <c r="D1" s="1089"/>
      <c r="E1" s="1089"/>
      <c r="F1" s="1089"/>
      <c r="G1" s="1089"/>
      <c r="H1" s="1089"/>
      <c r="I1" s="1089"/>
    </row>
    <row r="2" spans="1:14" ht="15.75">
      <c r="A2" s="1089" t="str">
        <f>'Table of Contents'!A2:C2</f>
        <v xml:space="preserve">Kentucky Jurisdiction Case No. 2024-00276 </v>
      </c>
      <c r="B2" s="1089" t="s">
        <v>314</v>
      </c>
      <c r="C2" s="1089"/>
      <c r="D2" s="1089"/>
      <c r="E2" s="1089"/>
      <c r="F2" s="1089"/>
      <c r="G2" s="1089"/>
      <c r="H2" s="1089"/>
      <c r="I2" s="1089"/>
    </row>
    <row r="3" spans="1:14" ht="15.75">
      <c r="A3" s="1058" t="s">
        <v>851</v>
      </c>
      <c r="B3" s="1058"/>
      <c r="C3" s="1058"/>
      <c r="D3" s="1058"/>
      <c r="E3" s="1058"/>
      <c r="F3" s="1058"/>
      <c r="G3" s="1058"/>
      <c r="H3" s="1058"/>
      <c r="I3" s="1058"/>
    </row>
    <row r="4" spans="1:14" ht="15.75">
      <c r="A4" s="1058"/>
      <c r="B4" s="1058"/>
      <c r="C4" s="1058"/>
      <c r="D4" s="1058"/>
      <c r="E4" s="1058"/>
      <c r="F4" s="1058"/>
      <c r="G4" s="1058"/>
      <c r="H4" s="1058"/>
      <c r="I4" s="1058"/>
    </row>
    <row r="5" spans="1:14" ht="15.75">
      <c r="A5" s="1058"/>
      <c r="B5" s="1058"/>
      <c r="C5" s="1058"/>
      <c r="D5" s="1058"/>
      <c r="E5" s="1058"/>
      <c r="F5" s="1058"/>
      <c r="G5" s="1058"/>
      <c r="H5" s="1058"/>
      <c r="I5" s="1058"/>
    </row>
    <row r="6" spans="1:14" ht="15.75">
      <c r="B6" s="12"/>
      <c r="C6" s="12"/>
    </row>
    <row r="7" spans="1:14" ht="15.75">
      <c r="A7" s="48" t="s">
        <v>192</v>
      </c>
      <c r="C7" s="12"/>
      <c r="I7" s="84" t="s">
        <v>1323</v>
      </c>
    </row>
    <row r="8" spans="1:14" ht="15.75">
      <c r="A8" s="48" t="s">
        <v>1082</v>
      </c>
      <c r="C8" s="12"/>
      <c r="I8" s="314" t="s">
        <v>688</v>
      </c>
    </row>
    <row r="9" spans="1:14" ht="15.75">
      <c r="A9" s="48" t="s">
        <v>356</v>
      </c>
      <c r="C9" s="12"/>
      <c r="H9" s="36"/>
      <c r="I9" s="718" t="str">
        <f>F.1!$I$9</f>
        <v>Witness: Waller</v>
      </c>
    </row>
    <row r="10" spans="1:14" ht="15.75">
      <c r="A10" s="67"/>
      <c r="B10" s="67"/>
      <c r="C10" s="590"/>
      <c r="D10" s="591" t="s">
        <v>315</v>
      </c>
      <c r="E10" s="590"/>
      <c r="F10" s="67"/>
      <c r="G10" s="590"/>
      <c r="H10" s="592" t="s">
        <v>316</v>
      </c>
      <c r="I10" s="590"/>
      <c r="K10" s="349"/>
    </row>
    <row r="11" spans="1:14">
      <c r="A11" s="57" t="s">
        <v>88</v>
      </c>
      <c r="C11" s="57"/>
      <c r="D11" s="37" t="s">
        <v>10</v>
      </c>
      <c r="E11" s="37" t="s">
        <v>11</v>
      </c>
      <c r="G11" s="57"/>
      <c r="H11" s="389" t="str">
        <f>D11</f>
        <v xml:space="preserve">Kentucky </v>
      </c>
      <c r="I11" s="37" t="s">
        <v>945</v>
      </c>
      <c r="K11" s="375"/>
    </row>
    <row r="12" spans="1:14">
      <c r="A12" s="58" t="s">
        <v>94</v>
      </c>
      <c r="B12" s="58" t="s">
        <v>949</v>
      </c>
      <c r="C12" s="58" t="s">
        <v>99</v>
      </c>
      <c r="D12" s="41" t="s">
        <v>92</v>
      </c>
      <c r="E12" s="58" t="s">
        <v>99</v>
      </c>
      <c r="F12" s="55"/>
      <c r="G12" s="58" t="s">
        <v>99</v>
      </c>
      <c r="H12" s="882" t="str">
        <f>D12</f>
        <v>Jurisdictional</v>
      </c>
      <c r="I12" s="58" t="s">
        <v>99</v>
      </c>
    </row>
    <row r="13" spans="1:14">
      <c r="L13" s="329"/>
      <c r="N13" s="329"/>
    </row>
    <row r="14" spans="1:14" ht="15.75">
      <c r="A14" s="37"/>
      <c r="B14" s="45"/>
      <c r="C14" s="59"/>
      <c r="D14" s="59"/>
      <c r="E14" s="59"/>
      <c r="F14" s="59"/>
      <c r="G14" s="59"/>
      <c r="H14" s="59"/>
      <c r="I14" s="59"/>
      <c r="J14" s="59"/>
      <c r="L14" s="329"/>
      <c r="N14" s="329"/>
    </row>
    <row r="15" spans="1:14">
      <c r="A15" s="57"/>
      <c r="B15" s="53"/>
      <c r="C15" s="53" t="s">
        <v>314</v>
      </c>
      <c r="D15" s="53" t="s">
        <v>314</v>
      </c>
      <c r="E15" s="53" t="s">
        <v>314</v>
      </c>
      <c r="F15" s="53" t="s">
        <v>314</v>
      </c>
      <c r="H15" s="359" t="str">
        <f>F15</f>
        <v xml:space="preserve"> </v>
      </c>
      <c r="I15" s="53" t="s">
        <v>314</v>
      </c>
    </row>
    <row r="16" spans="1:14">
      <c r="A16" s="37">
        <v>1</v>
      </c>
      <c r="B16" s="184" t="s">
        <v>187</v>
      </c>
      <c r="C16" s="720">
        <v>33461.379999999997</v>
      </c>
      <c r="D16" s="589">
        <v>1</v>
      </c>
      <c r="E16" s="707">
        <f>C16*D16</f>
        <v>33461.379999999997</v>
      </c>
      <c r="F16" s="60"/>
      <c r="G16" s="707">
        <f>C16</f>
        <v>33461.379999999997</v>
      </c>
      <c r="H16" s="888">
        <f>D16</f>
        <v>1</v>
      </c>
      <c r="I16" s="707">
        <f>G16*H16</f>
        <v>33461.379999999997</v>
      </c>
      <c r="L16" s="329"/>
      <c r="N16" s="329"/>
    </row>
    <row r="17" spans="1:16">
      <c r="A17" s="57">
        <v>2</v>
      </c>
      <c r="B17" s="232"/>
      <c r="C17" s="223"/>
      <c r="D17" s="241"/>
      <c r="E17" s="223"/>
      <c r="G17" s="223"/>
      <c r="I17" s="223"/>
      <c r="L17" s="329"/>
      <c r="N17" s="329"/>
    </row>
    <row r="18" spans="1:16">
      <c r="A18" s="37">
        <v>3</v>
      </c>
      <c r="B18" s="184" t="s">
        <v>73</v>
      </c>
      <c r="C18" s="902">
        <v>102874</v>
      </c>
      <c r="D18" s="891">
        <f>Allocation!$I$17</f>
        <v>0.49969999999999998</v>
      </c>
      <c r="E18" s="903">
        <f>C18*D18</f>
        <v>51406.137799999997</v>
      </c>
      <c r="F18" s="495"/>
      <c r="G18" s="903">
        <f>C18</f>
        <v>102874</v>
      </c>
      <c r="H18" s="891">
        <f>Allocation!$E$17</f>
        <v>0.48899999999999999</v>
      </c>
      <c r="I18" s="903">
        <f>G18*H18</f>
        <v>50305.385999999999</v>
      </c>
      <c r="L18" s="329"/>
      <c r="N18" s="329"/>
    </row>
    <row r="19" spans="1:16">
      <c r="A19" s="57">
        <v>4</v>
      </c>
      <c r="B19" s="232"/>
      <c r="C19" s="223"/>
      <c r="D19" s="242"/>
      <c r="E19" s="223"/>
      <c r="G19" s="223"/>
      <c r="H19" s="532"/>
      <c r="I19" s="223"/>
      <c r="L19" s="329"/>
    </row>
    <row r="20" spans="1:16">
      <c r="A20" s="37">
        <v>5</v>
      </c>
      <c r="B20" s="232" t="s">
        <v>71</v>
      </c>
      <c r="C20" s="902">
        <v>880462.62851865124</v>
      </c>
      <c r="D20" s="891">
        <f>Allocation!$I$14</f>
        <v>4.5622610000000001E-2</v>
      </c>
      <c r="E20" s="904">
        <f>C20*D20</f>
        <v>40169.003120481306</v>
      </c>
      <c r="G20" s="904">
        <f>C20</f>
        <v>880462.62851865124</v>
      </c>
      <c r="H20" s="891">
        <f>Allocation!$E$14</f>
        <v>4.3520999999999997E-2</v>
      </c>
      <c r="I20" s="904">
        <f>G20*H20</f>
        <v>38318.614055760219</v>
      </c>
      <c r="L20" s="329"/>
      <c r="N20" s="329"/>
      <c r="P20" s="375"/>
    </row>
    <row r="21" spans="1:16">
      <c r="A21" s="57">
        <v>6</v>
      </c>
      <c r="B21" s="232"/>
      <c r="C21" s="223"/>
      <c r="D21" s="267"/>
      <c r="E21" s="223"/>
      <c r="G21" s="223"/>
      <c r="H21" s="532"/>
      <c r="I21" s="223"/>
      <c r="L21" s="329"/>
      <c r="P21" s="375"/>
    </row>
    <row r="22" spans="1:16">
      <c r="A22" s="37">
        <v>7</v>
      </c>
      <c r="B22" s="232" t="s">
        <v>72</v>
      </c>
      <c r="C22" s="1000">
        <v>165583.95554999996</v>
      </c>
      <c r="D22" s="891">
        <f>Allocation!$I$15</f>
        <v>5.3911399999999998E-2</v>
      </c>
      <c r="E22" s="893">
        <f>C22*D22</f>
        <v>8926.8628612382672</v>
      </c>
      <c r="G22" s="893">
        <f>C22</f>
        <v>165583.95554999996</v>
      </c>
      <c r="H22" s="891">
        <f>Allocation!$E$15</f>
        <v>5.3105399999999997E-2</v>
      </c>
      <c r="I22" s="893">
        <f>G22*H22</f>
        <v>8793.4021930649669</v>
      </c>
      <c r="L22" s="329"/>
      <c r="N22" s="329"/>
    </row>
    <row r="23" spans="1:16">
      <c r="A23" s="37">
        <v>8</v>
      </c>
    </row>
    <row r="24" spans="1:16" ht="15.75" thickBot="1">
      <c r="A24" s="37">
        <v>9</v>
      </c>
      <c r="B24" t="s">
        <v>853</v>
      </c>
      <c r="C24" s="715">
        <f>SUM(C16:C22)</f>
        <v>1182381.9640686512</v>
      </c>
      <c r="E24" s="715">
        <f>SUM(E16:E22)</f>
        <v>133963.38378171957</v>
      </c>
      <c r="G24" s="715">
        <f>SUM(G16:G22)</f>
        <v>1182381.9640686512</v>
      </c>
      <c r="I24" s="715">
        <f>SUM(I16:I22)</f>
        <v>130878.78224882518</v>
      </c>
    </row>
    <row r="25" spans="1:16" ht="15.75" thickTop="1">
      <c r="C25" s="186"/>
      <c r="E25" s="186"/>
      <c r="G25" s="186"/>
      <c r="I25" s="186"/>
    </row>
    <row r="27" spans="1:16">
      <c r="A27" s="634" t="s">
        <v>1235</v>
      </c>
      <c r="B27" s="503"/>
    </row>
    <row r="31" spans="1:16">
      <c r="B31" t="s">
        <v>852</v>
      </c>
    </row>
    <row r="32" spans="1:16">
      <c r="B32" t="s">
        <v>1679</v>
      </c>
    </row>
    <row r="33" spans="2:2">
      <c r="B33" t="s">
        <v>1680</v>
      </c>
    </row>
    <row r="34" spans="2:2">
      <c r="B34" t="s">
        <v>1681</v>
      </c>
    </row>
    <row r="35" spans="2:2">
      <c r="B35" t="s">
        <v>1682</v>
      </c>
    </row>
    <row r="39" spans="2:2">
      <c r="B39" s="329"/>
    </row>
  </sheetData>
  <mergeCells count="5">
    <mergeCell ref="A5:I5"/>
    <mergeCell ref="A1:I1"/>
    <mergeCell ref="A2:I2"/>
    <mergeCell ref="A3:I3"/>
    <mergeCell ref="A4:I4"/>
  </mergeCells>
  <phoneticPr fontId="20" type="noConversion"/>
  <pageMargins left="0.8" right="0.61" top="1.05" bottom="0.5" header="0.8" footer="0.5"/>
  <pageSetup scale="94" orientation="landscape" verticalDpi="300" r:id="rId1"/>
  <headerFooter alignWithMargins="0">
    <oddFooter>&amp;RSchedule &amp;A
Page &amp;P of 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5"/>
  <sheetViews>
    <sheetView view="pageBreakPreview" zoomScale="80" zoomScaleNormal="100" zoomScaleSheetLayoutView="80" workbookViewId="0">
      <selection activeCell="D15" sqref="D15"/>
    </sheetView>
  </sheetViews>
  <sheetFormatPr defaultRowHeight="15"/>
  <cols>
    <col min="1" max="2" width="5.88671875" customWidth="1"/>
    <col min="3" max="3" width="23.77734375" bestFit="1" customWidth="1"/>
    <col min="4" max="4" width="11" bestFit="1" customWidth="1"/>
    <col min="5" max="5" width="8.5546875" bestFit="1" customWidth="1"/>
    <col min="6" max="6" width="15.109375" bestFit="1" customWidth="1"/>
  </cols>
  <sheetData>
    <row r="1" spans="1:8" ht="15.75">
      <c r="A1" s="1089" t="str">
        <f>'Table of Contents'!A1:C1</f>
        <v>Atmos Energy Corporation, Kentucky/Mid-States Division</v>
      </c>
      <c r="B1" s="1089"/>
      <c r="C1" s="1089"/>
      <c r="D1" s="1089"/>
      <c r="E1" s="1089"/>
      <c r="F1" s="1089"/>
    </row>
    <row r="2" spans="1:8" ht="15.75">
      <c r="A2" s="1089" t="str">
        <f>'Table of Contents'!A2:C2</f>
        <v xml:space="preserve">Kentucky Jurisdiction Case No. 2024-00276 </v>
      </c>
      <c r="B2" s="1089" t="s">
        <v>314</v>
      </c>
      <c r="C2" s="1089"/>
      <c r="D2" s="1089"/>
      <c r="E2" s="1089"/>
      <c r="F2" s="1089"/>
    </row>
    <row r="3" spans="1:8" ht="15.75">
      <c r="A3" s="1058" t="s">
        <v>1566</v>
      </c>
      <c r="B3" s="1058"/>
      <c r="C3" s="1058"/>
      <c r="D3" s="1058"/>
      <c r="E3" s="1058"/>
      <c r="F3" s="1058"/>
    </row>
    <row r="4" spans="1:8" ht="15.75">
      <c r="A4" s="1058"/>
      <c r="B4" s="1058"/>
      <c r="C4" s="1058"/>
      <c r="D4" s="1058"/>
      <c r="E4" s="1058"/>
      <c r="F4" s="1058"/>
    </row>
    <row r="5" spans="1:8" ht="15.75">
      <c r="A5" s="1058"/>
      <c r="B5" s="1058"/>
      <c r="C5" s="1058"/>
      <c r="D5" s="1058"/>
      <c r="E5" s="1058"/>
      <c r="F5" s="1058"/>
    </row>
    <row r="6" spans="1:8" ht="15.75">
      <c r="B6" s="12"/>
      <c r="C6" s="12"/>
      <c r="D6" s="12"/>
      <c r="E6" s="12"/>
    </row>
    <row r="7" spans="1:8" ht="15.75">
      <c r="A7" s="48" t="s">
        <v>1651</v>
      </c>
      <c r="E7" s="12"/>
      <c r="F7" s="84" t="s">
        <v>1323</v>
      </c>
    </row>
    <row r="8" spans="1:8" ht="15.75">
      <c r="A8" s="48" t="s">
        <v>1082</v>
      </c>
      <c r="E8" s="12"/>
      <c r="F8" s="314" t="s">
        <v>1197</v>
      </c>
    </row>
    <row r="9" spans="1:8" ht="15.75">
      <c r="A9" s="48" t="s">
        <v>356</v>
      </c>
      <c r="E9" s="361"/>
      <c r="F9" s="895" t="str">
        <f>F.1!$I$9</f>
        <v>Witness: Waller</v>
      </c>
    </row>
    <row r="10" spans="1:8">
      <c r="A10" s="67"/>
      <c r="B10" s="67"/>
      <c r="C10" s="67"/>
      <c r="D10" s="67"/>
    </row>
    <row r="11" spans="1:8">
      <c r="A11" s="131" t="s">
        <v>88</v>
      </c>
      <c r="B11" s="45"/>
      <c r="C11" s="45"/>
      <c r="D11" s="45"/>
      <c r="E11" s="300" t="s">
        <v>600</v>
      </c>
      <c r="F11" s="300" t="s">
        <v>11</v>
      </c>
    </row>
    <row r="12" spans="1:8">
      <c r="A12" s="516" t="s">
        <v>94</v>
      </c>
      <c r="B12" s="516" t="s">
        <v>1284</v>
      </c>
      <c r="C12" s="516" t="s">
        <v>1285</v>
      </c>
      <c r="D12" s="516" t="s">
        <v>91</v>
      </c>
      <c r="E12" s="516" t="s">
        <v>966</v>
      </c>
      <c r="F12" s="41" t="s">
        <v>1198</v>
      </c>
      <c r="H12" s="349"/>
    </row>
    <row r="14" spans="1:8">
      <c r="A14" s="57"/>
      <c r="B14" s="53"/>
      <c r="C14" s="53"/>
      <c r="D14" s="53"/>
      <c r="E14" s="53" t="s">
        <v>314</v>
      </c>
      <c r="F14" s="53" t="s">
        <v>314</v>
      </c>
    </row>
    <row r="15" spans="1:8">
      <c r="A15" s="57">
        <v>1</v>
      </c>
      <c r="B15" s="131">
        <v>2</v>
      </c>
      <c r="C15" s="60" t="s">
        <v>1565</v>
      </c>
      <c r="D15" s="905">
        <v>697806.69000000041</v>
      </c>
      <c r="E15" s="885">
        <f>Allocation!E14</f>
        <v>4.3520999999999997E-2</v>
      </c>
      <c r="F15" s="906">
        <f>D15*E15</f>
        <v>30369.244955490016</v>
      </c>
    </row>
    <row r="16" spans="1:8">
      <c r="A16" s="57">
        <v>2</v>
      </c>
      <c r="B16" s="37"/>
      <c r="E16" s="223"/>
      <c r="F16" s="238"/>
    </row>
    <row r="17" spans="1:9">
      <c r="A17" s="37">
        <v>3</v>
      </c>
      <c r="B17" s="131">
        <v>91</v>
      </c>
      <c r="C17" s="45" t="s">
        <v>1565</v>
      </c>
      <c r="D17" s="907">
        <v>35887.679999999978</v>
      </c>
      <c r="E17" s="881">
        <f>Allocation!E17</f>
        <v>0.48899999999999999</v>
      </c>
      <c r="F17" s="908">
        <f>D17*E17</f>
        <v>17549.075519999988</v>
      </c>
      <c r="I17" s="329"/>
    </row>
    <row r="18" spans="1:9">
      <c r="A18" s="57">
        <v>4</v>
      </c>
      <c r="B18" s="300"/>
      <c r="C18" s="232"/>
      <c r="D18" s="300"/>
      <c r="E18" s="223"/>
      <c r="F18" s="238"/>
    </row>
    <row r="19" spans="1:9" ht="15.75" thickBot="1">
      <c r="A19" s="57">
        <v>5</v>
      </c>
      <c r="B19" s="131"/>
      <c r="C19" s="232" t="s">
        <v>1567</v>
      </c>
      <c r="D19" s="300"/>
      <c r="E19" s="223"/>
      <c r="F19" s="909">
        <f>F15+F17</f>
        <v>47918.320475490007</v>
      </c>
      <c r="I19" s="329"/>
    </row>
    <row r="20" spans="1:9" ht="15.75" thickTop="1">
      <c r="A20" s="37"/>
      <c r="E20" s="223"/>
      <c r="F20" s="237"/>
    </row>
    <row r="21" spans="1:9">
      <c r="A21" s="37"/>
      <c r="E21" s="223"/>
      <c r="F21" s="237"/>
    </row>
    <row r="22" spans="1:9">
      <c r="E22" s="185"/>
      <c r="F22" s="185"/>
    </row>
    <row r="24" spans="1:9">
      <c r="A24" s="362" t="s">
        <v>498</v>
      </c>
    </row>
    <row r="26" spans="1:9">
      <c r="A26" s="48" t="s">
        <v>1568</v>
      </c>
    </row>
    <row r="27" spans="1:9">
      <c r="A27" s="48"/>
    </row>
    <row r="28" spans="1:9">
      <c r="A28" s="48"/>
    </row>
    <row r="29" spans="1:9">
      <c r="A29" s="48"/>
    </row>
    <row r="30" spans="1:9">
      <c r="A30" s="48"/>
    </row>
    <row r="35" spans="2:4">
      <c r="B35" s="329"/>
      <c r="C35" s="329"/>
      <c r="D35" s="329"/>
    </row>
  </sheetData>
  <mergeCells count="5">
    <mergeCell ref="A1:F1"/>
    <mergeCell ref="A2:F2"/>
    <mergeCell ref="A3:F3"/>
    <mergeCell ref="A4:F4"/>
    <mergeCell ref="A5:F5"/>
  </mergeCells>
  <pageMargins left="0.95" right="0.72" top="1.05" bottom="0.5" header="0.8" footer="0.5"/>
  <pageSetup orientation="portrait" verticalDpi="300" r:id="rId1"/>
  <headerFooter alignWithMargins="0">
    <oddFooter>&amp;RSchedule &amp;A
Page &amp;P of 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3"/>
  <sheetViews>
    <sheetView view="pageBreakPreview" topLeftCell="A9" zoomScale="80" zoomScaleNormal="100" zoomScaleSheetLayoutView="80" workbookViewId="0">
      <selection activeCell="A44" sqref="A44"/>
    </sheetView>
  </sheetViews>
  <sheetFormatPr defaultColWidth="8.88671875" defaultRowHeight="15"/>
  <cols>
    <col min="1" max="1" width="5.88671875" style="45" customWidth="1"/>
    <col min="2" max="2" width="7.109375" style="45" customWidth="1"/>
    <col min="3" max="3" width="36.109375" style="45" bestFit="1" customWidth="1"/>
    <col min="4" max="4" width="11.88671875" style="45" customWidth="1"/>
    <col min="5" max="5" width="10.6640625" style="45" customWidth="1"/>
    <col min="6" max="6" width="11.44140625" style="45" customWidth="1"/>
    <col min="7" max="16384" width="8.88671875" style="45"/>
  </cols>
  <sheetData>
    <row r="1" spans="1:8" ht="15.75">
      <c r="A1" s="1089" t="str">
        <f>'Table of Contents'!A1:C1</f>
        <v>Atmos Energy Corporation, Kentucky/Mid-States Division</v>
      </c>
      <c r="B1" s="1089"/>
      <c r="C1" s="1089"/>
      <c r="D1" s="1089"/>
      <c r="E1" s="1089"/>
      <c r="F1" s="1089"/>
    </row>
    <row r="2" spans="1:8" ht="15.75">
      <c r="A2" s="1089" t="str">
        <f>'Table of Contents'!A2:C2</f>
        <v xml:space="preserve">Kentucky Jurisdiction Case No. 2024-00276 </v>
      </c>
      <c r="B2" s="1089" t="s">
        <v>314</v>
      </c>
      <c r="C2" s="1089"/>
      <c r="D2" s="1089"/>
      <c r="E2" s="1089"/>
      <c r="F2" s="1089"/>
    </row>
    <row r="3" spans="1:8" ht="15.75">
      <c r="A3" s="1058" t="s">
        <v>1293</v>
      </c>
      <c r="B3" s="1058"/>
      <c r="C3" s="1058"/>
      <c r="D3" s="1058"/>
      <c r="E3" s="1058"/>
      <c r="F3" s="1058"/>
    </row>
    <row r="4" spans="1:8" ht="15.75">
      <c r="A4" s="1058"/>
      <c r="B4" s="1058"/>
      <c r="C4" s="1058"/>
      <c r="D4" s="1058"/>
      <c r="E4" s="1058"/>
      <c r="F4" s="1058"/>
    </row>
    <row r="5" spans="1:8" ht="15.75">
      <c r="B5" s="59"/>
      <c r="C5" s="59"/>
      <c r="D5" s="59"/>
      <c r="E5" s="59"/>
    </row>
    <row r="6" spans="1:8" ht="15.75">
      <c r="A6" s="48" t="s">
        <v>192</v>
      </c>
      <c r="E6" s="59"/>
      <c r="F6" s="286" t="s">
        <v>1323</v>
      </c>
    </row>
    <row r="7" spans="1:8" ht="15.75">
      <c r="A7" s="48" t="s">
        <v>1082</v>
      </c>
      <c r="E7" s="59"/>
      <c r="F7" s="378" t="s">
        <v>1283</v>
      </c>
    </row>
    <row r="8" spans="1:8" ht="15.75">
      <c r="A8" s="48" t="s">
        <v>356</v>
      </c>
      <c r="E8" s="225"/>
      <c r="F8" s="910" t="str">
        <f>F.1!$I$9</f>
        <v>Witness: Waller</v>
      </c>
    </row>
    <row r="9" spans="1:8">
      <c r="A9" s="569"/>
      <c r="B9" s="569"/>
      <c r="C9" s="569"/>
      <c r="D9" s="569"/>
    </row>
    <row r="11" spans="1:8">
      <c r="A11" s="131" t="s">
        <v>88</v>
      </c>
      <c r="E11" s="300" t="s">
        <v>600</v>
      </c>
      <c r="F11" s="300" t="s">
        <v>11</v>
      </c>
    </row>
    <row r="12" spans="1:8">
      <c r="A12" s="516" t="s">
        <v>94</v>
      </c>
      <c r="B12" s="516" t="s">
        <v>1284</v>
      </c>
      <c r="C12" s="516" t="s">
        <v>1285</v>
      </c>
      <c r="D12" s="516" t="s">
        <v>91</v>
      </c>
      <c r="E12" s="516" t="s">
        <v>966</v>
      </c>
      <c r="F12" s="593" t="s">
        <v>1286</v>
      </c>
      <c r="H12" s="594"/>
    </row>
    <row r="14" spans="1:8">
      <c r="A14" s="300">
        <v>1</v>
      </c>
      <c r="B14" s="90" t="s">
        <v>1287</v>
      </c>
    </row>
    <row r="15" spans="1:8">
      <c r="A15" s="300">
        <f>+A14+1</f>
        <v>2</v>
      </c>
      <c r="B15" s="300">
        <v>2</v>
      </c>
      <c r="C15" s="45" t="s">
        <v>1288</v>
      </c>
      <c r="D15" s="911">
        <v>10633155.43289909</v>
      </c>
      <c r="E15" s="912">
        <f>Allocation!I14</f>
        <v>4.5622610000000001E-2</v>
      </c>
      <c r="F15" s="913">
        <f>D15*E15</f>
        <v>485112.30338453635</v>
      </c>
    </row>
    <row r="16" spans="1:8">
      <c r="A16" s="300">
        <f t="shared" ref="A16:A39" si="0">+A15+1</f>
        <v>3</v>
      </c>
      <c r="B16" s="300"/>
    </row>
    <row r="17" spans="1:10">
      <c r="A17" s="300">
        <f t="shared" si="0"/>
        <v>4</v>
      </c>
      <c r="B17" s="300">
        <v>12</v>
      </c>
      <c r="C17" s="45" t="s">
        <v>1288</v>
      </c>
      <c r="D17" s="911">
        <v>1691182.5003910582</v>
      </c>
      <c r="E17" s="912">
        <f>Allocation!I15</f>
        <v>5.3911399999999998E-2</v>
      </c>
      <c r="F17" s="914">
        <f>D17*E17</f>
        <v>91174.016251582492</v>
      </c>
    </row>
    <row r="18" spans="1:10">
      <c r="A18" s="300">
        <f t="shared" si="0"/>
        <v>5</v>
      </c>
      <c r="B18" s="300"/>
    </row>
    <row r="19" spans="1:10">
      <c r="A19" s="300">
        <f t="shared" si="0"/>
        <v>6</v>
      </c>
      <c r="B19" s="300">
        <v>91</v>
      </c>
      <c r="C19" s="45" t="s">
        <v>1288</v>
      </c>
      <c r="D19" s="911">
        <v>518969.94894127629</v>
      </c>
      <c r="E19" s="912">
        <f>Allocation!H17</f>
        <v>0.49969999999999998</v>
      </c>
      <c r="F19" s="914">
        <f>D19*E19</f>
        <v>259329.28348595576</v>
      </c>
    </row>
    <row r="20" spans="1:10">
      <c r="A20" s="300">
        <f t="shared" si="0"/>
        <v>7</v>
      </c>
      <c r="B20" s="300"/>
      <c r="J20" s="45" t="s">
        <v>314</v>
      </c>
    </row>
    <row r="21" spans="1:10">
      <c r="A21" s="300">
        <f t="shared" si="0"/>
        <v>8</v>
      </c>
      <c r="B21" s="300">
        <v>9</v>
      </c>
      <c r="C21" s="45" t="s">
        <v>1288</v>
      </c>
      <c r="D21" s="45">
        <v>0</v>
      </c>
      <c r="E21" s="596">
        <v>1</v>
      </c>
      <c r="F21" s="914">
        <f>D21*E21</f>
        <v>0</v>
      </c>
    </row>
    <row r="22" spans="1:10">
      <c r="A22" s="300">
        <f t="shared" si="0"/>
        <v>9</v>
      </c>
    </row>
    <row r="23" spans="1:10">
      <c r="A23" s="300">
        <f t="shared" si="0"/>
        <v>10</v>
      </c>
      <c r="C23" s="642" t="s">
        <v>1291</v>
      </c>
      <c r="F23" s="787">
        <f>SUM(F15:F22)</f>
        <v>835615.60312207462</v>
      </c>
    </row>
    <row r="24" spans="1:10">
      <c r="A24" s="300">
        <f t="shared" si="0"/>
        <v>11</v>
      </c>
      <c r="F24" s="595"/>
    </row>
    <row r="25" spans="1:10">
      <c r="A25" s="300">
        <f t="shared" si="0"/>
        <v>12</v>
      </c>
    </row>
    <row r="26" spans="1:10">
      <c r="A26" s="300">
        <f t="shared" si="0"/>
        <v>13</v>
      </c>
      <c r="B26" s="90" t="s">
        <v>1289</v>
      </c>
    </row>
    <row r="27" spans="1:10">
      <c r="A27" s="300">
        <f t="shared" si="0"/>
        <v>14</v>
      </c>
      <c r="B27" s="300">
        <v>2</v>
      </c>
      <c r="C27" s="45" t="s">
        <v>1295</v>
      </c>
      <c r="D27" s="911">
        <v>5314210.2188847344</v>
      </c>
      <c r="E27" s="915">
        <f>$E$15</f>
        <v>4.5622610000000001E-2</v>
      </c>
      <c r="F27" s="914">
        <f>D27*E27</f>
        <v>242448.14027419288</v>
      </c>
    </row>
    <row r="28" spans="1:10">
      <c r="A28" s="300">
        <f t="shared" si="0"/>
        <v>15</v>
      </c>
      <c r="B28" s="300"/>
    </row>
    <row r="29" spans="1:10">
      <c r="A29" s="300">
        <f t="shared" si="0"/>
        <v>16</v>
      </c>
      <c r="B29" s="300">
        <v>12</v>
      </c>
      <c r="C29" s="45" t="s">
        <v>1295</v>
      </c>
      <c r="D29" s="911">
        <v>119488.42309181536</v>
      </c>
      <c r="E29" s="916">
        <f>$E$17</f>
        <v>5.3911399999999998E-2</v>
      </c>
      <c r="F29" s="914">
        <f>D29*E29</f>
        <v>6441.7881726720943</v>
      </c>
    </row>
    <row r="30" spans="1:10">
      <c r="A30" s="300">
        <f t="shared" si="0"/>
        <v>17</v>
      </c>
      <c r="B30" s="300"/>
    </row>
    <row r="31" spans="1:10">
      <c r="A31" s="300">
        <f t="shared" si="0"/>
        <v>18</v>
      </c>
      <c r="B31" s="300">
        <v>91</v>
      </c>
      <c r="C31" s="45" t="s">
        <v>1295</v>
      </c>
      <c r="D31" s="911">
        <v>56219.322020254884</v>
      </c>
      <c r="E31" s="916">
        <f>$E$19</f>
        <v>0.49969999999999998</v>
      </c>
      <c r="F31" s="914">
        <f>D31*E31</f>
        <v>28092.795213521364</v>
      </c>
    </row>
    <row r="32" spans="1:10">
      <c r="A32" s="300">
        <f t="shared" si="0"/>
        <v>19</v>
      </c>
      <c r="B32" s="300"/>
    </row>
    <row r="33" spans="1:6">
      <c r="A33" s="300">
        <f t="shared" si="0"/>
        <v>20</v>
      </c>
      <c r="B33" s="300">
        <v>9</v>
      </c>
      <c r="C33" s="45" t="s">
        <v>1295</v>
      </c>
      <c r="D33" s="911">
        <v>0</v>
      </c>
      <c r="E33" s="596">
        <v>1</v>
      </c>
      <c r="F33" s="914">
        <f>D33*E33</f>
        <v>0</v>
      </c>
    </row>
    <row r="34" spans="1:6">
      <c r="A34" s="300">
        <f t="shared" si="0"/>
        <v>21</v>
      </c>
    </row>
    <row r="35" spans="1:6">
      <c r="A35" s="300">
        <f t="shared" si="0"/>
        <v>22</v>
      </c>
      <c r="C35" s="642" t="s">
        <v>1290</v>
      </c>
      <c r="F35" s="787">
        <f>SUM(F27:F33)</f>
        <v>276982.72366038634</v>
      </c>
    </row>
    <row r="36" spans="1:6">
      <c r="A36" s="300">
        <f t="shared" si="0"/>
        <v>23</v>
      </c>
    </row>
    <row r="37" spans="1:6" ht="18" customHeight="1" thickBot="1">
      <c r="A37" s="300">
        <f t="shared" si="0"/>
        <v>24</v>
      </c>
      <c r="C37" s="45" t="s">
        <v>1292</v>
      </c>
      <c r="F37" s="917">
        <f>F35+F23</f>
        <v>1112598.326782461</v>
      </c>
    </row>
    <row r="38" spans="1:6" ht="18" customHeight="1" thickTop="1">
      <c r="A38" s="300">
        <f t="shared" si="0"/>
        <v>25</v>
      </c>
      <c r="F38" s="644"/>
    </row>
    <row r="39" spans="1:6" ht="18" customHeight="1">
      <c r="A39" s="300">
        <f t="shared" si="0"/>
        <v>26</v>
      </c>
      <c r="C39" s="643" t="s">
        <v>1547</v>
      </c>
      <c r="F39" s="644">
        <f>F37*0.065</f>
        <v>72318.891240859972</v>
      </c>
    </row>
    <row r="40" spans="1:6" ht="18" customHeight="1">
      <c r="A40" s="613"/>
      <c r="F40" s="644"/>
    </row>
    <row r="42" spans="1:6">
      <c r="A42" t="s">
        <v>852</v>
      </c>
    </row>
    <row r="43" spans="1:6">
      <c r="A43" s="45" t="s">
        <v>1671</v>
      </c>
    </row>
  </sheetData>
  <mergeCells count="4">
    <mergeCell ref="A1:F1"/>
    <mergeCell ref="A2:F2"/>
    <mergeCell ref="A3:F3"/>
    <mergeCell ref="A4:F4"/>
  </mergeCells>
  <pageMargins left="0.95" right="0.82" top="1.05" bottom="0.5" header="0.8" footer="0.5"/>
  <pageSetup scale="86" orientation="portrait" verticalDpi="300" r:id="rId1"/>
  <headerFooter alignWithMargins="0">
    <oddFooter>&amp;RSchedule &amp;A
Page &amp;P of &amp;N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BreakPreview" zoomScale="80" zoomScaleNormal="100" zoomScaleSheetLayoutView="80" workbookViewId="0">
      <selection activeCell="A25" sqref="A25"/>
    </sheetView>
  </sheetViews>
  <sheetFormatPr defaultRowHeight="15"/>
  <cols>
    <col min="1" max="1" width="8.77734375" customWidth="1"/>
    <col min="2" max="2" width="12.109375" customWidth="1"/>
    <col min="3" max="3" width="32.109375" bestFit="1" customWidth="1"/>
    <col min="4" max="4" width="10.6640625" customWidth="1"/>
    <col min="5" max="5" width="12.21875" customWidth="1"/>
    <col min="6" max="6" width="13.109375" bestFit="1" customWidth="1"/>
  </cols>
  <sheetData>
    <row r="1" spans="1:6" ht="15.75">
      <c r="A1" s="1089" t="str">
        <f>'Table of Contents'!A1:C1</f>
        <v>Atmos Energy Corporation, Kentucky/Mid-States Division</v>
      </c>
      <c r="B1" s="1089"/>
      <c r="C1" s="1089"/>
      <c r="D1" s="1089"/>
      <c r="E1" s="1089"/>
      <c r="F1" s="1089"/>
    </row>
    <row r="2" spans="1:6" ht="15.75">
      <c r="A2" s="1089" t="str">
        <f>'Table of Contents'!A2:C2</f>
        <v xml:space="preserve">Kentucky Jurisdiction Case No. 2024-00276 </v>
      </c>
      <c r="B2" s="1089" t="s">
        <v>314</v>
      </c>
      <c r="C2" s="1089"/>
      <c r="D2" s="1089"/>
      <c r="E2" s="1089"/>
      <c r="F2" s="1089"/>
    </row>
    <row r="3" spans="1:6" ht="15.75">
      <c r="A3" s="1058" t="s">
        <v>1505</v>
      </c>
      <c r="B3" s="1058"/>
      <c r="C3" s="1058"/>
      <c r="D3" s="1058"/>
      <c r="E3" s="1058"/>
      <c r="F3" s="1058"/>
    </row>
    <row r="4" spans="1:6" ht="15.75">
      <c r="A4" s="1058"/>
      <c r="B4" s="1058"/>
      <c r="C4" s="1058"/>
      <c r="D4" s="1058"/>
      <c r="E4" s="1058"/>
      <c r="F4" s="1058"/>
    </row>
    <row r="5" spans="1:6" ht="15.75">
      <c r="A5" s="45"/>
      <c r="B5" s="59"/>
      <c r="C5" s="59"/>
      <c r="D5" s="59"/>
      <c r="E5" s="59"/>
      <c r="F5" s="45"/>
    </row>
    <row r="6" spans="1:6" ht="15.75">
      <c r="A6" s="48" t="s">
        <v>192</v>
      </c>
      <c r="B6" s="45"/>
      <c r="C6" s="45"/>
      <c r="D6" s="45"/>
      <c r="E6" s="59"/>
      <c r="F6" s="286" t="s">
        <v>1323</v>
      </c>
    </row>
    <row r="7" spans="1:6" ht="15.75">
      <c r="A7" s="48" t="s">
        <v>1082</v>
      </c>
      <c r="B7" s="45"/>
      <c r="C7" s="45"/>
      <c r="D7" s="45"/>
      <c r="E7" s="59"/>
      <c r="F7" s="378" t="s">
        <v>1283</v>
      </c>
    </row>
    <row r="8" spans="1:6" ht="15.75">
      <c r="A8" s="48" t="s">
        <v>356</v>
      </c>
      <c r="B8" s="45"/>
      <c r="C8" s="45"/>
      <c r="D8" s="45"/>
      <c r="E8" s="225"/>
      <c r="F8" s="910" t="str">
        <f>F.1!$I$9</f>
        <v>Witness: Waller</v>
      </c>
    </row>
    <row r="11" spans="1:6">
      <c r="A11" s="598" t="s">
        <v>198</v>
      </c>
      <c r="B11" s="433" t="s">
        <v>149</v>
      </c>
      <c r="C11" s="433" t="s">
        <v>1502</v>
      </c>
      <c r="D11" s="599" t="s">
        <v>99</v>
      </c>
      <c r="E11" s="433" t="s">
        <v>600</v>
      </c>
      <c r="F11" s="433" t="s">
        <v>91</v>
      </c>
    </row>
    <row r="12" spans="1:6">
      <c r="A12" s="37"/>
    </row>
    <row r="13" spans="1:6">
      <c r="A13" s="37">
        <v>1</v>
      </c>
      <c r="B13" s="509" t="s">
        <v>1500</v>
      </c>
      <c r="C13" t="s">
        <v>1501</v>
      </c>
      <c r="D13" s="782">
        <v>2947500</v>
      </c>
      <c r="E13" s="918">
        <f>Allocation!E14</f>
        <v>4.3520999999999997E-2</v>
      </c>
      <c r="F13" s="329">
        <f>D13*E13</f>
        <v>128278.14749999999</v>
      </c>
    </row>
    <row r="14" spans="1:6">
      <c r="A14" s="37">
        <f>+A13+1</f>
        <v>2</v>
      </c>
      <c r="B14" s="509" t="s">
        <v>1500</v>
      </c>
      <c r="C14" t="s">
        <v>1506</v>
      </c>
      <c r="D14" s="782">
        <v>893437.71999999986</v>
      </c>
      <c r="E14" s="689">
        <f>Allocation!I14</f>
        <v>4.5622610000000001E-2</v>
      </c>
      <c r="F14" s="329">
        <f t="shared" ref="F14:F17" si="0">D14*E14</f>
        <v>40760.960658849195</v>
      </c>
    </row>
    <row r="15" spans="1:6">
      <c r="A15" s="37">
        <f t="shared" ref="A15:A19" si="1">+A14+1</f>
        <v>3</v>
      </c>
      <c r="B15" s="509" t="s">
        <v>1510</v>
      </c>
      <c r="C15" t="s">
        <v>1506</v>
      </c>
      <c r="D15" s="782">
        <v>410483.26</v>
      </c>
      <c r="E15" s="689">
        <f>Allocation!I15</f>
        <v>5.3911399999999998E-2</v>
      </c>
      <c r="F15" s="329">
        <f t="shared" si="0"/>
        <v>22129.727223163998</v>
      </c>
    </row>
    <row r="16" spans="1:6">
      <c r="A16" s="37">
        <f t="shared" si="1"/>
        <v>4</v>
      </c>
      <c r="B16" s="509" t="s">
        <v>1511</v>
      </c>
      <c r="C16" t="s">
        <v>1506</v>
      </c>
      <c r="D16" s="782">
        <v>80903.37999999999</v>
      </c>
      <c r="E16" s="243">
        <v>1</v>
      </c>
      <c r="F16" s="329">
        <f t="shared" si="0"/>
        <v>80903.37999999999</v>
      </c>
    </row>
    <row r="17" spans="1:6">
      <c r="A17" s="37">
        <f t="shared" si="1"/>
        <v>5</v>
      </c>
      <c r="B17" s="509" t="s">
        <v>1512</v>
      </c>
      <c r="C17" t="s">
        <v>1506</v>
      </c>
      <c r="D17" s="782">
        <v>62786.87999999999</v>
      </c>
      <c r="E17" s="689">
        <f>Allocation!I17</f>
        <v>0.49969999999999998</v>
      </c>
      <c r="F17" s="329">
        <f t="shared" si="0"/>
        <v>31374.603935999992</v>
      </c>
    </row>
    <row r="18" spans="1:6">
      <c r="A18" s="37">
        <f t="shared" si="1"/>
        <v>6</v>
      </c>
    </row>
    <row r="19" spans="1:6">
      <c r="A19" s="37">
        <f t="shared" si="1"/>
        <v>7</v>
      </c>
      <c r="C19" t="s">
        <v>901</v>
      </c>
      <c r="F19" s="329">
        <f>SUM(F13:F17)</f>
        <v>303446.81931801315</v>
      </c>
    </row>
    <row r="23" spans="1:6">
      <c r="A23" t="s">
        <v>852</v>
      </c>
    </row>
    <row r="24" spans="1:6">
      <c r="A24" t="s">
        <v>1671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71" orientation="portrait" r:id="rId1"/>
  <headerFooter>
    <oddFooter>&amp;RSchedule &amp;A
Page &amp;P of 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73"/>
  <sheetViews>
    <sheetView view="pageBreakPreview" topLeftCell="A5" zoomScale="80" zoomScaleNormal="100" zoomScaleSheetLayoutView="80" workbookViewId="0">
      <selection activeCell="D16" sqref="D16"/>
    </sheetView>
  </sheetViews>
  <sheetFormatPr defaultColWidth="8.88671875" defaultRowHeight="15"/>
  <cols>
    <col min="1" max="1" width="8.33203125" customWidth="1"/>
    <col min="2" max="2" width="30.77734375" customWidth="1"/>
    <col min="3" max="3" width="10.77734375" bestFit="1" customWidth="1"/>
    <col min="4" max="4" width="13.21875" bestFit="1" customWidth="1"/>
    <col min="5" max="5" width="11.77734375" bestFit="1" customWidth="1"/>
    <col min="6" max="6" width="4.21875" customWidth="1"/>
    <col min="7" max="7" width="13.88671875" bestFit="1" customWidth="1"/>
    <col min="8" max="8" width="14.88671875" bestFit="1" customWidth="1"/>
    <col min="9" max="9" width="16" bestFit="1" customWidth="1"/>
    <col min="11" max="11" width="9.6640625" customWidth="1"/>
    <col min="12" max="12" width="9" customWidth="1"/>
    <col min="13" max="13" width="20.33203125" customWidth="1"/>
    <col min="14" max="14" width="20.21875" customWidth="1"/>
    <col min="15" max="15" width="8.77734375"/>
    <col min="16" max="16" width="13.33203125" customWidth="1"/>
    <col min="17" max="17" width="23.109375" customWidth="1"/>
    <col min="18" max="18" width="23.33203125" customWidth="1"/>
    <col min="19" max="20" width="8.21875" customWidth="1"/>
    <col min="21" max="21" width="16.77734375" bestFit="1" customWidth="1"/>
    <col min="22" max="22" width="15" bestFit="1" customWidth="1"/>
    <col min="23" max="23" width="4.109375" bestFit="1" customWidth="1"/>
  </cols>
  <sheetData>
    <row r="1" spans="1:10" ht="15.75">
      <c r="A1" s="1088" t="str">
        <f>'Table of Contents'!A1:C1</f>
        <v>Atmos Energy Corporation, Kentucky/Mid-States Division</v>
      </c>
      <c r="B1" s="1088"/>
      <c r="C1" s="1088"/>
      <c r="D1" s="1088"/>
      <c r="E1" s="1088"/>
      <c r="F1" s="1088"/>
      <c r="G1" s="1088"/>
      <c r="H1" s="1088"/>
      <c r="I1" s="1088"/>
      <c r="J1" s="12"/>
    </row>
    <row r="2" spans="1:10" ht="15.75">
      <c r="A2" s="1088" t="str">
        <f>'Table of Contents'!A2:C2</f>
        <v xml:space="preserve">Kentucky Jurisdiction Case No. 2024-00276 </v>
      </c>
      <c r="B2" s="1088"/>
      <c r="C2" s="1088"/>
      <c r="D2" s="1088"/>
      <c r="E2" s="1088"/>
      <c r="F2" s="1088"/>
      <c r="G2" s="1088"/>
      <c r="H2" s="1088"/>
      <c r="I2" s="1088"/>
      <c r="J2" s="413"/>
    </row>
    <row r="3" spans="1:10" ht="15.75">
      <c r="A3" s="1061" t="s">
        <v>1552</v>
      </c>
      <c r="B3" s="1061"/>
      <c r="C3" s="1061"/>
      <c r="D3" s="1061"/>
      <c r="E3" s="1061"/>
      <c r="F3" s="1061"/>
      <c r="G3" s="1061"/>
      <c r="H3" s="1061"/>
      <c r="I3" s="1061"/>
      <c r="J3" s="12"/>
    </row>
    <row r="4" spans="1:10" ht="15.75">
      <c r="A4" s="1088" t="str">
        <f>'Table of Contents'!A3:C3</f>
        <v>Base Period: Twelve Months Ended December 31, 2024</v>
      </c>
      <c r="B4" s="1088"/>
      <c r="C4" s="1088"/>
      <c r="D4" s="1088"/>
      <c r="E4" s="1088"/>
      <c r="F4" s="1088"/>
      <c r="G4" s="1088"/>
      <c r="H4" s="1088"/>
      <c r="I4" s="1088"/>
      <c r="J4" s="1"/>
    </row>
    <row r="5" spans="1:10" ht="15.75">
      <c r="A5" s="1088" t="str">
        <f>'Table of Contents'!A4:C4</f>
        <v>Forecasted Test Period:  Twelve Months Ended March 31, 2026</v>
      </c>
      <c r="B5" s="1088"/>
      <c r="C5" s="1088"/>
      <c r="D5" s="1088"/>
      <c r="E5" s="1088"/>
      <c r="F5" s="1088"/>
      <c r="G5" s="1088"/>
      <c r="H5" s="1088"/>
      <c r="I5" s="1088"/>
      <c r="J5" s="1"/>
    </row>
    <row r="6" spans="1:10" ht="15.75">
      <c r="A6" s="12"/>
      <c r="B6" s="1"/>
      <c r="C6" s="1"/>
      <c r="D6" s="1"/>
      <c r="E6" s="1"/>
      <c r="F6" s="1"/>
      <c r="G6" s="1"/>
      <c r="H6" s="1"/>
      <c r="J6" s="1"/>
    </row>
    <row r="7" spans="1:10">
      <c r="A7" s="48" t="s">
        <v>538</v>
      </c>
      <c r="C7" s="1"/>
      <c r="D7" s="1"/>
      <c r="E7" s="1"/>
      <c r="F7" s="1"/>
      <c r="G7" s="1"/>
      <c r="H7" s="1"/>
      <c r="I7" s="318" t="s">
        <v>1323</v>
      </c>
      <c r="J7" s="1"/>
    </row>
    <row r="8" spans="1:10">
      <c r="A8" s="48" t="s">
        <v>588</v>
      </c>
      <c r="C8" s="1"/>
      <c r="D8" s="1"/>
      <c r="E8" s="1"/>
      <c r="F8" s="1"/>
      <c r="G8" s="1"/>
      <c r="H8" s="1"/>
      <c r="I8" s="17" t="s">
        <v>1545</v>
      </c>
      <c r="J8" s="1"/>
    </row>
    <row r="9" spans="1:10">
      <c r="A9" s="319" t="s">
        <v>405</v>
      </c>
      <c r="B9" s="36"/>
      <c r="C9" s="28"/>
      <c r="D9" s="28"/>
      <c r="E9" s="28"/>
      <c r="F9" s="28"/>
      <c r="G9" s="28"/>
      <c r="H9" s="28"/>
      <c r="I9" s="895" t="str">
        <f>F.1!$I$9</f>
        <v>Witness: Waller</v>
      </c>
      <c r="J9" s="1"/>
    </row>
    <row r="10" spans="1:10" ht="15.75">
      <c r="B10" s="22"/>
      <c r="C10" s="1"/>
      <c r="D10" s="1"/>
      <c r="E10" s="1"/>
      <c r="F10" s="1"/>
      <c r="G10" s="1"/>
      <c r="H10" s="1"/>
      <c r="I10" s="53"/>
      <c r="J10" s="1"/>
    </row>
    <row r="11" spans="1:10" ht="15.75">
      <c r="A11" s="57" t="s">
        <v>88</v>
      </c>
      <c r="C11" s="1076" t="s">
        <v>315</v>
      </c>
      <c r="D11" s="1076"/>
      <c r="E11" s="1076"/>
      <c r="F11" s="1"/>
      <c r="G11" s="1076" t="s">
        <v>1174</v>
      </c>
      <c r="H11" s="1076"/>
      <c r="I11" s="1076"/>
      <c r="J11" s="1"/>
    </row>
    <row r="12" spans="1:10">
      <c r="A12" s="58" t="s">
        <v>94</v>
      </c>
      <c r="B12" s="58" t="s">
        <v>949</v>
      </c>
      <c r="C12" s="36"/>
      <c r="D12" s="36"/>
      <c r="E12" s="36"/>
      <c r="F12" s="36"/>
      <c r="G12" s="36"/>
      <c r="H12" s="36"/>
      <c r="I12" s="36"/>
      <c r="J12" s="1"/>
    </row>
    <row r="13" spans="1:10" ht="15.75">
      <c r="B13" s="295"/>
    </row>
    <row r="15" spans="1:10">
      <c r="A15" s="37">
        <v>1</v>
      </c>
      <c r="B15" s="664" t="s">
        <v>1557</v>
      </c>
      <c r="D15" s="404" t="s">
        <v>100</v>
      </c>
      <c r="E15" s="404" t="s">
        <v>1503</v>
      </c>
      <c r="H15" s="404" t="s">
        <v>100</v>
      </c>
      <c r="I15" s="404" t="s">
        <v>1503</v>
      </c>
      <c r="J15" s="77"/>
    </row>
    <row r="16" spans="1:10">
      <c r="A16" s="389">
        <f>A15+1</f>
        <v>2</v>
      </c>
      <c r="B16" s="653" t="s">
        <v>1558</v>
      </c>
      <c r="C16" s="448">
        <v>45291</v>
      </c>
      <c r="D16" s="919">
        <v>-8620222.2699999996</v>
      </c>
      <c r="E16" s="919"/>
      <c r="G16" s="783">
        <f>EOMONTH(C34,1)</f>
        <v>45747</v>
      </c>
      <c r="H16" s="697">
        <f>D34+I16</f>
        <v>-6565552.2699999996</v>
      </c>
      <c r="I16" s="636">
        <f>E34</f>
        <v>136978</v>
      </c>
      <c r="J16" s="77"/>
    </row>
    <row r="17" spans="1:10">
      <c r="A17" s="389">
        <f t="shared" ref="A17:A39" si="0">A16+1</f>
        <v>3</v>
      </c>
      <c r="B17" s="637"/>
      <c r="C17" s="783">
        <f>EOMONTH(C16,1)</f>
        <v>45322</v>
      </c>
      <c r="D17" s="1005">
        <v>-8620222.2699999996</v>
      </c>
      <c r="E17" s="782">
        <v>0</v>
      </c>
      <c r="G17" s="783">
        <f t="shared" ref="G17:G28" si="1">EOMONTH(G16,1)</f>
        <v>45777</v>
      </c>
      <c r="H17" s="921">
        <f t="shared" ref="H17:H28" si="2">H16+I17</f>
        <v>-6383175.8180555552</v>
      </c>
      <c r="I17" s="329">
        <f>-$H$16/36</f>
        <v>182376.45194444444</v>
      </c>
      <c r="J17" s="77"/>
    </row>
    <row r="18" spans="1:10">
      <c r="A18" s="389">
        <f t="shared" si="0"/>
        <v>4</v>
      </c>
      <c r="B18" s="637"/>
      <c r="C18" s="783">
        <f>EOMONTH(C17,1)</f>
        <v>45351</v>
      </c>
      <c r="D18" s="1005">
        <v>-8346266.2699999996</v>
      </c>
      <c r="E18" s="782">
        <v>273956</v>
      </c>
      <c r="G18" s="783">
        <f t="shared" si="1"/>
        <v>45808</v>
      </c>
      <c r="H18" s="921">
        <f t="shared" si="2"/>
        <v>-6200799.3661111109</v>
      </c>
      <c r="I18" s="329">
        <f t="shared" ref="I18:I28" si="3">-$H$16/36</f>
        <v>182376.45194444444</v>
      </c>
      <c r="J18" s="77"/>
    </row>
    <row r="19" spans="1:10">
      <c r="A19" s="389">
        <f t="shared" si="0"/>
        <v>5</v>
      </c>
      <c r="B19" s="637"/>
      <c r="C19" s="783">
        <f t="shared" ref="C19:C28" si="4">EOMONTH(C18,1)</f>
        <v>45382</v>
      </c>
      <c r="D19" s="1005">
        <v>-8209288.2699999996</v>
      </c>
      <c r="E19" s="782">
        <v>136978</v>
      </c>
      <c r="G19" s="783">
        <f t="shared" si="1"/>
        <v>45838</v>
      </c>
      <c r="H19" s="921">
        <f t="shared" si="2"/>
        <v>-6018422.9141666666</v>
      </c>
      <c r="I19" s="329">
        <f t="shared" si="3"/>
        <v>182376.45194444444</v>
      </c>
      <c r="J19" s="77"/>
    </row>
    <row r="20" spans="1:10">
      <c r="A20" s="389">
        <f t="shared" si="0"/>
        <v>6</v>
      </c>
      <c r="B20" s="637"/>
      <c r="C20" s="783">
        <f t="shared" si="4"/>
        <v>45412</v>
      </c>
      <c r="D20" s="1005">
        <v>-8072310.2699999996</v>
      </c>
      <c r="E20" s="782">
        <v>136978</v>
      </c>
      <c r="G20" s="783">
        <f t="shared" si="1"/>
        <v>45869</v>
      </c>
      <c r="H20" s="921">
        <f t="shared" si="2"/>
        <v>-5836046.4622222222</v>
      </c>
      <c r="I20" s="329">
        <f t="shared" si="3"/>
        <v>182376.45194444444</v>
      </c>
      <c r="J20" s="77"/>
    </row>
    <row r="21" spans="1:10">
      <c r="A21" s="389">
        <f t="shared" si="0"/>
        <v>7</v>
      </c>
      <c r="B21" s="637"/>
      <c r="C21" s="783">
        <f t="shared" si="4"/>
        <v>45443</v>
      </c>
      <c r="D21" s="1005">
        <v>-7935332.2699999996</v>
      </c>
      <c r="E21" s="782">
        <v>136978</v>
      </c>
      <c r="G21" s="783">
        <f t="shared" si="1"/>
        <v>45900</v>
      </c>
      <c r="H21" s="921">
        <f t="shared" si="2"/>
        <v>-5653670.0102777779</v>
      </c>
      <c r="I21" s="329">
        <f t="shared" si="3"/>
        <v>182376.45194444444</v>
      </c>
      <c r="J21" s="77"/>
    </row>
    <row r="22" spans="1:10">
      <c r="A22" s="389">
        <f t="shared" si="0"/>
        <v>8</v>
      </c>
      <c r="B22" s="637"/>
      <c r="C22" s="783">
        <f t="shared" si="4"/>
        <v>45473</v>
      </c>
      <c r="D22" s="1005">
        <v>-7798354.2699999996</v>
      </c>
      <c r="E22" s="782">
        <v>136978</v>
      </c>
      <c r="G22" s="783">
        <f t="shared" si="1"/>
        <v>45930</v>
      </c>
      <c r="H22" s="921">
        <f t="shared" si="2"/>
        <v>-5471293.5583333336</v>
      </c>
      <c r="I22" s="329">
        <f t="shared" si="3"/>
        <v>182376.45194444444</v>
      </c>
      <c r="J22" s="77"/>
    </row>
    <row r="23" spans="1:10">
      <c r="A23" s="389">
        <f t="shared" si="0"/>
        <v>9</v>
      </c>
      <c r="B23" s="637"/>
      <c r="C23" s="783">
        <f t="shared" si="4"/>
        <v>45504</v>
      </c>
      <c r="D23" s="329">
        <f t="shared" ref="D23:D24" si="5">D22+E23</f>
        <v>-7661376.2699999996</v>
      </c>
      <c r="E23" s="329">
        <f t="shared" ref="E23:E24" si="6">E22</f>
        <v>136978</v>
      </c>
      <c r="G23" s="783">
        <f t="shared" si="1"/>
        <v>45961</v>
      </c>
      <c r="H23" s="921">
        <f t="shared" si="2"/>
        <v>-5288917.1063888893</v>
      </c>
      <c r="I23" s="329">
        <f t="shared" si="3"/>
        <v>182376.45194444444</v>
      </c>
      <c r="J23" s="77"/>
    </row>
    <row r="24" spans="1:10">
      <c r="A24" s="389">
        <f t="shared" si="0"/>
        <v>10</v>
      </c>
      <c r="B24" s="637"/>
      <c r="C24" s="783">
        <f t="shared" si="4"/>
        <v>45535</v>
      </c>
      <c r="D24" s="329">
        <f t="shared" si="5"/>
        <v>-7524398.2699999996</v>
      </c>
      <c r="E24" s="329">
        <f t="shared" si="6"/>
        <v>136978</v>
      </c>
      <c r="G24" s="783">
        <f t="shared" si="1"/>
        <v>45991</v>
      </c>
      <c r="H24" s="921">
        <f t="shared" si="2"/>
        <v>-5106540.6544444449</v>
      </c>
      <c r="I24" s="329">
        <f t="shared" si="3"/>
        <v>182376.45194444444</v>
      </c>
      <c r="J24" s="77"/>
    </row>
    <row r="25" spans="1:10">
      <c r="A25" s="389">
        <f t="shared" si="0"/>
        <v>11</v>
      </c>
      <c r="C25" s="783">
        <f t="shared" si="4"/>
        <v>45565</v>
      </c>
      <c r="D25" s="329">
        <f>D24+E25</f>
        <v>-7387420.2699999996</v>
      </c>
      <c r="E25" s="329">
        <f>E24</f>
        <v>136978</v>
      </c>
      <c r="G25" s="783">
        <f t="shared" si="1"/>
        <v>46022</v>
      </c>
      <c r="H25" s="921">
        <f t="shared" si="2"/>
        <v>-4924164.2025000006</v>
      </c>
      <c r="I25" s="329">
        <f t="shared" si="3"/>
        <v>182376.45194444444</v>
      </c>
      <c r="J25" s="77"/>
    </row>
    <row r="26" spans="1:10">
      <c r="A26" s="389">
        <f t="shared" si="0"/>
        <v>12</v>
      </c>
      <c r="C26" s="783">
        <f t="shared" si="4"/>
        <v>45596</v>
      </c>
      <c r="D26" s="329">
        <f t="shared" ref="D26:D28" si="7">D25+E26</f>
        <v>-7250442.2699999996</v>
      </c>
      <c r="E26" s="329">
        <f t="shared" ref="E26:E28" si="8">E25</f>
        <v>136978</v>
      </c>
      <c r="G26" s="783">
        <f t="shared" si="1"/>
        <v>46053</v>
      </c>
      <c r="H26" s="921">
        <f t="shared" si="2"/>
        <v>-4741787.7505555563</v>
      </c>
      <c r="I26" s="329">
        <f t="shared" si="3"/>
        <v>182376.45194444444</v>
      </c>
      <c r="J26" s="77"/>
    </row>
    <row r="27" spans="1:10">
      <c r="A27" s="389">
        <f t="shared" si="0"/>
        <v>13</v>
      </c>
      <c r="B27" s="638"/>
      <c r="C27" s="783">
        <f>EOMONTH(C26,1)</f>
        <v>45626</v>
      </c>
      <c r="D27" s="329">
        <f t="shared" si="7"/>
        <v>-7113464.2699999996</v>
      </c>
      <c r="E27" s="329">
        <f t="shared" si="8"/>
        <v>136978</v>
      </c>
      <c r="G27" s="783">
        <f t="shared" si="1"/>
        <v>46081</v>
      </c>
      <c r="H27" s="921">
        <f t="shared" si="2"/>
        <v>-4559411.2986111119</v>
      </c>
      <c r="I27" s="329">
        <f t="shared" si="3"/>
        <v>182376.45194444444</v>
      </c>
      <c r="J27" s="77"/>
    </row>
    <row r="28" spans="1:10">
      <c r="A28" s="389">
        <f t="shared" si="0"/>
        <v>14</v>
      </c>
      <c r="C28" s="783">
        <f t="shared" si="4"/>
        <v>45657</v>
      </c>
      <c r="D28" s="329">
        <f t="shared" si="7"/>
        <v>-6976486.2699999996</v>
      </c>
      <c r="E28" s="329">
        <f t="shared" si="8"/>
        <v>136978</v>
      </c>
      <c r="G28" s="783">
        <f t="shared" si="1"/>
        <v>46112</v>
      </c>
      <c r="H28" s="921">
        <f t="shared" si="2"/>
        <v>-4377034.8466666676</v>
      </c>
      <c r="I28" s="698">
        <f t="shared" si="3"/>
        <v>182376.45194444444</v>
      </c>
      <c r="J28" s="77"/>
    </row>
    <row r="29" spans="1:10">
      <c r="A29" s="389">
        <f t="shared" si="0"/>
        <v>15</v>
      </c>
      <c r="C29" s="655"/>
      <c r="D29" s="339"/>
      <c r="E29" s="658"/>
      <c r="G29" s="656"/>
      <c r="H29" s="339"/>
      <c r="I29" s="657"/>
      <c r="J29" s="77"/>
    </row>
    <row r="30" spans="1:10">
      <c r="A30" s="389">
        <f t="shared" si="0"/>
        <v>16</v>
      </c>
      <c r="C30" s="448" t="s">
        <v>315</v>
      </c>
      <c r="D30" s="920">
        <f>AVERAGE(D16:D28)</f>
        <v>-7808891.0392307658</v>
      </c>
      <c r="E30" s="920">
        <f>SUM(E17:E28)</f>
        <v>1643736</v>
      </c>
      <c r="G30" s="662" t="s">
        <v>1174</v>
      </c>
      <c r="H30" s="920">
        <f>AVERAGE(H16:H28)</f>
        <v>-5471293.5583333354</v>
      </c>
      <c r="I30" s="920">
        <f>SUM(I17:I28)</f>
        <v>2188517.4233333329</v>
      </c>
      <c r="J30" s="77"/>
    </row>
    <row r="31" spans="1:10">
      <c r="A31" s="389">
        <f t="shared" si="0"/>
        <v>17</v>
      </c>
      <c r="C31" s="448"/>
      <c r="D31" s="663" t="s">
        <v>1553</v>
      </c>
      <c r="E31" s="660"/>
      <c r="G31" s="659"/>
      <c r="H31" s="663" t="s">
        <v>1553</v>
      </c>
      <c r="I31" s="661"/>
      <c r="J31" s="77"/>
    </row>
    <row r="32" spans="1:10">
      <c r="A32" s="389">
        <f t="shared" si="0"/>
        <v>18</v>
      </c>
      <c r="C32" s="448"/>
      <c r="J32" s="77"/>
    </row>
    <row r="33" spans="1:10">
      <c r="A33" s="389">
        <f t="shared" si="0"/>
        <v>19</v>
      </c>
      <c r="C33" s="783">
        <f>EOMONTH(C28,1)</f>
        <v>45688</v>
      </c>
      <c r="D33" s="329">
        <f>D28+E33</f>
        <v>-6839508.2699999996</v>
      </c>
      <c r="E33" s="921">
        <f>E28</f>
        <v>136978</v>
      </c>
      <c r="J33" s="77"/>
    </row>
    <row r="34" spans="1:10">
      <c r="A34" s="389">
        <f t="shared" si="0"/>
        <v>20</v>
      </c>
      <c r="C34" s="783">
        <f t="shared" ref="C34" si="9">EOMONTH(C33,1)</f>
        <v>45716</v>
      </c>
      <c r="D34" s="329">
        <f>D33+E34</f>
        <v>-6702530.2699999996</v>
      </c>
      <c r="E34" s="921">
        <f>E33</f>
        <v>136978</v>
      </c>
      <c r="F34" s="37"/>
      <c r="G34" s="37"/>
      <c r="H34" s="37"/>
      <c r="J34" s="77"/>
    </row>
    <row r="35" spans="1:10">
      <c r="A35" s="389">
        <f t="shared" si="0"/>
        <v>21</v>
      </c>
      <c r="C35" s="448"/>
      <c r="E35" s="654"/>
      <c r="F35" s="37"/>
      <c r="G35" s="37"/>
      <c r="H35" s="37"/>
      <c r="J35" s="77"/>
    </row>
    <row r="36" spans="1:10">
      <c r="A36" s="389">
        <f t="shared" si="0"/>
        <v>22</v>
      </c>
      <c r="C36" s="448"/>
      <c r="E36" s="654"/>
      <c r="F36" s="37"/>
      <c r="G36" s="37"/>
      <c r="H36" s="37"/>
      <c r="J36" s="77"/>
    </row>
    <row r="37" spans="1:10">
      <c r="A37" s="389">
        <f t="shared" si="0"/>
        <v>23</v>
      </c>
      <c r="C37" s="448"/>
      <c r="E37" s="654"/>
      <c r="F37" s="37"/>
      <c r="G37" s="37"/>
      <c r="H37" s="37"/>
      <c r="J37" s="77"/>
    </row>
    <row r="38" spans="1:10">
      <c r="A38" s="389">
        <f t="shared" si="0"/>
        <v>24</v>
      </c>
      <c r="G38" s="448"/>
      <c r="H38" s="404" t="s">
        <v>1555</v>
      </c>
      <c r="I38" s="404" t="s">
        <v>1503</v>
      </c>
      <c r="J38" s="77"/>
    </row>
    <row r="39" spans="1:10" ht="15.75" thickBot="1">
      <c r="A39" s="389">
        <f t="shared" si="0"/>
        <v>25</v>
      </c>
      <c r="B39" t="s">
        <v>1554</v>
      </c>
      <c r="G39" s="662" t="s">
        <v>1174</v>
      </c>
      <c r="H39" s="754">
        <f>H30</f>
        <v>-5471293.5583333354</v>
      </c>
      <c r="I39" s="754">
        <f>I30</f>
        <v>2188517.4233333329</v>
      </c>
      <c r="J39" s="77"/>
    </row>
    <row r="40" spans="1:10" ht="15.75" thickTop="1">
      <c r="A40" s="81"/>
    </row>
    <row r="41" spans="1:10">
      <c r="B41" t="s">
        <v>492</v>
      </c>
    </row>
    <row r="42" spans="1:10">
      <c r="B42" t="s">
        <v>1613</v>
      </c>
    </row>
    <row r="46" spans="1:10">
      <c r="B46" s="329"/>
    </row>
    <row r="49" spans="1:10">
      <c r="A49" s="57"/>
      <c r="B49" s="53"/>
      <c r="C49" s="1"/>
      <c r="F49" s="1"/>
      <c r="G49" s="1"/>
      <c r="H49" s="1"/>
      <c r="I49" s="1"/>
      <c r="J49" s="1"/>
    </row>
    <row r="50" spans="1:10">
      <c r="A50" s="57"/>
      <c r="B50" s="446"/>
      <c r="C50" s="1"/>
      <c r="D50" s="1"/>
      <c r="E50" s="1"/>
      <c r="F50" s="1"/>
      <c r="G50" s="1"/>
      <c r="H50" s="1"/>
      <c r="I50" s="1"/>
      <c r="J50" s="1"/>
    </row>
    <row r="51" spans="1:10">
      <c r="A51" s="57"/>
      <c r="B51" s="447"/>
      <c r="C51" s="1"/>
      <c r="D51" s="1"/>
      <c r="E51" s="1"/>
      <c r="F51" s="1"/>
      <c r="G51" s="1"/>
      <c r="H51" s="1"/>
      <c r="J51" s="1"/>
    </row>
    <row r="52" spans="1:10">
      <c r="A52" s="57"/>
      <c r="B52" s="447"/>
      <c r="C52" s="1"/>
      <c r="D52" s="1"/>
      <c r="E52" s="1"/>
      <c r="F52" s="1"/>
      <c r="G52" s="1"/>
      <c r="H52" s="1"/>
      <c r="J52" s="1"/>
    </row>
    <row r="53" spans="1:10">
      <c r="A53" s="57"/>
      <c r="B53" s="447"/>
      <c r="C53" s="1"/>
      <c r="D53" s="1"/>
      <c r="E53" s="1"/>
      <c r="F53" s="1"/>
      <c r="G53" s="1"/>
      <c r="H53" s="1"/>
      <c r="J53" s="1"/>
    </row>
    <row r="54" spans="1:10">
      <c r="A54" s="57"/>
      <c r="B54" s="447"/>
      <c r="C54" s="1"/>
      <c r="D54" s="1"/>
      <c r="E54" s="1"/>
      <c r="F54" s="1"/>
      <c r="G54" s="1"/>
      <c r="H54" s="1"/>
      <c r="I54" s="1"/>
      <c r="J54" s="1"/>
    </row>
    <row r="55" spans="1:10">
      <c r="A55" s="57"/>
      <c r="B55" s="447"/>
      <c r="C55" s="1"/>
      <c r="D55" s="1"/>
      <c r="E55" s="1"/>
      <c r="I55" s="1"/>
      <c r="J55" s="1"/>
    </row>
    <row r="56" spans="1:10">
      <c r="A56" s="57"/>
      <c r="B56" s="57"/>
      <c r="C56" s="1"/>
      <c r="F56" s="1"/>
      <c r="G56" s="1"/>
      <c r="H56" s="1"/>
      <c r="I56" s="1"/>
      <c r="J56" s="1"/>
    </row>
    <row r="57" spans="1:10">
      <c r="D57" s="1"/>
      <c r="E57" s="1"/>
    </row>
    <row r="72" spans="2:2">
      <c r="B72" t="s">
        <v>1536</v>
      </c>
    </row>
    <row r="73" spans="2:2">
      <c r="B73" t="s">
        <v>1533</v>
      </c>
    </row>
  </sheetData>
  <mergeCells count="7">
    <mergeCell ref="A1:I1"/>
    <mergeCell ref="A2:I2"/>
    <mergeCell ref="A3:I3"/>
    <mergeCell ref="C11:E11"/>
    <mergeCell ref="G11:I11"/>
    <mergeCell ref="A4:I4"/>
    <mergeCell ref="A5:I5"/>
  </mergeCells>
  <printOptions horizontalCentered="1"/>
  <pageMargins left="1" right="0.87" top="1" bottom="1" header="0.5" footer="0.5"/>
  <pageSetup scale="57" orientation="portrait" verticalDpi="300" r:id="rId1"/>
  <headerFooter alignWithMargins="0">
    <oddFooter>&amp;RSchedule &amp;A
Page &amp;P of &amp;N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92D050"/>
    <pageSetUpPr fitToPage="1"/>
  </sheetPr>
  <dimension ref="A1:U68"/>
  <sheetViews>
    <sheetView view="pageBreakPreview" zoomScale="80" zoomScaleNormal="100" zoomScaleSheetLayoutView="80" workbookViewId="0">
      <selection activeCell="C20" sqref="C20"/>
    </sheetView>
  </sheetViews>
  <sheetFormatPr defaultColWidth="8.44140625" defaultRowHeight="15"/>
  <cols>
    <col min="1" max="1" width="7.5546875" style="1" customWidth="1"/>
    <col min="2" max="2" width="33.77734375" style="1" customWidth="1"/>
    <col min="3" max="3" width="7.33203125" style="1" customWidth="1"/>
    <col min="4" max="4" width="14.44140625" style="1" customWidth="1"/>
    <col min="5" max="5" width="2.109375" style="1" customWidth="1"/>
    <col min="6" max="6" width="12.44140625" style="1" customWidth="1"/>
    <col min="7" max="7" width="2" style="1" customWidth="1"/>
    <col min="8" max="8" width="13.5546875" style="1" customWidth="1"/>
    <col min="9" max="9" width="2.6640625" style="1" customWidth="1"/>
    <col min="10" max="10" width="10.88671875" style="1" customWidth="1"/>
    <col min="11" max="11" width="3.33203125" style="1" customWidth="1"/>
    <col min="12" max="12" width="17.109375" style="1" bestFit="1" customWidth="1"/>
    <col min="13" max="13" width="18.6640625" style="1" customWidth="1"/>
    <col min="14" max="16" width="8.44140625" style="1"/>
    <col min="17" max="17" width="9.44140625" style="1" bestFit="1" customWidth="1"/>
    <col min="18" max="18" width="8.44140625" style="1"/>
    <col min="19" max="19" width="9.44140625" style="1" bestFit="1" customWidth="1"/>
    <col min="20" max="16384" width="8.44140625" style="1"/>
  </cols>
  <sheetData>
    <row r="1" spans="1:13">
      <c r="A1" s="922" t="str">
        <f>'Table of Contents'!A1:C1</f>
        <v>Atmos Energy Corporation, Kentucky/Mid-States Division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>
      <c r="A2" s="922" t="str">
        <f>'Table of Contents'!A2:C2</f>
        <v xml:space="preserve">Kentucky Jurisdiction Case No. 2024-00276 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>
      <c r="A3" s="52" t="s">
        <v>485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>
      <c r="A4" s="923" t="str">
        <f>'Table of Contents'!A3:C3</f>
        <v>Base Period: Twelve Months Ended December 31, 2024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>
      <c r="A5" s="923" t="str">
        <f>'Table of Contents'!A4:C4</f>
        <v>Forecasted Test Period:  Twelve Months Ended March 31, 2026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3">
      <c r="A6"/>
      <c r="B6"/>
      <c r="C6"/>
      <c r="D6"/>
      <c r="E6"/>
      <c r="F6"/>
      <c r="G6"/>
      <c r="H6"/>
      <c r="I6"/>
      <c r="J6"/>
      <c r="K6"/>
      <c r="L6"/>
    </row>
    <row r="7" spans="1:13">
      <c r="A7" s="53" t="s">
        <v>192</v>
      </c>
      <c r="B7"/>
      <c r="C7"/>
      <c r="D7"/>
      <c r="E7"/>
      <c r="F7"/>
      <c r="G7"/>
      <c r="H7"/>
      <c r="I7"/>
      <c r="J7"/>
      <c r="K7"/>
      <c r="L7" s="84" t="s">
        <v>1324</v>
      </c>
    </row>
    <row r="8" spans="1:13">
      <c r="A8" s="53" t="s">
        <v>1080</v>
      </c>
      <c r="B8"/>
      <c r="C8"/>
      <c r="D8"/>
      <c r="E8"/>
      <c r="F8"/>
      <c r="G8"/>
      <c r="H8"/>
      <c r="I8"/>
      <c r="J8"/>
      <c r="K8"/>
      <c r="L8" s="314" t="s">
        <v>810</v>
      </c>
    </row>
    <row r="9" spans="1:13">
      <c r="A9" s="54" t="s">
        <v>405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718" t="str">
        <f>F.1!$I$9</f>
        <v>Witness: Waller</v>
      </c>
    </row>
    <row r="10" spans="1:13" ht="15.75">
      <c r="A10" s="65"/>
      <c r="B10"/>
      <c r="C10"/>
      <c r="D10"/>
      <c r="E10"/>
      <c r="F10"/>
      <c r="G10"/>
      <c r="H10"/>
      <c r="I10"/>
      <c r="J10"/>
      <c r="K10"/>
      <c r="L10" s="339"/>
    </row>
    <row r="11" spans="1:13">
      <c r="A11"/>
      <c r="B11"/>
      <c r="C11"/>
      <c r="D11"/>
      <c r="E11"/>
      <c r="F11"/>
      <c r="G11"/>
      <c r="H11" s="57"/>
      <c r="I11"/>
      <c r="J11"/>
      <c r="K11"/>
      <c r="L11"/>
    </row>
    <row r="12" spans="1:13">
      <c r="A12"/>
      <c r="B12"/>
      <c r="C12"/>
      <c r="D12" s="57" t="s">
        <v>91</v>
      </c>
      <c r="E12"/>
      <c r="F12"/>
      <c r="G12"/>
      <c r="H12" s="57" t="s">
        <v>496</v>
      </c>
      <c r="I12"/>
      <c r="J12"/>
      <c r="K12"/>
      <c r="L12" s="57" t="s">
        <v>316</v>
      </c>
    </row>
    <row r="13" spans="1:13">
      <c r="A13" s="57" t="s">
        <v>88</v>
      </c>
      <c r="B13"/>
      <c r="C13" s="355" t="s">
        <v>1195</v>
      </c>
      <c r="D13" s="57" t="s">
        <v>97</v>
      </c>
      <c r="E13"/>
      <c r="F13"/>
      <c r="G13"/>
      <c r="H13" s="57" t="s">
        <v>328</v>
      </c>
      <c r="I13"/>
      <c r="J13"/>
      <c r="K13"/>
      <c r="L13" s="57" t="s">
        <v>92</v>
      </c>
    </row>
    <row r="14" spans="1:13">
      <c r="A14" s="58" t="s">
        <v>94</v>
      </c>
      <c r="B14" s="58" t="s">
        <v>949</v>
      </c>
      <c r="C14" s="233" t="s">
        <v>1193</v>
      </c>
      <c r="D14" s="233" t="s">
        <v>950</v>
      </c>
      <c r="E14" s="36"/>
      <c r="F14" s="233" t="s">
        <v>328</v>
      </c>
      <c r="G14" s="36"/>
      <c r="H14" s="233" t="s">
        <v>950</v>
      </c>
      <c r="I14" s="36"/>
      <c r="J14" s="233" t="s">
        <v>951</v>
      </c>
      <c r="K14" s="36"/>
      <c r="L14" s="233" t="s">
        <v>1041</v>
      </c>
      <c r="M14" s="15"/>
    </row>
    <row r="15" spans="1:13">
      <c r="A15"/>
      <c r="B15"/>
      <c r="C15"/>
      <c r="D15" s="57"/>
      <c r="E15"/>
      <c r="F15" s="57"/>
      <c r="G15"/>
      <c r="H15" s="57"/>
      <c r="I15" s="53"/>
      <c r="J15" s="57"/>
      <c r="K15" s="53"/>
      <c r="L15" s="57"/>
    </row>
    <row r="16" spans="1:13">
      <c r="A16" s="57">
        <v>1</v>
      </c>
      <c r="B16" s="16" t="s">
        <v>818</v>
      </c>
      <c r="C16" s="16"/>
      <c r="D16" s="244"/>
      <c r="E16"/>
      <c r="F16"/>
      <c r="G16"/>
      <c r="H16"/>
      <c r="I16"/>
      <c r="J16"/>
      <c r="K16"/>
      <c r="L16" s="245"/>
    </row>
    <row r="17" spans="1:21">
      <c r="A17" s="57">
        <v>2</v>
      </c>
      <c r="B17" s="53" t="s">
        <v>375</v>
      </c>
      <c r="C17" s="53"/>
      <c r="D17" s="810">
        <f>G.2!M26</f>
        <v>15732460.54326041</v>
      </c>
      <c r="E17"/>
      <c r="F17" s="71" t="s">
        <v>141</v>
      </c>
      <c r="G17"/>
      <c r="H17" s="924">
        <f>+D17</f>
        <v>15732460.54326041</v>
      </c>
      <c r="I17"/>
      <c r="J17" s="924">
        <f>L17-H17</f>
        <v>2070638.3207449354</v>
      </c>
      <c r="K17"/>
      <c r="L17" s="810">
        <f>G.2!O26</f>
        <v>17803098.864005346</v>
      </c>
    </row>
    <row r="18" spans="1:21">
      <c r="A18" s="57">
        <v>3</v>
      </c>
      <c r="B18"/>
      <c r="C18"/>
      <c r="D18" s="46"/>
      <c r="E18"/>
      <c r="F18" s="61"/>
      <c r="G18"/>
      <c r="H18" s="46"/>
      <c r="I18"/>
      <c r="J18" s="46"/>
      <c r="K18"/>
      <c r="L18" s="46"/>
      <c r="N18" s="329"/>
    </row>
    <row r="19" spans="1:21">
      <c r="A19" s="57">
        <v>4</v>
      </c>
      <c r="B19" s="16" t="s">
        <v>590</v>
      </c>
      <c r="C19" s="329"/>
      <c r="D19" s="46"/>
      <c r="E19"/>
      <c r="F19" s="61"/>
      <c r="G19"/>
      <c r="H19" s="46"/>
      <c r="I19"/>
      <c r="J19" s="46"/>
      <c r="K19"/>
      <c r="L19" s="46"/>
    </row>
    <row r="20" spans="1:21">
      <c r="A20" s="57">
        <v>5</v>
      </c>
      <c r="B20" s="53" t="s">
        <v>1194</v>
      </c>
      <c r="C20" s="925">
        <v>3.7304754954589368E-2</v>
      </c>
      <c r="D20" s="739">
        <f>D$17*C20</f>
        <v>586895.58539907553</v>
      </c>
      <c r="E20" s="97"/>
      <c r="F20" s="71" t="s">
        <v>141</v>
      </c>
      <c r="G20"/>
      <c r="H20" s="739">
        <f t="shared" ref="H20:H25" si="0">D20</f>
        <v>586895.58539907553</v>
      </c>
      <c r="I20"/>
      <c r="J20" s="739">
        <f t="shared" ref="J20:J25" si="1">L20-H20</f>
        <v>77244.655154972221</v>
      </c>
      <c r="K20"/>
      <c r="L20" s="739">
        <f>L$17*C20</f>
        <v>664140.24055404775</v>
      </c>
      <c r="N20" s="375"/>
    </row>
    <row r="21" spans="1:21">
      <c r="A21" s="57">
        <v>6</v>
      </c>
      <c r="B21" s="53" t="s">
        <v>1049</v>
      </c>
      <c r="C21" s="925">
        <v>1.3284978959207301E-2</v>
      </c>
      <c r="D21" s="841">
        <f>D$17*C21</f>
        <v>209005.40729377363</v>
      </c>
      <c r="E21" s="97"/>
      <c r="F21" s="71" t="s">
        <v>141</v>
      </c>
      <c r="G21"/>
      <c r="H21" s="841">
        <f t="shared" si="0"/>
        <v>209005.40729377363</v>
      </c>
      <c r="I21"/>
      <c r="J21" s="841">
        <f t="shared" si="1"/>
        <v>27508.386523224792</v>
      </c>
      <c r="K21"/>
      <c r="L21" s="841">
        <f>L$17*C21</f>
        <v>236513.79381699843</v>
      </c>
      <c r="M21"/>
      <c r="N21"/>
      <c r="O21"/>
      <c r="P21"/>
      <c r="Q21"/>
      <c r="R21"/>
      <c r="S21"/>
      <c r="T21"/>
      <c r="U21"/>
    </row>
    <row r="22" spans="1:21">
      <c r="A22" s="57">
        <v>7</v>
      </c>
      <c r="B22" s="53" t="s">
        <v>581</v>
      </c>
      <c r="C22" s="925">
        <v>0.19754896015786882</v>
      </c>
      <c r="D22" s="841">
        <f>D$17*C22</f>
        <v>3107931.221045794</v>
      </c>
      <c r="E22" s="247"/>
      <c r="F22" s="71" t="s">
        <v>141</v>
      </c>
      <c r="G22"/>
      <c r="H22" s="841">
        <f t="shared" si="0"/>
        <v>3107931.221045794</v>
      </c>
      <c r="I22"/>
      <c r="J22" s="841">
        <f t="shared" si="1"/>
        <v>409052.44712619763</v>
      </c>
      <c r="K22"/>
      <c r="L22" s="841">
        <f>L$17*C22</f>
        <v>3516983.6681719916</v>
      </c>
      <c r="M22"/>
      <c r="N22"/>
      <c r="O22"/>
      <c r="P22"/>
      <c r="Q22"/>
      <c r="R22"/>
      <c r="S22"/>
      <c r="T22"/>
      <c r="U22"/>
    </row>
    <row r="23" spans="1:21">
      <c r="A23" s="57">
        <v>8</v>
      </c>
      <c r="B23" s="53" t="s">
        <v>802</v>
      </c>
      <c r="C23" s="925">
        <v>2.6820458894314635E-2</v>
      </c>
      <c r="D23" s="841">
        <f>D$17*C23</f>
        <v>421951.81130694272</v>
      </c>
      <c r="E23" s="97"/>
      <c r="F23" s="71" t="s">
        <v>141</v>
      </c>
      <c r="G23"/>
      <c r="H23" s="841">
        <f t="shared" si="0"/>
        <v>421951.81130694272</v>
      </c>
      <c r="I23"/>
      <c r="J23" s="841">
        <f t="shared" si="1"/>
        <v>55535.469966532255</v>
      </c>
      <c r="K23"/>
      <c r="L23" s="841">
        <f>L$17*C23</f>
        <v>477487.28127347498</v>
      </c>
    </row>
    <row r="24" spans="1:21">
      <c r="A24" s="57">
        <v>9</v>
      </c>
      <c r="B24" s="53"/>
      <c r="C24" s="53"/>
      <c r="D24" s="70"/>
      <c r="E24"/>
      <c r="F24" s="71"/>
      <c r="G24"/>
      <c r="H24" s="610"/>
      <c r="I24"/>
      <c r="J24" s="610"/>
      <c r="K24"/>
      <c r="L24" s="70"/>
      <c r="N24" s="329"/>
    </row>
    <row r="25" spans="1:21">
      <c r="A25" s="57">
        <v>10</v>
      </c>
      <c r="B25" s="53" t="s">
        <v>582</v>
      </c>
      <c r="C25" s="53"/>
      <c r="D25" s="730">
        <f>G.2!M35</f>
        <v>1859853.4831181057</v>
      </c>
      <c r="E25" s="97"/>
      <c r="F25" s="61" t="s">
        <v>314</v>
      </c>
      <c r="G25"/>
      <c r="H25" s="739">
        <f t="shared" si="0"/>
        <v>1859853.4831181057</v>
      </c>
      <c r="I25"/>
      <c r="J25" s="739">
        <f t="shared" si="1"/>
        <v>266092.12459683139</v>
      </c>
      <c r="K25"/>
      <c r="L25" s="730">
        <f>G.2!O35</f>
        <v>2125945.6077149371</v>
      </c>
    </row>
    <row r="26" spans="1:21">
      <c r="A26" s="57">
        <v>11</v>
      </c>
      <c r="B26"/>
      <c r="C26"/>
      <c r="D26" s="46"/>
      <c r="E26"/>
      <c r="F26" s="72" t="s">
        <v>314</v>
      </c>
      <c r="G26"/>
      <c r="H26" s="46" t="s">
        <v>314</v>
      </c>
      <c r="I26"/>
      <c r="J26" s="46"/>
      <c r="K26"/>
      <c r="L26" s="46"/>
    </row>
    <row r="27" spans="1:21">
      <c r="A27" s="57">
        <v>12</v>
      </c>
      <c r="B27" s="16" t="s">
        <v>768</v>
      </c>
      <c r="C27" s="16"/>
      <c r="D27" s="46"/>
      <c r="E27"/>
      <c r="F27" s="72" t="s">
        <v>314</v>
      </c>
      <c r="G27"/>
      <c r="H27" s="46" t="s">
        <v>314</v>
      </c>
      <c r="I27"/>
      <c r="J27" s="46"/>
      <c r="K27"/>
      <c r="L27" s="46" t="s">
        <v>654</v>
      </c>
    </row>
    <row r="28" spans="1:21">
      <c r="A28" s="57">
        <v>15</v>
      </c>
      <c r="B28" s="53" t="s">
        <v>768</v>
      </c>
      <c r="C28" s="53"/>
      <c r="D28" s="730">
        <f>G.2!$M$42*('C.2.3 B'!O14/G.2!$M$43)</f>
        <v>975269.2439414938</v>
      </c>
      <c r="E28"/>
      <c r="F28" s="71" t="s">
        <v>141</v>
      </c>
      <c r="G28"/>
      <c r="H28" s="841">
        <f>D28</f>
        <v>975269.2439414938</v>
      </c>
      <c r="I28"/>
      <c r="J28" s="841">
        <f>L28-H28</f>
        <v>142419.05876674387</v>
      </c>
      <c r="K28"/>
      <c r="L28" s="730">
        <f>G.2!$O$42*('C.2.3 F'!O14/G.2!$O$43)</f>
        <v>1117688.3027082377</v>
      </c>
    </row>
    <row r="29" spans="1:21">
      <c r="A29" s="57">
        <v>16</v>
      </c>
      <c r="B29" s="53" t="s">
        <v>605</v>
      </c>
      <c r="C29" s="53"/>
      <c r="D29" s="926">
        <f>SUM(D28:D28)</f>
        <v>975269.2439414938</v>
      </c>
      <c r="E29"/>
      <c r="F29" s="61"/>
      <c r="G29"/>
      <c r="H29" s="926">
        <f>D29</f>
        <v>975269.2439414938</v>
      </c>
      <c r="I29"/>
      <c r="J29" s="926">
        <f>L29-H29</f>
        <v>142419.05876674387</v>
      </c>
      <c r="K29"/>
      <c r="L29" s="926">
        <f>SUM(L28:L28)</f>
        <v>1117688.3027082377</v>
      </c>
    </row>
    <row r="30" spans="1:21">
      <c r="A30" s="57">
        <v>17</v>
      </c>
      <c r="B30"/>
      <c r="C30"/>
      <c r="D30" s="46"/>
      <c r="E30"/>
      <c r="F30" s="72" t="s">
        <v>314</v>
      </c>
      <c r="G30"/>
      <c r="H30" s="46" t="s">
        <v>314</v>
      </c>
      <c r="I30"/>
      <c r="J30" s="46"/>
      <c r="K30"/>
      <c r="L30" s="46" t="s">
        <v>314</v>
      </c>
    </row>
    <row r="31" spans="1:21" ht="15.75" thickBot="1">
      <c r="A31" s="57">
        <v>18</v>
      </c>
      <c r="B31" s="53" t="s">
        <v>819</v>
      </c>
      <c r="C31" s="53"/>
      <c r="D31" s="927">
        <f>D17+D25+D29</f>
        <v>18567583.270320009</v>
      </c>
      <c r="E31"/>
      <c r="F31" s="61"/>
      <c r="G31"/>
      <c r="H31" s="927">
        <f>D31</f>
        <v>18567583.270320009</v>
      </c>
      <c r="I31"/>
      <c r="J31" s="927">
        <f>J17+J25+J29</f>
        <v>2479149.5041085109</v>
      </c>
      <c r="K31"/>
      <c r="L31" s="927">
        <f>H31+J31</f>
        <v>21046732.77442852</v>
      </c>
    </row>
    <row r="32" spans="1:21" ht="15.75" thickTop="1">
      <c r="A32"/>
      <c r="B32"/>
      <c r="C32"/>
      <c r="D32" s="46"/>
      <c r="E32"/>
      <c r="F32" s="60"/>
      <c r="G32"/>
      <c r="H32" s="60"/>
      <c r="I32"/>
      <c r="J32" s="60"/>
      <c r="K32"/>
      <c r="L32" s="46"/>
    </row>
    <row r="33" spans="1:13">
      <c r="A33"/>
      <c r="B33"/>
      <c r="C33"/>
      <c r="D33" s="60"/>
      <c r="E33"/>
      <c r="F33"/>
      <c r="G33"/>
      <c r="H33"/>
      <c r="I33"/>
      <c r="J33" s="60"/>
      <c r="K33"/>
      <c r="L33" s="46"/>
    </row>
    <row r="34" spans="1:13">
      <c r="A34"/>
      <c r="B34"/>
      <c r="C34"/>
      <c r="D34" s="60"/>
      <c r="E34"/>
      <c r="F34"/>
      <c r="G34"/>
      <c r="H34"/>
      <c r="I34"/>
      <c r="J34" s="60"/>
      <c r="K34"/>
      <c r="L34" s="60"/>
    </row>
    <row r="35" spans="1:13">
      <c r="A35"/>
      <c r="B35"/>
      <c r="C35"/>
      <c r="D35" s="60"/>
      <c r="E35"/>
      <c r="F35"/>
      <c r="G35"/>
      <c r="H35"/>
      <c r="I35"/>
      <c r="J35" s="60"/>
      <c r="K35"/>
      <c r="L35" s="60"/>
    </row>
    <row r="36" spans="1:13">
      <c r="A36"/>
      <c r="B36" t="s">
        <v>657</v>
      </c>
      <c r="C36"/>
      <c r="D36"/>
      <c r="E36"/>
      <c r="F36" s="329"/>
      <c r="G36"/>
      <c r="H36"/>
      <c r="I36"/>
      <c r="J36"/>
      <c r="K36"/>
      <c r="L36"/>
    </row>
    <row r="37" spans="1:13">
      <c r="A37" t="s">
        <v>314</v>
      </c>
      <c r="B37" s="353" t="s">
        <v>1683</v>
      </c>
      <c r="C37"/>
      <c r="D37"/>
      <c r="E37"/>
      <c r="F37" s="329"/>
      <c r="G37"/>
      <c r="H37"/>
      <c r="I37"/>
      <c r="J37"/>
      <c r="K37"/>
      <c r="L37"/>
    </row>
    <row r="38" spans="1:13">
      <c r="A38"/>
      <c r="B38"/>
      <c r="C38"/>
      <c r="D38"/>
      <c r="E38"/>
      <c r="F38" s="329"/>
      <c r="G38"/>
      <c r="H38"/>
      <c r="I38"/>
      <c r="J38"/>
      <c r="K38"/>
      <c r="L38"/>
    </row>
    <row r="39" spans="1:13">
      <c r="A39"/>
      <c r="B39"/>
      <c r="C39"/>
    </row>
    <row r="40" spans="1:13">
      <c r="A40"/>
      <c r="B40"/>
      <c r="D40" s="329"/>
      <c r="E40" s="329"/>
      <c r="F40" s="329"/>
      <c r="G40" s="329"/>
      <c r="H40" s="329"/>
      <c r="I40" s="329"/>
      <c r="J40" s="329"/>
      <c r="K40" s="329"/>
      <c r="L40" s="329"/>
      <c r="M40" s="329"/>
    </row>
    <row r="41" spans="1:13">
      <c r="A41"/>
      <c r="B41"/>
      <c r="D41" s="329"/>
      <c r="E41" s="329"/>
      <c r="F41" s="329"/>
      <c r="G41" s="329"/>
      <c r="H41" s="329"/>
      <c r="I41" s="329"/>
      <c r="J41" s="329"/>
      <c r="K41" s="329"/>
      <c r="L41" s="329"/>
      <c r="M41" s="329"/>
    </row>
    <row r="42" spans="1:13">
      <c r="A42"/>
      <c r="B42"/>
      <c r="C42"/>
      <c r="D42"/>
      <c r="E42"/>
      <c r="F42"/>
      <c r="G42"/>
      <c r="H42"/>
      <c r="I42"/>
      <c r="J42"/>
      <c r="K42"/>
      <c r="L42"/>
    </row>
    <row r="43" spans="1:13">
      <c r="A43"/>
      <c r="B43"/>
      <c r="C43"/>
      <c r="D43"/>
      <c r="E43"/>
      <c r="F43"/>
      <c r="G43"/>
      <c r="H43"/>
      <c r="I43"/>
      <c r="J43"/>
      <c r="K43"/>
      <c r="L43"/>
    </row>
    <row r="44" spans="1:13">
      <c r="A44"/>
      <c r="B44"/>
      <c r="C44"/>
      <c r="D44"/>
      <c r="E44"/>
      <c r="F44"/>
      <c r="G44"/>
      <c r="H44"/>
      <c r="I44"/>
      <c r="J44"/>
      <c r="K44"/>
      <c r="L44"/>
    </row>
    <row r="45" spans="1:13">
      <c r="A45"/>
      <c r="B45"/>
      <c r="C45"/>
      <c r="D45"/>
      <c r="E45"/>
      <c r="F45"/>
      <c r="G45"/>
      <c r="H45"/>
      <c r="I45"/>
      <c r="J45"/>
      <c r="K45"/>
      <c r="L45"/>
    </row>
    <row r="46" spans="1:13">
      <c r="A46"/>
      <c r="B46"/>
      <c r="C46"/>
      <c r="D46"/>
      <c r="E46"/>
      <c r="F46"/>
      <c r="G46"/>
      <c r="H46"/>
      <c r="I46"/>
      <c r="J46"/>
      <c r="K46"/>
      <c r="L46"/>
    </row>
    <row r="47" spans="1:13">
      <c r="A47"/>
      <c r="B47"/>
      <c r="C47"/>
      <c r="D47"/>
      <c r="E47"/>
      <c r="F47"/>
      <c r="G47"/>
      <c r="H47"/>
      <c r="I47"/>
      <c r="J47"/>
      <c r="K47"/>
      <c r="L47"/>
    </row>
    <row r="48" spans="1:13">
      <c r="A48"/>
      <c r="B48"/>
      <c r="C48"/>
      <c r="D48"/>
      <c r="E48"/>
      <c r="F48"/>
      <c r="G48"/>
      <c r="H48"/>
      <c r="I48"/>
      <c r="J48"/>
      <c r="K48"/>
      <c r="L48"/>
    </row>
    <row r="49" spans="1:12">
      <c r="A49"/>
      <c r="B49"/>
      <c r="C49"/>
      <c r="D49"/>
      <c r="E49"/>
      <c r="F49"/>
      <c r="G49"/>
      <c r="H49"/>
      <c r="I49"/>
      <c r="J49"/>
      <c r="K49"/>
      <c r="L49"/>
    </row>
    <row r="50" spans="1:12">
      <c r="A50"/>
      <c r="B50"/>
      <c r="C50"/>
      <c r="D50"/>
      <c r="E50"/>
      <c r="F50"/>
      <c r="G50"/>
      <c r="H50"/>
      <c r="I50"/>
      <c r="J50"/>
      <c r="K50"/>
      <c r="L50"/>
    </row>
    <row r="51" spans="1:12">
      <c r="A51"/>
      <c r="B51"/>
      <c r="C51"/>
      <c r="D51"/>
      <c r="E51"/>
      <c r="F51"/>
      <c r="G51"/>
      <c r="H51"/>
      <c r="I51"/>
      <c r="J51"/>
      <c r="K51"/>
      <c r="L51"/>
    </row>
    <row r="52" spans="1:12">
      <c r="A52"/>
      <c r="B52"/>
      <c r="C52"/>
      <c r="D52"/>
      <c r="E52"/>
      <c r="F52"/>
      <c r="G52"/>
      <c r="H52"/>
      <c r="I52"/>
      <c r="J52"/>
      <c r="K52"/>
      <c r="L52"/>
    </row>
    <row r="53" spans="1:12">
      <c r="A53"/>
      <c r="B53"/>
      <c r="C53"/>
      <c r="D53"/>
      <c r="E53"/>
      <c r="F53"/>
      <c r="G53"/>
      <c r="H53"/>
      <c r="I53"/>
      <c r="J53"/>
      <c r="K53"/>
      <c r="L53"/>
    </row>
    <row r="54" spans="1:12">
      <c r="A54"/>
      <c r="B54"/>
      <c r="C54"/>
      <c r="D54"/>
      <c r="E54"/>
      <c r="F54"/>
      <c r="G54"/>
      <c r="H54"/>
      <c r="I54"/>
      <c r="J54"/>
      <c r="K54"/>
      <c r="L54"/>
    </row>
    <row r="55" spans="1:12">
      <c r="A55"/>
      <c r="B55"/>
      <c r="C55"/>
      <c r="D55"/>
      <c r="E55"/>
      <c r="F55"/>
      <c r="G55"/>
      <c r="H55"/>
      <c r="I55"/>
      <c r="J55"/>
      <c r="K55"/>
      <c r="L55"/>
    </row>
    <row r="56" spans="1:12">
      <c r="A56"/>
      <c r="B56"/>
      <c r="C56"/>
      <c r="D56"/>
      <c r="E56"/>
      <c r="F56"/>
      <c r="G56"/>
      <c r="H56"/>
      <c r="I56"/>
      <c r="J56"/>
      <c r="K56"/>
      <c r="L56"/>
    </row>
    <row r="57" spans="1:12">
      <c r="A57"/>
      <c r="B57"/>
      <c r="C57"/>
      <c r="D57"/>
      <c r="E57"/>
      <c r="F57"/>
      <c r="G57"/>
      <c r="H57"/>
      <c r="I57"/>
      <c r="J57"/>
      <c r="K57"/>
      <c r="L57"/>
    </row>
    <row r="58" spans="1:12">
      <c r="A58"/>
      <c r="B58"/>
      <c r="C58"/>
      <c r="D58"/>
      <c r="E58"/>
      <c r="F58"/>
      <c r="G58"/>
      <c r="H58"/>
      <c r="I58"/>
      <c r="J58"/>
      <c r="K58"/>
      <c r="L58"/>
    </row>
    <row r="59" spans="1:12">
      <c r="A59"/>
      <c r="B59"/>
      <c r="C59"/>
      <c r="D59"/>
      <c r="E59"/>
      <c r="F59"/>
      <c r="G59"/>
      <c r="H59"/>
      <c r="I59"/>
      <c r="J59"/>
      <c r="K59"/>
      <c r="L59"/>
    </row>
    <row r="60" spans="1:12">
      <c r="A60"/>
      <c r="B60"/>
      <c r="C60"/>
      <c r="D60"/>
      <c r="E60"/>
      <c r="F60"/>
      <c r="G60"/>
      <c r="H60"/>
      <c r="I60"/>
      <c r="J60"/>
      <c r="K60"/>
      <c r="L60"/>
    </row>
    <row r="61" spans="1:12">
      <c r="A61"/>
      <c r="B61"/>
      <c r="C61"/>
      <c r="D61"/>
      <c r="E61"/>
      <c r="F61"/>
      <c r="G61"/>
      <c r="H61"/>
      <c r="I61"/>
      <c r="J61"/>
      <c r="K61"/>
      <c r="L61"/>
    </row>
    <row r="62" spans="1:12">
      <c r="A62"/>
      <c r="B62"/>
      <c r="C62"/>
      <c r="D62"/>
      <c r="E62"/>
      <c r="F62"/>
      <c r="G62"/>
      <c r="H62"/>
      <c r="I62"/>
      <c r="J62"/>
      <c r="K62"/>
      <c r="L62"/>
    </row>
    <row r="63" spans="1:12">
      <c r="A63"/>
      <c r="B63"/>
      <c r="C63"/>
      <c r="D63"/>
      <c r="E63"/>
      <c r="F63"/>
      <c r="G63"/>
      <c r="H63"/>
      <c r="I63"/>
      <c r="J63"/>
      <c r="K63"/>
      <c r="L63"/>
    </row>
    <row r="64" spans="1:12">
      <c r="A64"/>
      <c r="B64"/>
      <c r="C64"/>
      <c r="D64"/>
      <c r="E64"/>
      <c r="F64"/>
      <c r="G64"/>
      <c r="H64"/>
      <c r="I64"/>
      <c r="J64"/>
      <c r="K64"/>
      <c r="L64"/>
    </row>
    <row r="65" spans="1:12">
      <c r="A65"/>
      <c r="B65"/>
      <c r="C65"/>
      <c r="D65"/>
      <c r="E65"/>
      <c r="F65"/>
      <c r="G65"/>
      <c r="H65"/>
      <c r="I65"/>
      <c r="J65"/>
      <c r="K65"/>
      <c r="L65"/>
    </row>
    <row r="66" spans="1:12">
      <c r="A66"/>
      <c r="B66"/>
      <c r="C66"/>
      <c r="D66"/>
      <c r="E66"/>
      <c r="F66"/>
      <c r="G66"/>
      <c r="H66"/>
      <c r="I66"/>
      <c r="J66"/>
      <c r="K66"/>
      <c r="L66"/>
    </row>
    <row r="67" spans="1:12">
      <c r="A67"/>
      <c r="B67"/>
      <c r="C67"/>
      <c r="D67"/>
      <c r="E67"/>
      <c r="F67"/>
      <c r="G67"/>
      <c r="H67"/>
      <c r="I67"/>
      <c r="J67"/>
      <c r="K67"/>
      <c r="L67"/>
    </row>
    <row r="68" spans="1:12">
      <c r="A68"/>
      <c r="B68"/>
      <c r="C68"/>
      <c r="D68"/>
      <c r="E68"/>
      <c r="F68"/>
      <c r="G68"/>
      <c r="H68"/>
      <c r="I68"/>
      <c r="J68"/>
      <c r="K68"/>
      <c r="L68"/>
    </row>
  </sheetData>
  <phoneticPr fontId="20" type="noConversion"/>
  <pageMargins left="0.5" right="0.5" top="0.75" bottom="0.5" header="0.5" footer="0.5"/>
  <pageSetup scale="84" orientation="landscape" verticalDpi="300" r:id="rId1"/>
  <headerFooter alignWithMargins="0">
    <oddFooter>&amp;RSchedule &amp;A
Page &amp;P of &amp;N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92D050"/>
    <pageSetUpPr fitToPage="1"/>
  </sheetPr>
  <dimension ref="A1:U99"/>
  <sheetViews>
    <sheetView view="pageBreakPreview" zoomScale="80" zoomScaleNormal="100" zoomScaleSheetLayoutView="80" workbookViewId="0">
      <selection activeCell="C17" sqref="C17"/>
    </sheetView>
  </sheetViews>
  <sheetFormatPr defaultColWidth="7.109375" defaultRowHeight="15"/>
  <cols>
    <col min="1" max="1" width="5.109375" customWidth="1"/>
    <col min="2" max="2" width="26.88671875" customWidth="1"/>
    <col min="3" max="15" width="11.33203125" customWidth="1"/>
    <col min="16" max="16" width="2.109375" customWidth="1"/>
    <col min="17" max="17" width="10.44140625" bestFit="1" customWidth="1"/>
    <col min="19" max="19" width="7.88671875" customWidth="1"/>
    <col min="20" max="21" width="10.44140625" bestFit="1" customWidth="1"/>
  </cols>
  <sheetData>
    <row r="1" spans="1:16">
      <c r="A1" s="928" t="str">
        <f>'Table of Contents'!A1:C1</f>
        <v>Atmos Energy Corporation, Kentucky/Mid-States Division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>
      <c r="A2" s="928" t="str">
        <f>'Table of Contents'!A2:C2</f>
        <v xml:space="preserve">Kentucky Jurisdiction Case No. 2024-00276 </v>
      </c>
      <c r="B2" s="49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>
      <c r="A3" s="168" t="s">
        <v>1120</v>
      </c>
      <c r="B3" s="499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>
      <c r="A4" s="922" t="str">
        <f>'Table of Contents'!A3:C3</f>
        <v>Base Period: Twelve Months Ended December 31, 2024</v>
      </c>
      <c r="B4" s="168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6">
      <c r="A5" s="922" t="str">
        <f>'Table of Contents'!A4:C4</f>
        <v>Forecasted Test Period:  Twelve Months Ended March 31, 2026</v>
      </c>
      <c r="B5" s="168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6">
      <c r="A6" s="52"/>
      <c r="B6" s="168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6">
      <c r="A7" s="53" t="s">
        <v>653</v>
      </c>
      <c r="O7" s="476" t="s">
        <v>1324</v>
      </c>
    </row>
    <row r="8" spans="1:16">
      <c r="A8" s="53" t="s">
        <v>512</v>
      </c>
      <c r="O8" s="427" t="s">
        <v>811</v>
      </c>
    </row>
    <row r="9" spans="1:16">
      <c r="A9" s="54" t="s">
        <v>405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95" t="str">
        <f>F.1!$I$9</f>
        <v>Witness: Waller</v>
      </c>
      <c r="P9" s="55"/>
    </row>
    <row r="10" spans="1:16">
      <c r="I10" s="500" t="s">
        <v>1570</v>
      </c>
    </row>
    <row r="11" spans="1:16">
      <c r="A11" s="69" t="s">
        <v>88</v>
      </c>
      <c r="M11" s="57" t="s">
        <v>42</v>
      </c>
      <c r="O11" s="57" t="s">
        <v>41</v>
      </c>
    </row>
    <row r="12" spans="1:16">
      <c r="A12" s="73" t="s">
        <v>54</v>
      </c>
      <c r="B12" s="73" t="s">
        <v>949</v>
      </c>
      <c r="C12" s="502">
        <v>2019</v>
      </c>
      <c r="D12" s="58" t="s">
        <v>466</v>
      </c>
      <c r="E12" s="502">
        <v>2020</v>
      </c>
      <c r="F12" s="58" t="s">
        <v>466</v>
      </c>
      <c r="G12" s="929">
        <f>E12+1</f>
        <v>2021</v>
      </c>
      <c r="H12" s="58" t="s">
        <v>466</v>
      </c>
      <c r="I12" s="929">
        <f>G12+1</f>
        <v>2022</v>
      </c>
      <c r="J12" s="58" t="s">
        <v>466</v>
      </c>
      <c r="K12" s="929">
        <f>I12+1</f>
        <v>2023</v>
      </c>
      <c r="L12" s="58" t="s">
        <v>466</v>
      </c>
      <c r="M12" s="58" t="s">
        <v>511</v>
      </c>
      <c r="N12" s="58" t="s">
        <v>466</v>
      </c>
      <c r="O12" s="58" t="s">
        <v>511</v>
      </c>
      <c r="P12" s="55"/>
    </row>
    <row r="14" spans="1:16">
      <c r="A14" s="389"/>
    </row>
    <row r="15" spans="1:16">
      <c r="A15" s="389"/>
      <c r="C15" s="69"/>
      <c r="E15" s="69"/>
      <c r="G15" s="69"/>
      <c r="H15" s="69"/>
      <c r="I15" s="69"/>
      <c r="K15" s="69"/>
      <c r="M15" s="69"/>
      <c r="O15" s="69"/>
    </row>
    <row r="16" spans="1:16">
      <c r="A16" s="389">
        <v>1</v>
      </c>
      <c r="B16" s="31" t="s">
        <v>712</v>
      </c>
      <c r="C16" s="69"/>
      <c r="E16" s="69"/>
      <c r="G16" s="69"/>
      <c r="H16" s="69"/>
      <c r="I16" s="69"/>
      <c r="K16" s="69"/>
      <c r="M16" s="69"/>
      <c r="O16" s="69"/>
    </row>
    <row r="17" spans="1:21">
      <c r="A17" s="389">
        <f t="shared" ref="A17:A50" si="0">+A16+1</f>
        <v>2</v>
      </c>
      <c r="B17" s="427" t="s">
        <v>759</v>
      </c>
      <c r="C17" s="930">
        <v>428909.94</v>
      </c>
      <c r="D17" s="372">
        <f>ROUND((E17-C17)/C17,4)</f>
        <v>-1.01E-2</v>
      </c>
      <c r="E17" s="930">
        <v>424587.96000000066</v>
      </c>
      <c r="F17" s="372">
        <f>ROUND((G17-E17)/E17,4)</f>
        <v>-5.8299999999999998E-2</v>
      </c>
      <c r="G17" s="930">
        <v>399842.52240899962</v>
      </c>
      <c r="H17" s="372">
        <f>ROUND((I17-G17)/G17,4)</f>
        <v>-7.4999999999999997E-3</v>
      </c>
      <c r="I17" s="930">
        <v>396862.09904699965</v>
      </c>
      <c r="J17" s="372">
        <f>ROUND((K17-I17)/I17,4)</f>
        <v>2.92E-2</v>
      </c>
      <c r="K17" s="930">
        <v>408449.20771700132</v>
      </c>
      <c r="L17" s="372">
        <f>ROUND((M17-K17)/K17,4)</f>
        <v>8.4699999999999998E-2</v>
      </c>
      <c r="M17" s="371">
        <f>M49*52*40</f>
        <v>443040</v>
      </c>
      <c r="N17" s="372">
        <f>ROUND((O17-M17)/M17,4)</f>
        <v>0</v>
      </c>
      <c r="O17" s="371">
        <f>O49*52*40</f>
        <v>443040</v>
      </c>
    </row>
    <row r="18" spans="1:21">
      <c r="A18" s="389">
        <f t="shared" si="0"/>
        <v>3</v>
      </c>
      <c r="B18" s="427" t="s">
        <v>16</v>
      </c>
      <c r="C18" s="931">
        <v>31807.95</v>
      </c>
      <c r="D18" s="372">
        <f>ROUND((E18-C18)/C18,4)</f>
        <v>-0.4108</v>
      </c>
      <c r="E18" s="931">
        <v>18741.259999999995</v>
      </c>
      <c r="F18" s="372">
        <f>ROUND((G18-E18)/E18,4)</f>
        <v>-3.6200000000000003E-2</v>
      </c>
      <c r="G18" s="931">
        <v>18062.326799999999</v>
      </c>
      <c r="H18" s="372">
        <f>ROUND((I18-G18)/G18,4)</f>
        <v>0.4</v>
      </c>
      <c r="I18" s="931">
        <v>25287.985389999983</v>
      </c>
      <c r="J18" s="372">
        <f>ROUND((K18-I18)/I18,4)</f>
        <v>0.15409999999999999</v>
      </c>
      <c r="K18" s="931">
        <v>29185.92472000001</v>
      </c>
      <c r="L18" s="372">
        <f>ROUND((M18-K18)/K18,4)</f>
        <v>2.6800000000000001E-2</v>
      </c>
      <c r="M18" s="932">
        <f>($I$18+$K$18)/($I$17+$K$17)*M17</f>
        <v>29968.68531762336</v>
      </c>
      <c r="N18" s="372">
        <f>ROUND((O18-M18)/M18,4)</f>
        <v>0</v>
      </c>
      <c r="O18" s="932">
        <f>($I$18+$K$18)/($I$17+$K$17)*O17</f>
        <v>29968.68531762336</v>
      </c>
    </row>
    <row r="19" spans="1:21">
      <c r="A19" s="389">
        <f t="shared" si="0"/>
        <v>4</v>
      </c>
      <c r="B19" s="427" t="s">
        <v>937</v>
      </c>
      <c r="C19" s="933">
        <f>(C17+C18)</f>
        <v>460717.89</v>
      </c>
      <c r="D19" s="372">
        <f>ROUND((E19-C19)/C19,4)</f>
        <v>-3.7699999999999997E-2</v>
      </c>
      <c r="E19" s="933">
        <f>(E17+E18)</f>
        <v>443329.22000000067</v>
      </c>
      <c r="F19" s="372">
        <f>ROUND((G19-E19)/E19,4)</f>
        <v>-5.7299999999999997E-2</v>
      </c>
      <c r="G19" s="933">
        <f>(G17+G18)</f>
        <v>417904.8492089996</v>
      </c>
      <c r="H19" s="372">
        <f>ROUND((I19-G19)/G19,4)</f>
        <v>1.0200000000000001E-2</v>
      </c>
      <c r="I19" s="933">
        <f>(I17+I18)</f>
        <v>422150.08443699963</v>
      </c>
      <c r="J19" s="372">
        <f>ROUND((M19-I19)/I19,4)</f>
        <v>0.1205</v>
      </c>
      <c r="K19" s="933">
        <f>(K17+K18)</f>
        <v>437635.13243700133</v>
      </c>
      <c r="L19" s="372">
        <f>ROUND((M19-K19)/K19,4)</f>
        <v>8.0799999999999997E-2</v>
      </c>
      <c r="M19" s="933">
        <f>(M17+M18)</f>
        <v>473008.68531762337</v>
      </c>
      <c r="N19" s="372">
        <f>ROUND((O19-M19)/M19,4)</f>
        <v>0</v>
      </c>
      <c r="O19" s="933">
        <f>(O17+O18)</f>
        <v>473008.68531762337</v>
      </c>
    </row>
    <row r="20" spans="1:21">
      <c r="A20" s="389">
        <f t="shared" si="0"/>
        <v>5</v>
      </c>
      <c r="B20" s="427" t="s">
        <v>17</v>
      </c>
    </row>
    <row r="21" spans="1:21">
      <c r="A21" s="389">
        <f t="shared" si="0"/>
        <v>6</v>
      </c>
      <c r="B21" s="427" t="s">
        <v>58</v>
      </c>
      <c r="C21" s="934">
        <f>ROUND((C18/C17),5)</f>
        <v>7.4160000000000004E-2</v>
      </c>
      <c r="E21" s="934">
        <f>ROUND((E18/E17),5)</f>
        <v>4.4139999999999999E-2</v>
      </c>
      <c r="G21" s="934">
        <f>ROUND((G18/G17),5)</f>
        <v>4.5170000000000002E-2</v>
      </c>
      <c r="I21" s="934">
        <f>ROUND((I18/I17),5)</f>
        <v>6.3719999999999999E-2</v>
      </c>
      <c r="K21" s="934">
        <f>ROUND((K18/K17),5)</f>
        <v>7.1459999999999996E-2</v>
      </c>
      <c r="M21" s="934">
        <f>ROUND((M18/M17),5)</f>
        <v>6.7640000000000006E-2</v>
      </c>
      <c r="O21" s="934">
        <f>ROUND((O18/O17),5)</f>
        <v>6.7640000000000006E-2</v>
      </c>
    </row>
    <row r="22" spans="1:21">
      <c r="A22" s="389">
        <f t="shared" si="0"/>
        <v>7</v>
      </c>
      <c r="C22" s="69"/>
      <c r="E22" s="69"/>
      <c r="G22" s="69"/>
      <c r="I22" s="69"/>
      <c r="K22" s="69"/>
      <c r="M22" s="69"/>
      <c r="O22" s="69"/>
    </row>
    <row r="23" spans="1:21">
      <c r="A23" s="389">
        <f t="shared" si="0"/>
        <v>8</v>
      </c>
      <c r="B23" s="31" t="s">
        <v>713</v>
      </c>
      <c r="C23" s="69"/>
      <c r="E23" s="69"/>
      <c r="G23" s="69"/>
      <c r="I23" s="69"/>
      <c r="K23" s="69"/>
      <c r="M23" s="69"/>
      <c r="O23" s="69"/>
      <c r="S23" s="1"/>
    </row>
    <row r="24" spans="1:21">
      <c r="A24" s="389">
        <f t="shared" si="0"/>
        <v>9</v>
      </c>
      <c r="B24" s="427" t="s">
        <v>714</v>
      </c>
      <c r="C24" s="930">
        <v>11830931.17</v>
      </c>
      <c r="D24" s="372">
        <f>ROUND((E24-C24)/C24,4)</f>
        <v>2.2700000000000001E-2</v>
      </c>
      <c r="E24" s="930">
        <v>12100004.400000056</v>
      </c>
      <c r="F24" s="372">
        <f>ROUND((G24-E24)/E24,4)</f>
        <v>-1.6500000000000001E-2</v>
      </c>
      <c r="G24" s="930">
        <v>11900924.609999925</v>
      </c>
      <c r="H24" s="372">
        <f>ROUND((I24-G24)/G24,4)</f>
        <v>3.2199999999999999E-2</v>
      </c>
      <c r="I24" s="930">
        <v>12284630.649999959</v>
      </c>
      <c r="J24" s="372">
        <f>ROUND((K24-I24)/I24,4)</f>
        <v>4.7300000000000002E-2</v>
      </c>
      <c r="K24" s="930">
        <v>12865295.230000012</v>
      </c>
      <c r="L24" s="372">
        <f>ROUND((M24-K24)/K24,4)</f>
        <v>9.7299999999999998E-2</v>
      </c>
      <c r="M24" s="935">
        <f>M26-M25</f>
        <v>14117366.143889297</v>
      </c>
      <c r="N24" s="372">
        <f>ROUND((O24-M24)/M24,4)</f>
        <v>0.13159999999999999</v>
      </c>
      <c r="O24" s="935">
        <f>O26-O25</f>
        <v>15975432.734626558</v>
      </c>
      <c r="R24" s="329"/>
      <c r="T24" s="1"/>
      <c r="U24" s="1"/>
    </row>
    <row r="25" spans="1:21">
      <c r="A25" s="389">
        <f t="shared" si="0"/>
        <v>10</v>
      </c>
      <c r="B25" s="427" t="s">
        <v>18</v>
      </c>
      <c r="C25" s="931">
        <v>1321264.92</v>
      </c>
      <c r="D25" s="372">
        <f>ROUND((E25-C25)/C25,4)</f>
        <v>-0.38169999999999998</v>
      </c>
      <c r="E25" s="931">
        <v>816954.48000000021</v>
      </c>
      <c r="F25" s="372">
        <f>ROUND((G25-E25)/E25,4)</f>
        <v>1.11E-2</v>
      </c>
      <c r="G25" s="931">
        <v>826044.42999999924</v>
      </c>
      <c r="H25" s="372">
        <f>ROUND((I25-G25)/G25,4)</f>
        <v>0.43590000000000001</v>
      </c>
      <c r="I25" s="931">
        <v>1186117.8000000014</v>
      </c>
      <c r="J25" s="372">
        <f>ROUND((K25-I25)/I25,4)</f>
        <v>0.17979999999999999</v>
      </c>
      <c r="K25" s="931">
        <v>1399360.8000000019</v>
      </c>
      <c r="L25" s="372">
        <f>ROUND((M25-K25)/K25,4)</f>
        <v>0.1542</v>
      </c>
      <c r="M25" s="698">
        <f>AVERAGE(I28,K28)*M26</f>
        <v>1615094.3993711139</v>
      </c>
      <c r="N25" s="372">
        <f>ROUND((O25-M25)/M25,4)</f>
        <v>0.13159999999999999</v>
      </c>
      <c r="O25" s="698">
        <f>AVERAGE(I28,K28)*O26</f>
        <v>1827666.1293787889</v>
      </c>
      <c r="R25" s="329"/>
      <c r="S25" s="329"/>
      <c r="T25" s="329"/>
      <c r="U25" s="329"/>
    </row>
    <row r="26" spans="1:21">
      <c r="A26" s="389">
        <f t="shared" si="0"/>
        <v>11</v>
      </c>
      <c r="B26" s="427" t="s">
        <v>757</v>
      </c>
      <c r="C26" s="933">
        <f>(C24+C25)</f>
        <v>13152196.09</v>
      </c>
      <c r="D26" s="372">
        <f>ROUND((E26-C26)/C26,4)</f>
        <v>-1.7899999999999999E-2</v>
      </c>
      <c r="E26" s="933">
        <f>(E24+E25)</f>
        <v>12916958.880000057</v>
      </c>
      <c r="F26" s="372">
        <f>ROUND((G26-E26)/E26,4)</f>
        <v>-1.47E-2</v>
      </c>
      <c r="G26" s="933">
        <f>(G24+G25)</f>
        <v>12726969.039999925</v>
      </c>
      <c r="H26" s="372">
        <f>ROUND((I26-G26)/G26,4)</f>
        <v>5.8400000000000001E-2</v>
      </c>
      <c r="I26" s="933">
        <f>(I24+I25)</f>
        <v>13470748.44999996</v>
      </c>
      <c r="J26" s="372">
        <f>ROUND((K26-I26)/I26,4)</f>
        <v>5.8900000000000001E-2</v>
      </c>
      <c r="K26" s="933">
        <f>(K24+K25)</f>
        <v>14264656.030000014</v>
      </c>
      <c r="L26" s="372">
        <f>ROUND((M26-K26)/K26,4)</f>
        <v>0.10290000000000001</v>
      </c>
      <c r="M26" s="1009">
        <v>15732460.54326041</v>
      </c>
      <c r="N26" s="372">
        <f>ROUND((O26-M26)/M26,4)</f>
        <v>0.13159999999999999</v>
      </c>
      <c r="O26" s="1009">
        <v>17803098.864005346</v>
      </c>
      <c r="R26" s="936"/>
      <c r="S26" s="936"/>
      <c r="U26" s="329"/>
    </row>
    <row r="27" spans="1:21">
      <c r="A27" s="389">
        <f t="shared" si="0"/>
        <v>12</v>
      </c>
      <c r="B27" s="427" t="s">
        <v>19</v>
      </c>
      <c r="R27" s="936"/>
      <c r="S27" s="936"/>
      <c r="T27" s="329"/>
      <c r="U27" s="329"/>
    </row>
    <row r="28" spans="1:21">
      <c r="A28" s="389">
        <f t="shared" si="0"/>
        <v>13</v>
      </c>
      <c r="B28" s="427" t="s">
        <v>1000</v>
      </c>
      <c r="C28" s="934">
        <f>ROUND((C25/C24),5)</f>
        <v>0.11168</v>
      </c>
      <c r="E28" s="934">
        <f>ROUND((E25/E24),5)</f>
        <v>6.7519999999999997E-2</v>
      </c>
      <c r="G28" s="934">
        <f>ROUND((G25/G24),5)</f>
        <v>6.9409999999999999E-2</v>
      </c>
      <c r="I28" s="934">
        <f>ROUND((I25/I24),5)</f>
        <v>9.6549999999999997E-2</v>
      </c>
      <c r="K28" s="934">
        <f>ROUND((K25/K24),5)</f>
        <v>0.10877000000000001</v>
      </c>
      <c r="M28" s="934">
        <f>ROUND((M25/M24),5)</f>
        <v>0.1144</v>
      </c>
      <c r="O28" s="934">
        <f>ROUND((O25/O24),5)</f>
        <v>0.1144</v>
      </c>
    </row>
    <row r="29" spans="1:21">
      <c r="A29" s="389">
        <f t="shared" si="0"/>
        <v>14</v>
      </c>
      <c r="C29" s="69"/>
      <c r="E29" s="69"/>
      <c r="G29" s="69"/>
      <c r="I29" s="69"/>
      <c r="K29" s="69"/>
      <c r="M29" s="69"/>
      <c r="O29" s="69"/>
    </row>
    <row r="30" spans="1:21">
      <c r="A30" s="389">
        <f t="shared" si="0"/>
        <v>15</v>
      </c>
      <c r="B30" s="427" t="s">
        <v>59</v>
      </c>
      <c r="C30" s="930">
        <v>5432594.3200000003</v>
      </c>
      <c r="D30" s="372">
        <f>ROUND((E30-C30)/C30,4)</f>
        <v>-6.0400000000000002E-2</v>
      </c>
      <c r="E30" s="930">
        <v>5104736.3599999966</v>
      </c>
      <c r="F30" s="372">
        <f>ROUND((G30-E30)/E30,4)</f>
        <v>1.6899999999999998E-2</v>
      </c>
      <c r="G30" s="930">
        <v>5191175.4099999899</v>
      </c>
      <c r="H30" s="372">
        <f>ROUND((I30-G30)/G30,4)</f>
        <v>0.1004</v>
      </c>
      <c r="I30" s="930">
        <v>5712267.5300000282</v>
      </c>
      <c r="J30" s="372">
        <f>ROUND((M30-I30)/I30,4)</f>
        <v>0.1046</v>
      </c>
      <c r="K30" s="930">
        <v>5950691.1100000059</v>
      </c>
      <c r="L30" s="372">
        <f>ROUND((M30-K30)/K30,4)</f>
        <v>6.0299999999999999E-2</v>
      </c>
      <c r="M30" s="930">
        <v>6309802.0116606085</v>
      </c>
      <c r="N30" s="372">
        <f>ROUND((O30-M30)/M30,4)</f>
        <v>0.13159999999999999</v>
      </c>
      <c r="O30" s="930">
        <v>7140270.8252153266</v>
      </c>
    </row>
    <row r="31" spans="1:21">
      <c r="A31" s="389">
        <f t="shared" si="0"/>
        <v>16</v>
      </c>
      <c r="B31" s="427" t="s">
        <v>60</v>
      </c>
    </row>
    <row r="32" spans="1:21">
      <c r="A32" s="389">
        <f t="shared" si="0"/>
        <v>17</v>
      </c>
      <c r="B32" s="427" t="s">
        <v>589</v>
      </c>
      <c r="C32" s="934">
        <f>ROUND((C30/C26),5)</f>
        <v>0.41305999999999998</v>
      </c>
      <c r="E32" s="934">
        <f>ROUND((E30/E26),5)</f>
        <v>0.3952</v>
      </c>
      <c r="G32" s="934">
        <f>ROUND((G30/G26),5)</f>
        <v>0.40788999999999997</v>
      </c>
      <c r="I32" s="934">
        <f>ROUND((I30/I26),5)</f>
        <v>0.42404999999999998</v>
      </c>
      <c r="K32" s="934">
        <f>ROUND((K30/K26),5)</f>
        <v>0.41715999999999998</v>
      </c>
      <c r="M32" s="934">
        <f>ROUND((M30/M26),5)</f>
        <v>0.40106999999999998</v>
      </c>
      <c r="O32" s="934">
        <f>ROUND((O30/O26),5)</f>
        <v>0.40106999999999998</v>
      </c>
    </row>
    <row r="33" spans="1:16">
      <c r="A33" s="389">
        <f t="shared" si="0"/>
        <v>18</v>
      </c>
    </row>
    <row r="34" spans="1:16">
      <c r="A34" s="389">
        <f t="shared" si="0"/>
        <v>19</v>
      </c>
      <c r="B34" s="31" t="s">
        <v>590</v>
      </c>
      <c r="C34" s="69"/>
      <c r="E34" s="69"/>
      <c r="G34" s="69"/>
      <c r="I34" s="69"/>
      <c r="K34" s="69"/>
      <c r="M34" s="69"/>
      <c r="O34" s="69"/>
    </row>
    <row r="35" spans="1:16">
      <c r="A35" s="389">
        <f t="shared" si="0"/>
        <v>20</v>
      </c>
      <c r="B35" s="427" t="s">
        <v>707</v>
      </c>
      <c r="C35" s="937">
        <v>4573153.9197517596</v>
      </c>
      <c r="D35" s="372">
        <f>ROUND((E35-C35)/C35,4)</f>
        <v>-6.3299999999999995E-2</v>
      </c>
      <c r="E35" s="937">
        <v>4283536.9489974696</v>
      </c>
      <c r="F35" s="372">
        <f>ROUND((G35-E35)/E35,4)</f>
        <v>6.5100000000000005E-2</v>
      </c>
      <c r="G35" s="937">
        <v>4562205.4987079725</v>
      </c>
      <c r="H35" s="372">
        <f>ROUND((I35-G35)/G35,4)</f>
        <v>-6.8999999999999999E-3</v>
      </c>
      <c r="I35" s="937">
        <v>4530697.1670678472</v>
      </c>
      <c r="J35" s="372">
        <f>ROUND((K35-I35)/I35,4)</f>
        <v>-7.0900000000000005E-2</v>
      </c>
      <c r="K35" s="937">
        <v>4209567.4404931609</v>
      </c>
      <c r="L35" s="372">
        <f>ROUND((M35-K35)/K35,4)</f>
        <v>-0.55820000000000003</v>
      </c>
      <c r="M35" s="359">
        <f>M36/M32</f>
        <v>1859853.4831181057</v>
      </c>
      <c r="N35" s="372">
        <f>ROUND((O35-M35)/M35,4)</f>
        <v>0.1431</v>
      </c>
      <c r="O35" s="359">
        <f>O36/O32</f>
        <v>2125945.6077149371</v>
      </c>
      <c r="P35" s="60"/>
    </row>
    <row r="36" spans="1:16">
      <c r="A36" s="389">
        <f t="shared" si="0"/>
        <v>21</v>
      </c>
      <c r="B36" s="427" t="s">
        <v>708</v>
      </c>
      <c r="C36" s="930">
        <v>1949161.7799999993</v>
      </c>
      <c r="D36" s="372">
        <f>ROUND((E36-C36)/C36,4)</f>
        <v>-9.7100000000000006E-2</v>
      </c>
      <c r="E36" s="930">
        <v>1759955.1800000009</v>
      </c>
      <c r="F36" s="372">
        <f>ROUND((G36-E36)/E36,4)</f>
        <v>6.4899999999999999E-2</v>
      </c>
      <c r="G36" s="930">
        <v>1874230.44</v>
      </c>
      <c r="H36" s="372">
        <f>ROUND((I36-G36)/G36,4)</f>
        <v>1.0699999999999999E-2</v>
      </c>
      <c r="I36" s="930">
        <v>1894291.6999999997</v>
      </c>
      <c r="J36" s="372">
        <f>ROUND((K36-I36)/I36,4)</f>
        <v>-8.3000000000000004E-2</v>
      </c>
      <c r="K36" s="930">
        <v>1737066.5699999994</v>
      </c>
      <c r="L36" s="372">
        <f>ROUND((M36-K36)/K36,4)</f>
        <v>-0.5706</v>
      </c>
      <c r="M36" s="930">
        <v>745931.43647417857</v>
      </c>
      <c r="N36" s="372">
        <f>ROUND((O36-M36)/M36,4)</f>
        <v>0.1431</v>
      </c>
      <c r="O36" s="930">
        <v>852653.00488622976</v>
      </c>
      <c r="P36" s="60"/>
    </row>
    <row r="37" spans="1:16">
      <c r="A37" s="389">
        <f t="shared" si="0"/>
        <v>22</v>
      </c>
      <c r="B37" s="427" t="s">
        <v>765</v>
      </c>
    </row>
    <row r="38" spans="1:16">
      <c r="A38" s="389">
        <f t="shared" si="0"/>
        <v>23</v>
      </c>
      <c r="B38" s="53" t="s">
        <v>766</v>
      </c>
      <c r="C38" s="243"/>
      <c r="E38" s="243"/>
      <c r="G38" s="243"/>
      <c r="I38" s="243"/>
      <c r="K38" s="243"/>
    </row>
    <row r="39" spans="1:16">
      <c r="A39" s="389">
        <f t="shared" si="0"/>
        <v>24</v>
      </c>
      <c r="B39" s="427" t="s">
        <v>767</v>
      </c>
      <c r="C39" s="934">
        <f>ROUND((C36/C35),5)</f>
        <v>0.42621999999999999</v>
      </c>
      <c r="E39" s="934">
        <f>ROUND((E36/E35),5)</f>
        <v>0.41086</v>
      </c>
      <c r="G39" s="934">
        <f>ROUND((G36/G35),5)</f>
        <v>0.41082000000000002</v>
      </c>
      <c r="I39" s="934">
        <f>ROUND((I36/I35),5)</f>
        <v>0.41810000000000003</v>
      </c>
      <c r="K39" s="934">
        <f>ROUND((K36/K35),5)</f>
        <v>0.41265000000000002</v>
      </c>
      <c r="M39" s="934">
        <f>ROUND((M36/M35),5)</f>
        <v>0.40106999999999998</v>
      </c>
      <c r="O39" s="934">
        <f>ROUND((O36/O35),5)</f>
        <v>0.40106999999999998</v>
      </c>
    </row>
    <row r="40" spans="1:16">
      <c r="A40" s="389">
        <f t="shared" si="0"/>
        <v>25</v>
      </c>
    </row>
    <row r="41" spans="1:16">
      <c r="A41" s="389">
        <f t="shared" si="0"/>
        <v>26</v>
      </c>
      <c r="B41" s="16" t="s">
        <v>768</v>
      </c>
    </row>
    <row r="42" spans="1:16">
      <c r="A42" s="389">
        <f t="shared" si="0"/>
        <v>27</v>
      </c>
      <c r="B42" s="427" t="s">
        <v>605</v>
      </c>
      <c r="C42" s="937">
        <v>1483579.8100000003</v>
      </c>
      <c r="D42" s="372">
        <f>ROUND((E42-C42)/C42,4)</f>
        <v>-0.16889999999999999</v>
      </c>
      <c r="E42" s="937">
        <v>1233011</v>
      </c>
      <c r="F42" s="372">
        <f>ROUND((G42-E42)/E42,4)</f>
        <v>-3.8300000000000001E-2</v>
      </c>
      <c r="G42" s="937">
        <v>1185815</v>
      </c>
      <c r="H42" s="372">
        <f>ROUND((I42-G42)/G42,4)</f>
        <v>-0.1226</v>
      </c>
      <c r="I42" s="937">
        <v>1040391.78</v>
      </c>
      <c r="J42" s="372">
        <f>ROUND((K42-I42)/I42,4)</f>
        <v>5.9900000000000002E-2</v>
      </c>
      <c r="K42" s="937">
        <v>1102685.02</v>
      </c>
      <c r="L42" s="372">
        <f>ROUND((M42-K42)/K42,4)</f>
        <v>-0.11559999999999999</v>
      </c>
      <c r="M42" s="359">
        <f>M43/M32</f>
        <v>975269.2439414938</v>
      </c>
      <c r="N42" s="372">
        <f>ROUND((O42-M42)/M42,4)</f>
        <v>0.14599999999999999</v>
      </c>
      <c r="O42" s="359">
        <f>O43/O32</f>
        <v>1117688.3027082377</v>
      </c>
      <c r="P42" s="60"/>
    </row>
    <row r="43" spans="1:16">
      <c r="A43" s="389">
        <f t="shared" si="0"/>
        <v>28</v>
      </c>
      <c r="B43" s="427" t="s">
        <v>1064</v>
      </c>
      <c r="C43" s="930">
        <v>408462.87000000017</v>
      </c>
      <c r="D43" s="372">
        <f>ROUND((E43-C43)/C43,4)</f>
        <v>-0.17829999999999999</v>
      </c>
      <c r="E43" s="930">
        <v>335620.92999999993</v>
      </c>
      <c r="F43" s="372">
        <f>ROUND((G43-E43)/E43,4)</f>
        <v>9.8799999999999999E-2</v>
      </c>
      <c r="G43" s="930">
        <v>368773</v>
      </c>
      <c r="H43" s="372">
        <f>ROUND((I43-G43)/G43,4)</f>
        <v>0</v>
      </c>
      <c r="I43" s="930">
        <v>368773.4299999997</v>
      </c>
      <c r="J43" s="372">
        <f>ROUND((K43-I43)/I43,4)</f>
        <v>5.0799999999999998E-2</v>
      </c>
      <c r="K43" s="930">
        <v>387516.31999999983</v>
      </c>
      <c r="L43" s="372">
        <f>ROUND((M43-K43)/K43,4)</f>
        <v>9.4000000000000004E-3</v>
      </c>
      <c r="M43" s="695">
        <f>SUM('C.2.3 B'!O12:O14)</f>
        <v>391151.23566761491</v>
      </c>
      <c r="N43" s="372">
        <f>ROUND((O43-M43)/M43,4)</f>
        <v>0.14599999999999999</v>
      </c>
      <c r="O43" s="695">
        <f>SUM('C.2.3 F'!O12:O14)</f>
        <v>448271.24756719283</v>
      </c>
      <c r="P43" s="60"/>
    </row>
    <row r="44" spans="1:16">
      <c r="A44" s="389">
        <f t="shared" si="0"/>
        <v>29</v>
      </c>
      <c r="B44" s="427" t="s">
        <v>602</v>
      </c>
    </row>
    <row r="45" spans="1:16">
      <c r="A45" s="389">
        <f t="shared" si="0"/>
        <v>30</v>
      </c>
      <c r="B45" s="427" t="s">
        <v>603</v>
      </c>
    </row>
    <row r="46" spans="1:16">
      <c r="A46" s="389">
        <f t="shared" si="0"/>
        <v>31</v>
      </c>
      <c r="B46" s="53" t="s">
        <v>607</v>
      </c>
      <c r="C46" s="934">
        <f>ROUND((C43/C42),5)</f>
        <v>0.27532000000000001</v>
      </c>
      <c r="D46" s="74"/>
      <c r="E46" s="934">
        <f>ROUND((E43/E42),5)</f>
        <v>0.2722</v>
      </c>
      <c r="F46" s="74"/>
      <c r="G46" s="934">
        <f>ROUND((G43/G42),5)</f>
        <v>0.31098999999999999</v>
      </c>
      <c r="I46" s="934">
        <f>ROUND((I43/I42),5)</f>
        <v>0.35446</v>
      </c>
      <c r="K46" s="934">
        <f>ROUND((K43/K42),5)</f>
        <v>0.35143000000000002</v>
      </c>
      <c r="M46" s="934">
        <f>ROUND((M43/M42),5)</f>
        <v>0.40106999999999998</v>
      </c>
      <c r="O46" s="934">
        <f>ROUND((O43/O42),5)</f>
        <v>0.40106999999999998</v>
      </c>
    </row>
    <row r="47" spans="1:16">
      <c r="A47" s="389">
        <f t="shared" si="0"/>
        <v>32</v>
      </c>
    </row>
    <row r="48" spans="1:16">
      <c r="A48" s="389">
        <f t="shared" si="0"/>
        <v>33</v>
      </c>
      <c r="B48" s="31" t="s">
        <v>1116</v>
      </c>
    </row>
    <row r="49" spans="1:19">
      <c r="A49" s="389">
        <f t="shared" si="0"/>
        <v>34</v>
      </c>
      <c r="B49" s="427" t="s">
        <v>1117</v>
      </c>
      <c r="C49" s="782">
        <v>195</v>
      </c>
      <c r="D49" s="938">
        <f>ROUND((E49-C49)/C49,4)</f>
        <v>-2.0500000000000001E-2</v>
      </c>
      <c r="E49" s="782">
        <v>191</v>
      </c>
      <c r="F49" s="938">
        <f>ROUND((G49-E49)/E49,4)</f>
        <v>0.1361</v>
      </c>
      <c r="G49" s="782">
        <v>217</v>
      </c>
      <c r="H49" s="372">
        <f>ROUND((I49-G49)/G49,4)</f>
        <v>0</v>
      </c>
      <c r="I49" s="782">
        <v>217</v>
      </c>
      <c r="J49" s="372">
        <f>ROUND((K49-I49)/I49,4)</f>
        <v>4.5999999999999999E-3</v>
      </c>
      <c r="K49" s="782">
        <v>218</v>
      </c>
      <c r="L49" s="372">
        <f>ROUND((M49-K49)/K49,4)</f>
        <v>-2.29E-2</v>
      </c>
      <c r="M49" s="359">
        <f>M50</f>
        <v>213</v>
      </c>
      <c r="N49" s="372">
        <f>ROUND((O49-M49)/M49,4)</f>
        <v>0</v>
      </c>
      <c r="O49" s="359">
        <f>O50</f>
        <v>213</v>
      </c>
    </row>
    <row r="50" spans="1:19">
      <c r="A50" s="389">
        <f t="shared" si="0"/>
        <v>35</v>
      </c>
      <c r="B50" s="427" t="s">
        <v>1118</v>
      </c>
      <c r="C50" s="937">
        <v>195</v>
      </c>
      <c r="D50" s="372">
        <f>ROUND((E50-C50)/C50,4)</f>
        <v>-4.6199999999999998E-2</v>
      </c>
      <c r="E50" s="937">
        <v>186</v>
      </c>
      <c r="F50" s="372">
        <f>ROUND((G50-E50)/E50,4)</f>
        <v>0.19889999999999999</v>
      </c>
      <c r="G50" s="937">
        <v>223</v>
      </c>
      <c r="H50" s="372">
        <f>ROUND((I50-G50)/G50,4)</f>
        <v>0</v>
      </c>
      <c r="I50" s="937">
        <v>223</v>
      </c>
      <c r="J50" s="372">
        <f>ROUND((K50-I50)/I50,4)</f>
        <v>-4.48E-2</v>
      </c>
      <c r="K50" s="937">
        <v>213</v>
      </c>
      <c r="L50" s="372">
        <f>ROUND((M50-K50)/K50,4)</f>
        <v>0</v>
      </c>
      <c r="M50" s="359">
        <f>K50</f>
        <v>213</v>
      </c>
      <c r="N50" s="372">
        <f>ROUND((O50-M50)/M50,4)</f>
        <v>0</v>
      </c>
      <c r="O50" s="359">
        <f>M50</f>
        <v>213</v>
      </c>
    </row>
    <row r="52" spans="1:19">
      <c r="R52" s="60"/>
    </row>
    <row r="53" spans="1:19">
      <c r="R53" s="60"/>
    </row>
    <row r="54" spans="1:19">
      <c r="B54" s="353" t="s">
        <v>1583</v>
      </c>
    </row>
    <row r="55" spans="1:19">
      <c r="B55" s="353" t="s">
        <v>1312</v>
      </c>
    </row>
    <row r="58" spans="1:19">
      <c r="B58" t="s">
        <v>1191</v>
      </c>
      <c r="R58" s="60"/>
      <c r="S58" s="60"/>
    </row>
    <row r="59" spans="1:19">
      <c r="B59" t="s">
        <v>1684</v>
      </c>
      <c r="R59" s="60"/>
      <c r="S59" s="60"/>
    </row>
    <row r="60" spans="1:19">
      <c r="B60" t="s">
        <v>1671</v>
      </c>
    </row>
    <row r="67" spans="1:15">
      <c r="A67" s="69"/>
    </row>
    <row r="68" spans="1:15">
      <c r="A68" s="69"/>
      <c r="B68" s="69"/>
      <c r="I68" s="501"/>
      <c r="K68" s="501"/>
      <c r="M68" s="501"/>
      <c r="O68" s="501"/>
    </row>
    <row r="69" spans="1:15">
      <c r="I69" s="69"/>
    </row>
    <row r="70" spans="1:15">
      <c r="A70" s="69"/>
    </row>
    <row r="71" spans="1:15">
      <c r="A71" s="69"/>
    </row>
    <row r="95" spans="9:17">
      <c r="I95" s="69"/>
      <c r="K95" s="69"/>
      <c r="M95" s="69"/>
      <c r="O95" s="69"/>
      <c r="Q95" s="69"/>
    </row>
    <row r="96" spans="9:17">
      <c r="I96" s="69"/>
      <c r="K96" s="69"/>
      <c r="M96" s="69"/>
      <c r="O96" s="69"/>
      <c r="Q96" s="69"/>
    </row>
    <row r="97" spans="9:17">
      <c r="I97" s="69"/>
      <c r="K97" s="69"/>
      <c r="M97" s="69"/>
      <c r="O97" s="69"/>
      <c r="Q97" s="69"/>
    </row>
    <row r="98" spans="9:17">
      <c r="I98" s="69"/>
      <c r="K98" s="69"/>
      <c r="M98" s="69"/>
      <c r="O98" s="69"/>
      <c r="Q98" s="69"/>
    </row>
    <row r="99" spans="9:17">
      <c r="I99" s="69"/>
      <c r="K99" s="69"/>
      <c r="M99" s="69"/>
      <c r="O99" s="69"/>
      <c r="Q99" s="69"/>
    </row>
  </sheetData>
  <phoneticPr fontId="20" type="noConversion"/>
  <pageMargins left="0.5" right="0.5" top="0.75" bottom="0.5" header="0.5" footer="0.5"/>
  <pageSetup scale="58" orientation="landscape" verticalDpi="300" r:id="rId1"/>
  <headerFooter alignWithMargins="0">
    <oddFooter>&amp;RSchedule &amp;A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0">
    <tabColor rgb="FF92D050"/>
    <pageSetUpPr fitToPage="1"/>
  </sheetPr>
  <dimension ref="A1:T32"/>
  <sheetViews>
    <sheetView view="pageBreakPreview" zoomScale="80" zoomScaleNormal="85" zoomScaleSheetLayoutView="80" workbookViewId="0">
      <selection activeCell="U33" sqref="U33"/>
    </sheetView>
  </sheetViews>
  <sheetFormatPr defaultColWidth="8" defaultRowHeight="15"/>
  <cols>
    <col min="1" max="1" width="8" style="1" customWidth="1"/>
    <col min="2" max="2" width="45.88671875" style="1" customWidth="1"/>
    <col min="3" max="3" width="14.33203125" style="1" customWidth="1"/>
    <col min="4" max="4" width="22.77734375" style="1" customWidth="1"/>
    <col min="5" max="5" width="3.77734375" style="1" customWidth="1"/>
    <col min="6" max="6" width="22.77734375" style="1" customWidth="1"/>
    <col min="7" max="7" width="20.88671875" style="1" customWidth="1"/>
    <col min="8" max="8" width="11.6640625" bestFit="1" customWidth="1"/>
    <col min="9" max="9" width="13.109375" style="1" bestFit="1" customWidth="1"/>
    <col min="10" max="10" width="2.44140625" style="1" customWidth="1"/>
    <col min="11" max="11" width="13.109375" style="1" bestFit="1" customWidth="1"/>
    <col min="12" max="12" width="5.5546875" style="1" customWidth="1"/>
    <col min="13" max="13" width="11" style="1" bestFit="1" customWidth="1"/>
    <col min="14" max="14" width="2.21875" style="1" customWidth="1"/>
    <col min="15" max="15" width="11.33203125" style="1" customWidth="1"/>
    <col min="16" max="16" width="47.88671875" style="1" bestFit="1" customWidth="1"/>
    <col min="17" max="17" width="13.88671875" style="1" bestFit="1" customWidth="1"/>
    <col min="18" max="18" width="13.77734375" style="1" bestFit="1" customWidth="1"/>
    <col min="19" max="19" width="2.77734375" style="1" bestFit="1" customWidth="1"/>
    <col min="20" max="20" width="16" style="1" bestFit="1" customWidth="1"/>
    <col min="21" max="16384" width="8" style="1"/>
  </cols>
  <sheetData>
    <row r="1" spans="1:20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O1" s="1059"/>
      <c r="P1" s="1059"/>
      <c r="Q1" s="1059"/>
      <c r="R1" s="1059"/>
      <c r="S1" s="1059"/>
      <c r="T1" s="1059"/>
    </row>
    <row r="2" spans="1:20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O2" s="1059"/>
      <c r="P2" s="1059"/>
      <c r="Q2" s="1059"/>
      <c r="R2" s="1059"/>
      <c r="S2" s="1059"/>
      <c r="T2" s="1059"/>
    </row>
    <row r="3" spans="1:20">
      <c r="A3" s="1060" t="s">
        <v>1069</v>
      </c>
      <c r="B3" s="1060"/>
      <c r="C3" s="1060"/>
      <c r="D3" s="1060"/>
      <c r="E3" s="1060"/>
      <c r="F3" s="1060"/>
      <c r="O3" s="1060"/>
      <c r="P3" s="1060"/>
      <c r="Q3" s="1060"/>
      <c r="R3" s="1060"/>
      <c r="S3" s="1060"/>
      <c r="T3" s="1060"/>
    </row>
    <row r="4" spans="1:20">
      <c r="A4" s="1059" t="str">
        <f>'Table of Contents'!A4:C4</f>
        <v>Forecasted Test Period:  Twelve Months Ended March 31, 2026</v>
      </c>
      <c r="B4" s="1059"/>
      <c r="C4" s="1059"/>
      <c r="D4" s="1059"/>
      <c r="E4" s="1059"/>
      <c r="F4" s="1059"/>
      <c r="O4" s="1059"/>
      <c r="P4" s="1059"/>
      <c r="Q4" s="1059"/>
      <c r="R4" s="1059"/>
      <c r="S4" s="1059"/>
      <c r="T4" s="1059"/>
    </row>
    <row r="6" spans="1:20">
      <c r="A6" s="4" t="s">
        <v>142</v>
      </c>
      <c r="F6" s="84" t="s">
        <v>1330</v>
      </c>
      <c r="I6" s="363"/>
      <c r="J6" s="363"/>
      <c r="K6" s="363"/>
      <c r="L6" s="363"/>
      <c r="O6" s="4"/>
      <c r="T6" s="84"/>
    </row>
    <row r="7" spans="1:20">
      <c r="A7" s="699" t="str">
        <f>A.1!A8</f>
        <v>Type of Filing:___X____Original________Updated ________Revised</v>
      </c>
      <c r="F7" s="17" t="s">
        <v>718</v>
      </c>
      <c r="I7" s="363"/>
      <c r="J7" s="363"/>
      <c r="K7" s="363"/>
      <c r="L7" s="363"/>
      <c r="O7" s="699"/>
      <c r="T7" s="17"/>
    </row>
    <row r="8" spans="1:20">
      <c r="A8" s="5" t="s">
        <v>405</v>
      </c>
      <c r="B8" s="6"/>
      <c r="C8" s="6"/>
      <c r="D8" s="6"/>
      <c r="E8" s="28"/>
      <c r="F8" s="704" t="str">
        <f>'B.1 B'!F8</f>
        <v>Witness: Waller</v>
      </c>
      <c r="I8" s="363"/>
      <c r="J8" s="363"/>
      <c r="K8" s="363"/>
      <c r="L8" s="363"/>
      <c r="O8" s="4"/>
      <c r="T8" s="718"/>
    </row>
    <row r="9" spans="1:20">
      <c r="F9" s="2"/>
      <c r="I9" s="363"/>
      <c r="J9" s="363"/>
      <c r="K9" s="363"/>
      <c r="L9" s="363"/>
      <c r="T9" s="2"/>
    </row>
    <row r="10" spans="1:20">
      <c r="C10" s="2" t="s">
        <v>1143</v>
      </c>
      <c r="D10" s="2" t="s">
        <v>41</v>
      </c>
      <c r="F10" s="2" t="s">
        <v>41</v>
      </c>
      <c r="I10" s="393"/>
      <c r="J10" s="363"/>
      <c r="K10" s="363"/>
      <c r="L10" s="363"/>
      <c r="M10" s="363"/>
      <c r="Q10" s="2"/>
      <c r="R10" s="2"/>
      <c r="T10" s="2"/>
    </row>
    <row r="11" spans="1:20">
      <c r="A11" s="2" t="s">
        <v>88</v>
      </c>
      <c r="C11" s="2" t="s">
        <v>56</v>
      </c>
      <c r="D11" s="2" t="s">
        <v>307</v>
      </c>
      <c r="F11" s="2" t="s">
        <v>307</v>
      </c>
      <c r="I11" s="363"/>
      <c r="J11" s="363"/>
      <c r="K11" s="363"/>
      <c r="L11" s="363"/>
      <c r="M11" s="363"/>
      <c r="O11" s="2"/>
      <c r="Q11" s="2"/>
      <c r="R11" s="2"/>
      <c r="T11" s="2"/>
    </row>
    <row r="12" spans="1:20">
      <c r="A12" s="9" t="s">
        <v>94</v>
      </c>
      <c r="B12" s="5" t="s">
        <v>1146</v>
      </c>
      <c r="C12" s="9" t="s">
        <v>96</v>
      </c>
      <c r="D12" s="9" t="s">
        <v>308</v>
      </c>
      <c r="E12" s="6"/>
      <c r="F12" s="9" t="s">
        <v>486</v>
      </c>
      <c r="I12" s="393"/>
      <c r="J12" s="363"/>
      <c r="K12" s="363"/>
      <c r="L12" s="363"/>
      <c r="M12" s="363"/>
      <c r="O12" s="2"/>
      <c r="P12" s="4"/>
      <c r="Q12" s="2"/>
      <c r="R12" s="2"/>
      <c r="T12" s="2"/>
    </row>
    <row r="13" spans="1:20">
      <c r="D13" s="2"/>
      <c r="F13" s="2"/>
      <c r="I13" s="393"/>
      <c r="J13" s="363"/>
      <c r="K13" s="363"/>
      <c r="L13" s="363"/>
      <c r="M13" s="363"/>
      <c r="R13" s="2"/>
      <c r="T13" s="2"/>
    </row>
    <row r="14" spans="1:20">
      <c r="I14" s="393"/>
      <c r="J14" s="363"/>
      <c r="K14" s="363"/>
      <c r="L14" s="363"/>
      <c r="M14" s="363"/>
    </row>
    <row r="15" spans="1:20">
      <c r="A15" s="2">
        <v>1</v>
      </c>
      <c r="B15" s="4" t="s">
        <v>161</v>
      </c>
      <c r="C15" s="2" t="s">
        <v>665</v>
      </c>
      <c r="D15" s="688">
        <f>'B.2 F'!I266</f>
        <v>963981103.06510794</v>
      </c>
      <c r="E15" s="10"/>
      <c r="F15" s="688">
        <f>'B.2 F'!N266</f>
        <v>950194538.35375583</v>
      </c>
      <c r="I15" s="393"/>
      <c r="J15" s="363"/>
      <c r="K15" s="363"/>
      <c r="L15" s="363"/>
      <c r="M15" s="363"/>
      <c r="O15" s="2"/>
      <c r="P15" s="4"/>
      <c r="Q15" s="2"/>
      <c r="R15" s="763"/>
      <c r="S15" s="10"/>
      <c r="T15" s="763"/>
    </row>
    <row r="16" spans="1:20">
      <c r="A16" s="605">
        <f>A15+1</f>
        <v>2</v>
      </c>
      <c r="B16" s="4" t="s">
        <v>465</v>
      </c>
      <c r="C16" s="2" t="s">
        <v>665</v>
      </c>
      <c r="D16" s="695">
        <f>'B.2 F'!I268</f>
        <v>0</v>
      </c>
      <c r="E16" s="10"/>
      <c r="F16" s="695">
        <f>'B.2 F'!N268</f>
        <v>0</v>
      </c>
      <c r="I16" s="393"/>
      <c r="J16" s="363"/>
      <c r="K16" s="363"/>
      <c r="L16" s="363"/>
      <c r="M16" s="363"/>
      <c r="O16" s="605"/>
      <c r="P16" s="4"/>
      <c r="Q16" s="2"/>
      <c r="R16" s="695"/>
      <c r="S16" s="10"/>
      <c r="T16" s="695"/>
    </row>
    <row r="17" spans="1:20">
      <c r="A17" s="605">
        <f>A16+1</f>
        <v>3</v>
      </c>
      <c r="B17" s="4" t="s">
        <v>502</v>
      </c>
      <c r="C17" s="2" t="s">
        <v>666</v>
      </c>
      <c r="D17" s="701">
        <f>-'B.3 F'!I265</f>
        <v>-224697462.22111359</v>
      </c>
      <c r="E17" s="10"/>
      <c r="F17" s="701">
        <f>-'B.3 F'!N265</f>
        <v>-216597285.9736484</v>
      </c>
      <c r="I17" s="393"/>
      <c r="J17" s="363"/>
      <c r="K17" s="363"/>
      <c r="L17" s="363"/>
      <c r="M17" s="363"/>
      <c r="O17" s="605"/>
      <c r="P17" s="4"/>
      <c r="Q17" s="2"/>
      <c r="R17" s="695"/>
      <c r="S17" s="10"/>
      <c r="T17" s="695"/>
    </row>
    <row r="18" spans="1:20">
      <c r="A18" s="2"/>
      <c r="B18" s="4"/>
      <c r="C18" s="2"/>
      <c r="D18" s="10"/>
      <c r="E18" s="10"/>
      <c r="F18" s="10"/>
      <c r="I18" s="393"/>
      <c r="J18" s="363"/>
      <c r="K18" s="363"/>
      <c r="L18" s="363"/>
      <c r="M18" s="363"/>
      <c r="O18" s="2"/>
      <c r="P18" s="4"/>
      <c r="Q18" s="2"/>
      <c r="R18" s="10"/>
      <c r="S18" s="10"/>
      <c r="T18" s="10"/>
    </row>
    <row r="19" spans="1:20">
      <c r="A19" s="605">
        <f>+A17+1</f>
        <v>4</v>
      </c>
      <c r="B19" s="4" t="s">
        <v>152</v>
      </c>
      <c r="D19" s="691">
        <f>SUM(D15:D17)</f>
        <v>739283640.84399438</v>
      </c>
      <c r="E19" s="10"/>
      <c r="F19" s="691">
        <f>SUM(F15:F17)</f>
        <v>733597252.3801074</v>
      </c>
      <c r="I19" s="393"/>
      <c r="J19" s="363"/>
      <c r="K19" s="363"/>
      <c r="L19" s="363"/>
      <c r="M19" s="363"/>
      <c r="O19" s="605"/>
      <c r="P19" s="4"/>
      <c r="R19" s="764"/>
      <c r="S19" s="10"/>
      <c r="T19" s="764"/>
    </row>
    <row r="20" spans="1:20">
      <c r="A20" s="2"/>
      <c r="B20" s="4"/>
      <c r="D20" s="10"/>
      <c r="E20" s="10"/>
      <c r="F20" s="10"/>
      <c r="I20" s="393"/>
      <c r="J20" s="363"/>
      <c r="K20" s="363"/>
      <c r="L20" s="363"/>
      <c r="M20" s="363"/>
      <c r="O20" s="2"/>
      <c r="P20" s="4"/>
      <c r="R20" s="10"/>
      <c r="S20" s="10"/>
      <c r="T20" s="10"/>
    </row>
    <row r="21" spans="1:20">
      <c r="A21" s="605">
        <f>A19+1</f>
        <v>5</v>
      </c>
      <c r="B21" s="4" t="s">
        <v>756</v>
      </c>
      <c r="C21" s="2" t="s">
        <v>667</v>
      </c>
      <c r="D21" s="688">
        <f>+'B.4 F'!E14</f>
        <v>-2199566</v>
      </c>
      <c r="E21" s="10"/>
      <c r="F21" s="691">
        <f>D21</f>
        <v>-2199566</v>
      </c>
      <c r="I21" s="393"/>
      <c r="J21" s="363"/>
      <c r="K21" s="363"/>
      <c r="L21" s="363"/>
      <c r="M21" s="363"/>
      <c r="O21" s="605"/>
      <c r="P21" s="4"/>
      <c r="Q21" s="2"/>
      <c r="R21" s="763"/>
      <c r="S21" s="10"/>
      <c r="T21" s="764"/>
    </row>
    <row r="22" spans="1:20">
      <c r="A22" s="605">
        <f>+A21+1</f>
        <v>6</v>
      </c>
      <c r="B22" s="4" t="s">
        <v>1019</v>
      </c>
      <c r="C22" s="2" t="s">
        <v>668</v>
      </c>
      <c r="D22" s="700">
        <f>+'B.4.1 F'!F37</f>
        <v>-4275119.4697023006</v>
      </c>
      <c r="E22" s="206"/>
      <c r="F22" s="700">
        <f>+'B.4.1 F'!K37</f>
        <v>9705173.0702854674</v>
      </c>
      <c r="I22" s="393"/>
      <c r="J22" s="363"/>
      <c r="K22" s="363"/>
      <c r="L22" s="363"/>
      <c r="M22" s="363"/>
      <c r="O22" s="605"/>
      <c r="P22" s="4"/>
      <c r="Q22" s="2"/>
      <c r="R22" s="766"/>
      <c r="S22" s="218"/>
      <c r="T22" s="766"/>
    </row>
    <row r="23" spans="1:20">
      <c r="A23" s="605">
        <f>+A22+1</f>
        <v>7</v>
      </c>
      <c r="B23" s="4" t="s">
        <v>606</v>
      </c>
      <c r="C23" s="2" t="s">
        <v>669</v>
      </c>
      <c r="D23" s="700">
        <f>'B.6 F'!G24</f>
        <v>-736136.34</v>
      </c>
      <c r="E23" s="206"/>
      <c r="F23" s="700">
        <f>'B.6 F'!L24</f>
        <v>-736136.34</v>
      </c>
      <c r="I23" s="393"/>
      <c r="J23" s="363"/>
      <c r="K23" s="363"/>
      <c r="L23" s="363"/>
      <c r="M23" s="363"/>
      <c r="O23" s="605"/>
      <c r="P23" s="4"/>
      <c r="Q23" s="2"/>
      <c r="R23" s="766"/>
      <c r="S23" s="218"/>
      <c r="T23" s="766"/>
    </row>
    <row r="24" spans="1:20">
      <c r="A24" s="605">
        <f t="shared" ref="A24:A25" si="0">+A23+1</f>
        <v>8</v>
      </c>
      <c r="B24" s="4" t="s">
        <v>1488</v>
      </c>
      <c r="C24" s="2" t="s">
        <v>1562</v>
      </c>
      <c r="D24" s="700">
        <f>'WP B.5 F1'!C13</f>
        <v>-3625792.4424947249</v>
      </c>
      <c r="E24" s="206"/>
      <c r="F24" s="700">
        <f>'WP B.5 F1'!D13</f>
        <v>-3720791.3711190415</v>
      </c>
      <c r="I24" s="393"/>
      <c r="J24" s="363"/>
      <c r="K24" s="363"/>
      <c r="L24" s="363"/>
      <c r="M24" s="363"/>
      <c r="O24" s="605"/>
      <c r="P24" s="4"/>
      <c r="Q24" s="2"/>
      <c r="R24" s="766"/>
      <c r="S24" s="218"/>
      <c r="T24" s="766"/>
    </row>
    <row r="25" spans="1:20">
      <c r="A25" s="605">
        <f t="shared" si="0"/>
        <v>9</v>
      </c>
      <c r="B25" s="4" t="s">
        <v>1563</v>
      </c>
      <c r="C25" s="2" t="s">
        <v>670</v>
      </c>
      <c r="D25" s="705">
        <f>'B.5 F'!G49</f>
        <v>-102544322.95573734</v>
      </c>
      <c r="E25" s="206" t="s">
        <v>746</v>
      </c>
      <c r="F25" s="705">
        <f>'B.5 F'!L53</f>
        <v>-108359656.10693195</v>
      </c>
      <c r="I25" s="393"/>
      <c r="J25" s="363"/>
      <c r="K25" s="363"/>
      <c r="L25" s="363"/>
      <c r="M25" s="363"/>
      <c r="O25" s="605"/>
      <c r="P25" s="4"/>
      <c r="Q25" s="2"/>
      <c r="R25" s="766"/>
      <c r="S25" s="218"/>
      <c r="T25" s="766"/>
    </row>
    <row r="26" spans="1:20">
      <c r="A26" s="2"/>
      <c r="I26" s="393"/>
      <c r="J26" s="363"/>
      <c r="K26" s="363"/>
      <c r="L26" s="363"/>
      <c r="M26" s="363"/>
      <c r="O26" s="2"/>
    </row>
    <row r="27" spans="1:20" ht="15.75" thickBot="1">
      <c r="A27" s="605">
        <f>A25+1</f>
        <v>10</v>
      </c>
      <c r="B27" s="4" t="s">
        <v>153</v>
      </c>
      <c r="D27" s="703">
        <f>SUM(D19:D25)</f>
        <v>625902703.63606</v>
      </c>
      <c r="E27" s="10"/>
      <c r="F27" s="703">
        <f>SUM(F19:F25)</f>
        <v>628286275.63234186</v>
      </c>
      <c r="I27" s="393"/>
      <c r="J27" s="363"/>
      <c r="K27" s="363"/>
      <c r="L27" s="363"/>
      <c r="M27" s="363"/>
      <c r="O27" s="605"/>
      <c r="P27" s="4"/>
      <c r="R27" s="764"/>
      <c r="S27" s="10"/>
      <c r="T27" s="764"/>
    </row>
    <row r="28" spans="1:20" ht="15.75" thickTop="1">
      <c r="D28" s="10"/>
      <c r="E28" s="10"/>
      <c r="F28" s="10"/>
      <c r="J28" s="364"/>
      <c r="K28" s="363"/>
      <c r="L28" s="363"/>
      <c r="R28" s="10"/>
      <c r="S28" s="10"/>
      <c r="T28" s="10"/>
    </row>
    <row r="29" spans="1:20" ht="33.75">
      <c r="B29" s="665" t="s">
        <v>1403</v>
      </c>
      <c r="P29" s="665"/>
    </row>
    <row r="31" spans="1:20">
      <c r="D31" s="10"/>
      <c r="E31" s="10"/>
      <c r="F31" s="10"/>
      <c r="R31" s="10"/>
      <c r="S31" s="10"/>
      <c r="T31" s="10"/>
    </row>
    <row r="32" spans="1:20">
      <c r="D32" s="10"/>
      <c r="E32" s="10"/>
      <c r="F32" s="10"/>
    </row>
  </sheetData>
  <mergeCells count="8">
    <mergeCell ref="A4:F4"/>
    <mergeCell ref="A3:F3"/>
    <mergeCell ref="A2:F2"/>
    <mergeCell ref="A1:F1"/>
    <mergeCell ref="O1:T1"/>
    <mergeCell ref="O2:T2"/>
    <mergeCell ref="O3:T3"/>
    <mergeCell ref="O4:T4"/>
  </mergeCells>
  <phoneticPr fontId="20" type="noConversion"/>
  <printOptions horizontalCentered="1"/>
  <pageMargins left="0.72" right="0.79" top="0.74" bottom="0.5" header="0.5" footer="0.5"/>
  <pageSetup scale="86" orientation="landscape" verticalDpi="300" r:id="rId1"/>
  <headerFooter alignWithMargins="0">
    <oddFooter>&amp;RSchedule &amp;A
Page &amp;P of 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92D050"/>
    <pageSetUpPr fitToPage="1"/>
  </sheetPr>
  <dimension ref="A1:Q66"/>
  <sheetViews>
    <sheetView view="pageBreakPreview" topLeftCell="A15" zoomScale="80" zoomScaleNormal="100" zoomScaleSheetLayoutView="80" workbookViewId="0">
      <selection activeCell="H18" sqref="H18"/>
    </sheetView>
  </sheetViews>
  <sheetFormatPr defaultColWidth="8.44140625" defaultRowHeight="15"/>
  <cols>
    <col min="1" max="1" width="7.5546875" style="1" customWidth="1"/>
    <col min="2" max="2" width="3.33203125" style="1" customWidth="1"/>
    <col min="3" max="3" width="47.44140625" style="1" customWidth="1"/>
    <col min="4" max="4" width="3" style="1" customWidth="1"/>
    <col min="5" max="5" width="9.77734375" style="1" customWidth="1"/>
    <col min="6" max="7" width="9.88671875" style="1" customWidth="1"/>
    <col min="8" max="8" width="14.88671875" style="1" bestFit="1" customWidth="1"/>
    <col min="9" max="9" width="6" style="1" bestFit="1" customWidth="1"/>
    <col min="10" max="10" width="11.88671875" style="1" customWidth="1"/>
    <col min="11" max="11" width="3.77734375" style="1" customWidth="1"/>
    <col min="12" max="12" width="15.77734375" style="1" customWidth="1"/>
    <col min="13" max="14" width="9.33203125" style="1" customWidth="1"/>
    <col min="15" max="15" width="8.6640625" style="1" customWidth="1"/>
    <col min="16" max="16" width="8" style="1" customWidth="1"/>
    <col min="17" max="17" width="10.77734375" style="1" customWidth="1"/>
    <col min="18" max="18" width="10.21875" style="1" customWidth="1"/>
    <col min="19" max="16384" width="8.44140625" style="1"/>
  </cols>
  <sheetData>
    <row r="1" spans="1:16">
      <c r="A1" s="922" t="str">
        <f>'Table of Contents'!A1:C1</f>
        <v>Atmos Energy Corporation, Kentucky/Mid-States Division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/>
      <c r="P1"/>
    </row>
    <row r="2" spans="1:16">
      <c r="A2" s="922" t="str">
        <f>'Table of Contents'!A2:C2</f>
        <v xml:space="preserve">Kentucky Jurisdiction Case No. 2024-00276 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/>
      <c r="P2"/>
    </row>
    <row r="3" spans="1:16">
      <c r="A3" s="52" t="s">
        <v>467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/>
      <c r="P3"/>
    </row>
    <row r="4" spans="1:16">
      <c r="A4" s="922" t="str">
        <f>'Table of Contents'!A3:C3</f>
        <v>Base Period: Twelve Months Ended December 31, 2024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/>
      <c r="P4"/>
    </row>
    <row r="5" spans="1:16">
      <c r="A5" s="922" t="str">
        <f>'Table of Contents'!A4:C4</f>
        <v>Forecasted Test Period:  Twelve Months Ended March 31, 2026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/>
      <c r="P5"/>
    </row>
    <row r="6" spans="1:16">
      <c r="A6" s="9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/>
      <c r="P6"/>
    </row>
    <row r="7" spans="1:16">
      <c r="A7" s="53" t="s">
        <v>192</v>
      </c>
      <c r="B7"/>
      <c r="C7"/>
      <c r="D7"/>
      <c r="E7"/>
      <c r="F7"/>
      <c r="G7"/>
      <c r="H7"/>
      <c r="I7"/>
      <c r="J7"/>
      <c r="K7"/>
      <c r="L7" s="84" t="s">
        <v>1324</v>
      </c>
      <c r="M7"/>
      <c r="N7"/>
      <c r="O7"/>
      <c r="P7"/>
    </row>
    <row r="8" spans="1:16">
      <c r="A8" s="53" t="s">
        <v>1080</v>
      </c>
      <c r="B8"/>
      <c r="C8"/>
      <c r="D8"/>
      <c r="E8"/>
      <c r="F8"/>
      <c r="G8"/>
      <c r="H8"/>
      <c r="I8"/>
      <c r="J8"/>
      <c r="K8"/>
      <c r="L8" s="314" t="s">
        <v>598</v>
      </c>
      <c r="M8"/>
      <c r="N8"/>
      <c r="O8"/>
      <c r="P8"/>
    </row>
    <row r="9" spans="1:16">
      <c r="A9" s="54" t="s">
        <v>356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895" t="str">
        <f>F.1!$I$9</f>
        <v>Witness: Waller</v>
      </c>
      <c r="M9"/>
      <c r="N9" s="375"/>
      <c r="O9"/>
      <c r="P9"/>
    </row>
    <row r="10" spans="1:16" ht="15.75">
      <c r="A10"/>
      <c r="B10"/>
      <c r="C10" s="65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>
      <c r="A11"/>
      <c r="B11"/>
      <c r="C11"/>
      <c r="D11"/>
      <c r="E11"/>
      <c r="F11"/>
      <c r="G11"/>
      <c r="H11" s="57" t="s">
        <v>315</v>
      </c>
      <c r="I11"/>
      <c r="J11"/>
      <c r="K11"/>
      <c r="L11" s="57" t="s">
        <v>316</v>
      </c>
      <c r="M11"/>
      <c r="N11"/>
      <c r="O11"/>
      <c r="P11"/>
    </row>
    <row r="12" spans="1:16">
      <c r="A12" s="57" t="s">
        <v>88</v>
      </c>
      <c r="B12"/>
      <c r="C12"/>
      <c r="D12" s="355"/>
      <c r="E12" s="355" t="s">
        <v>1195</v>
      </c>
      <c r="F12" s="355"/>
      <c r="G12" s="355"/>
      <c r="H12" s="57" t="s">
        <v>97</v>
      </c>
      <c r="I12"/>
      <c r="J12"/>
      <c r="K12"/>
      <c r="L12" s="57" t="s">
        <v>97</v>
      </c>
      <c r="M12"/>
      <c r="N12"/>
      <c r="O12"/>
      <c r="P12"/>
    </row>
    <row r="13" spans="1:16">
      <c r="A13" s="58" t="s">
        <v>94</v>
      </c>
      <c r="B13"/>
      <c r="C13" s="58" t="s">
        <v>949</v>
      </c>
      <c r="D13" s="57"/>
      <c r="E13" s="233" t="s">
        <v>1193</v>
      </c>
      <c r="F13" s="57"/>
      <c r="G13" s="57"/>
      <c r="H13" s="58" t="s">
        <v>440</v>
      </c>
      <c r="I13"/>
      <c r="J13" s="58" t="s">
        <v>951</v>
      </c>
      <c r="K13"/>
      <c r="L13" s="58" t="s">
        <v>440</v>
      </c>
      <c r="M13"/>
      <c r="N13"/>
      <c r="O13"/>
      <c r="P13"/>
    </row>
    <row r="14" spans="1:16">
      <c r="A14"/>
      <c r="B14"/>
      <c r="C14"/>
      <c r="D14"/>
      <c r="E14"/>
      <c r="F14"/>
      <c r="G14"/>
      <c r="H14" s="57"/>
      <c r="I14"/>
      <c r="J14" s="57"/>
      <c r="K14" s="53"/>
      <c r="L14" s="57"/>
      <c r="M14"/>
      <c r="N14"/>
      <c r="O14"/>
      <c r="P14"/>
    </row>
    <row r="15" spans="1:16">
      <c r="A15" s="57" t="s">
        <v>357</v>
      </c>
      <c r="B15"/>
      <c r="C15" s="16" t="s">
        <v>1663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A16" s="605">
        <f>A15+1</f>
        <v>2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7">
      <c r="A17" s="605">
        <f t="shared" ref="A17:A32" si="0">A16+1</f>
        <v>3</v>
      </c>
      <c r="B17"/>
      <c r="C17" s="16" t="s">
        <v>396</v>
      </c>
      <c r="D17"/>
      <c r="E17"/>
      <c r="F17"/>
      <c r="G17"/>
      <c r="H17" s="247"/>
      <c r="I17"/>
      <c r="J17"/>
      <c r="K17"/>
      <c r="L17"/>
      <c r="M17"/>
      <c r="N17"/>
      <c r="O17"/>
      <c r="P17"/>
    </row>
    <row r="18" spans="1:17">
      <c r="A18" s="605">
        <f t="shared" si="0"/>
        <v>4</v>
      </c>
      <c r="B18"/>
      <c r="C18" s="53" t="s">
        <v>1058</v>
      </c>
      <c r="D18"/>
      <c r="E18"/>
      <c r="F18"/>
      <c r="G18"/>
      <c r="H18" s="724">
        <v>2980447.8400000008</v>
      </c>
      <c r="I18"/>
      <c r="J18" s="691">
        <f>L18-H18</f>
        <v>119217.91360000009</v>
      </c>
      <c r="K18"/>
      <c r="L18" s="691">
        <f>H18*1.04</f>
        <v>3099665.7536000009</v>
      </c>
      <c r="M18" s="39"/>
      <c r="N18" s="39"/>
      <c r="O18"/>
      <c r="P18" s="329"/>
      <c r="Q18" s="329"/>
    </row>
    <row r="19" spans="1:17">
      <c r="A19" s="605">
        <f t="shared" si="0"/>
        <v>5</v>
      </c>
      <c r="B19"/>
      <c r="C19" s="53" t="s">
        <v>1059</v>
      </c>
      <c r="D19"/>
      <c r="E19"/>
      <c r="F19"/>
      <c r="G19"/>
      <c r="H19" s="937">
        <v>14994092.923650004</v>
      </c>
      <c r="I19"/>
      <c r="J19" s="747">
        <f>L19-H19</f>
        <v>599763.71694600023</v>
      </c>
      <c r="K19"/>
      <c r="L19" s="691">
        <f>H19*1.04</f>
        <v>15593856.640596004</v>
      </c>
      <c r="M19" s="53"/>
      <c r="N19" s="53"/>
      <c r="O19"/>
      <c r="P19" s="354"/>
      <c r="Q19" s="354"/>
    </row>
    <row r="20" spans="1:17">
      <c r="A20" s="605">
        <f t="shared" si="0"/>
        <v>6</v>
      </c>
      <c r="B20"/>
      <c r="C20" s="53" t="s">
        <v>1060</v>
      </c>
      <c r="D20"/>
      <c r="E20"/>
      <c r="F20"/>
      <c r="G20"/>
      <c r="H20" s="820">
        <f>SUM(H18:H19)</f>
        <v>17974540.763650004</v>
      </c>
      <c r="I20"/>
      <c r="J20" s="691">
        <f>SUM(J18:J19)</f>
        <v>718981.63054600032</v>
      </c>
      <c r="K20"/>
      <c r="L20" s="820">
        <f>SUM(L18:L19)</f>
        <v>18693522.394196004</v>
      </c>
      <c r="M20"/>
      <c r="O20"/>
      <c r="P20" s="354"/>
      <c r="Q20" s="354"/>
    </row>
    <row r="21" spans="1:17">
      <c r="A21" s="605">
        <f t="shared" si="0"/>
        <v>7</v>
      </c>
      <c r="B21"/>
      <c r="C21"/>
      <c r="D21"/>
      <c r="E21"/>
      <c r="F21"/>
      <c r="G21"/>
      <c r="H21" s="60"/>
      <c r="I21"/>
      <c r="J21" s="60"/>
      <c r="K21"/>
      <c r="L21" s="60"/>
      <c r="M21"/>
      <c r="O21"/>
      <c r="P21" s="354"/>
      <c r="Q21" s="354"/>
    </row>
    <row r="22" spans="1:17">
      <c r="A22" s="605">
        <f t="shared" si="0"/>
        <v>8</v>
      </c>
      <c r="B22"/>
      <c r="C22" s="16" t="s">
        <v>590</v>
      </c>
      <c r="D22" s="329"/>
      <c r="E22" s="782" t="s">
        <v>1744</v>
      </c>
      <c r="F22" s="782" t="s">
        <v>1745</v>
      </c>
      <c r="G22" t="s">
        <v>1564</v>
      </c>
      <c r="H22"/>
      <c r="I22"/>
      <c r="J22"/>
      <c r="K22"/>
      <c r="L22"/>
      <c r="M22"/>
    </row>
    <row r="23" spans="1:17">
      <c r="A23" s="605">
        <f t="shared" si="0"/>
        <v>9</v>
      </c>
      <c r="B23"/>
      <c r="C23" s="53" t="s">
        <v>1061</v>
      </c>
      <c r="D23" s="354"/>
      <c r="E23" s="936">
        <v>1.1599999999999999E-2</v>
      </c>
      <c r="F23" s="936">
        <v>1.2200000000000001E-2</v>
      </c>
      <c r="G23" s="936">
        <v>1.1900000000000003E-2</v>
      </c>
      <c r="H23" s="691">
        <f>H$18*G23</f>
        <v>35467.329296000018</v>
      </c>
      <c r="I23"/>
      <c r="J23" s="691">
        <f>L23-H23</f>
        <v>1418.693171840001</v>
      </c>
      <c r="K23"/>
      <c r="L23" s="691">
        <f>L$18*G23</f>
        <v>36886.022467840019</v>
      </c>
      <c r="M23"/>
      <c r="P23" s="354"/>
      <c r="Q23" s="354"/>
    </row>
    <row r="24" spans="1:17">
      <c r="A24" s="605">
        <f t="shared" si="0"/>
        <v>10</v>
      </c>
      <c r="B24"/>
      <c r="C24" s="53" t="s">
        <v>1479</v>
      </c>
      <c r="D24" s="354"/>
      <c r="E24" s="39"/>
      <c r="F24" s="39"/>
      <c r="G24" s="39"/>
      <c r="H24" s="724">
        <v>1211906</v>
      </c>
      <c r="I24"/>
      <c r="J24" s="359">
        <f>L24-H24</f>
        <v>48476.239999999991</v>
      </c>
      <c r="K24"/>
      <c r="L24" s="794">
        <f>H24*1.04</f>
        <v>1260382.24</v>
      </c>
      <c r="M24"/>
      <c r="P24" s="354"/>
      <c r="Q24" s="354"/>
    </row>
    <row r="25" spans="1:17">
      <c r="A25" s="605">
        <f t="shared" si="0"/>
        <v>11</v>
      </c>
      <c r="B25"/>
      <c r="C25" s="53" t="s">
        <v>1062</v>
      </c>
      <c r="D25" s="354"/>
      <c r="E25" s="936">
        <v>0.2268</v>
      </c>
      <c r="F25" s="936">
        <v>0.24780000000000002</v>
      </c>
      <c r="G25" s="936">
        <v>0.23730000000000001</v>
      </c>
      <c r="H25" s="747">
        <f>H$18*G25</f>
        <v>707260.27243200026</v>
      </c>
      <c r="I25"/>
      <c r="J25" s="747">
        <f>L25-H25</f>
        <v>28290.410897279973</v>
      </c>
      <c r="K25"/>
      <c r="L25" s="747">
        <f>L$18*G25</f>
        <v>735550.68332928023</v>
      </c>
      <c r="M25"/>
      <c r="P25" s="354"/>
    </row>
    <row r="26" spans="1:17">
      <c r="A26" s="605">
        <f t="shared" si="0"/>
        <v>12</v>
      </c>
      <c r="B26"/>
      <c r="C26" s="53" t="s">
        <v>1063</v>
      </c>
      <c r="D26"/>
      <c r="E26"/>
      <c r="F26"/>
      <c r="G26"/>
      <c r="H26" s="691">
        <f>SUM(H23:H25)</f>
        <v>1954633.6017280002</v>
      </c>
      <c r="I26"/>
      <c r="J26" s="691">
        <f>SUM(J23:J25)</f>
        <v>78185.344069119965</v>
      </c>
      <c r="K26"/>
      <c r="L26" s="691">
        <f>SUM(L23:L25)</f>
        <v>2032818.9457971202</v>
      </c>
      <c r="M26"/>
      <c r="O26"/>
      <c r="P26"/>
    </row>
    <row r="27" spans="1:17">
      <c r="A27" s="605">
        <f t="shared" si="0"/>
        <v>13</v>
      </c>
      <c r="B27"/>
      <c r="C27"/>
      <c r="D27"/>
      <c r="E27"/>
      <c r="F27"/>
      <c r="G27"/>
      <c r="H27"/>
      <c r="I27"/>
      <c r="J27"/>
      <c r="K27"/>
      <c r="L27"/>
      <c r="M27"/>
      <c r="O27"/>
      <c r="P27"/>
    </row>
    <row r="28" spans="1:17">
      <c r="A28" s="605">
        <f t="shared" si="0"/>
        <v>14</v>
      </c>
      <c r="B28"/>
      <c r="C28" s="16" t="s">
        <v>768</v>
      </c>
      <c r="D28"/>
      <c r="E28"/>
      <c r="F28"/>
      <c r="G28"/>
      <c r="H28" s="60"/>
      <c r="I28" s="243"/>
      <c r="J28" s="60"/>
      <c r="K28"/>
      <c r="L28" s="60" t="s">
        <v>314</v>
      </c>
      <c r="M28"/>
      <c r="N28" s="354"/>
      <c r="O28"/>
      <c r="P28"/>
    </row>
    <row r="29" spans="1:17">
      <c r="A29" s="605">
        <f t="shared" si="0"/>
        <v>15</v>
      </c>
      <c r="B29"/>
      <c r="C29" s="53" t="s">
        <v>1480</v>
      </c>
      <c r="D29"/>
      <c r="E29"/>
      <c r="F29"/>
      <c r="G29"/>
      <c r="H29" s="724">
        <v>288003.18999999994</v>
      </c>
      <c r="I29" s="243"/>
      <c r="J29" s="691">
        <f>L29-H29</f>
        <v>11520.127600000007</v>
      </c>
      <c r="K29"/>
      <c r="L29" s="724">
        <v>299523.31759999995</v>
      </c>
      <c r="M29"/>
      <c r="N29" s="354"/>
      <c r="O29"/>
      <c r="P29"/>
    </row>
    <row r="30" spans="1:17">
      <c r="A30" s="605">
        <f t="shared" si="0"/>
        <v>16</v>
      </c>
      <c r="B30"/>
      <c r="C30" s="53" t="s">
        <v>655</v>
      </c>
      <c r="D30"/>
      <c r="E30"/>
      <c r="F30"/>
      <c r="G30"/>
      <c r="H30" s="820">
        <f>SUM(H29:H29)</f>
        <v>288003.18999999994</v>
      </c>
      <c r="I30"/>
      <c r="J30" s="691">
        <f>SUM(J29:J29)</f>
        <v>11520.127600000007</v>
      </c>
      <c r="K30"/>
      <c r="L30" s="820">
        <f>SUM(L29:L29)</f>
        <v>299523.31759999995</v>
      </c>
      <c r="M30"/>
      <c r="N30"/>
      <c r="O30"/>
      <c r="P30"/>
    </row>
    <row r="31" spans="1:17">
      <c r="A31" s="605">
        <f t="shared" si="0"/>
        <v>17</v>
      </c>
      <c r="B31"/>
      <c r="C31"/>
      <c r="D31"/>
      <c r="E31"/>
      <c r="F31"/>
      <c r="G31"/>
      <c r="H31" s="60"/>
      <c r="I31"/>
      <c r="J31" s="60"/>
      <c r="K31"/>
      <c r="L31" s="60" t="s">
        <v>314</v>
      </c>
      <c r="M31"/>
      <c r="N31"/>
      <c r="O31"/>
      <c r="P31"/>
    </row>
    <row r="32" spans="1:17" ht="15.75" thickBot="1">
      <c r="A32" s="605">
        <f t="shared" si="0"/>
        <v>18</v>
      </c>
      <c r="B32"/>
      <c r="C32" s="53" t="s">
        <v>656</v>
      </c>
      <c r="D32"/>
      <c r="E32"/>
      <c r="F32"/>
      <c r="G32"/>
      <c r="H32" s="823">
        <f>(+H20+H26+H30)</f>
        <v>20217177.555378005</v>
      </c>
      <c r="I32"/>
      <c r="J32" s="823">
        <f>(+J20+J26+J30)</f>
        <v>808687.10221512034</v>
      </c>
      <c r="K32"/>
      <c r="L32" s="823">
        <f>(+L20+L26+L30)</f>
        <v>21025864.657593124</v>
      </c>
      <c r="M32"/>
      <c r="N32"/>
      <c r="O32"/>
      <c r="P32"/>
    </row>
    <row r="33" spans="1:16" ht="15.75" thickTop="1">
      <c r="A33"/>
      <c r="B33"/>
      <c r="C33"/>
      <c r="D33"/>
      <c r="E33"/>
      <c r="F33"/>
      <c r="G33"/>
      <c r="H33" s="60"/>
      <c r="I33"/>
      <c r="J33" s="60"/>
      <c r="K33"/>
      <c r="L33" s="53" t="s">
        <v>314</v>
      </c>
      <c r="M33"/>
      <c r="N33"/>
      <c r="O33"/>
      <c r="P33"/>
    </row>
    <row r="34" spans="1:16" ht="15.75">
      <c r="A34" s="59" t="s">
        <v>803</v>
      </c>
      <c r="B34" s="53"/>
      <c r="C34"/>
      <c r="D34"/>
      <c r="E34"/>
      <c r="F34"/>
      <c r="G34"/>
      <c r="H34" s="60"/>
      <c r="I34"/>
      <c r="J34" s="60"/>
      <c r="K34"/>
      <c r="L34" s="60"/>
      <c r="M34"/>
      <c r="N34"/>
      <c r="O34"/>
      <c r="P34"/>
    </row>
    <row r="35" spans="1:16">
      <c r="B35" s="53"/>
      <c r="C35"/>
      <c r="D35"/>
      <c r="E35"/>
      <c r="F35"/>
      <c r="G35"/>
      <c r="H35" s="60"/>
      <c r="I35"/>
      <c r="J35" s="60"/>
      <c r="K35"/>
      <c r="L35" s="60"/>
      <c r="M35"/>
      <c r="N35"/>
      <c r="O35"/>
      <c r="P35"/>
    </row>
    <row r="36" spans="1:16">
      <c r="A36" s="356" t="s">
        <v>373</v>
      </c>
      <c r="C36" s="53"/>
      <c r="D36"/>
      <c r="E36" s="329"/>
      <c r="F36"/>
      <c r="G36"/>
      <c r="H36" s="60"/>
      <c r="I36"/>
      <c r="J36" s="60"/>
      <c r="K36"/>
      <c r="L36" s="60"/>
      <c r="M36"/>
      <c r="N36"/>
      <c r="O36"/>
      <c r="P36"/>
    </row>
    <row r="37" spans="1:16">
      <c r="A37" t="s">
        <v>1586</v>
      </c>
      <c r="C37"/>
      <c r="D37"/>
      <c r="E37"/>
      <c r="F37"/>
      <c r="G37"/>
      <c r="H37" s="60"/>
      <c r="I37"/>
      <c r="J37" s="60"/>
      <c r="K37"/>
      <c r="L37" s="60"/>
      <c r="M37"/>
      <c r="N37"/>
      <c r="O37"/>
      <c r="P37"/>
    </row>
    <row r="38" spans="1:16">
      <c r="A38" t="s">
        <v>1482</v>
      </c>
      <c r="C38"/>
      <c r="D38"/>
      <c r="E38"/>
      <c r="F38"/>
      <c r="G38"/>
      <c r="H38" s="60"/>
      <c r="I38"/>
      <c r="J38" s="60"/>
      <c r="K38"/>
      <c r="L38" s="60"/>
      <c r="M38"/>
      <c r="N38"/>
      <c r="O38"/>
      <c r="P38"/>
    </row>
    <row r="39" spans="1:16">
      <c r="A39" t="s">
        <v>1601</v>
      </c>
      <c r="C39"/>
      <c r="D39"/>
      <c r="E39"/>
      <c r="F39"/>
      <c r="G39"/>
      <c r="H39"/>
      <c r="I39" s="39"/>
      <c r="J39"/>
      <c r="K39"/>
      <c r="L39"/>
      <c r="M39"/>
      <c r="N39"/>
      <c r="O39"/>
      <c r="P39"/>
    </row>
    <row r="40" spans="1:16">
      <c r="A40" t="s">
        <v>1602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>
      <c r="A41" t="s">
        <v>1603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>
      <c r="A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 s="1" t="s">
        <v>374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>
      <c r="A45" s="128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 t="s">
        <v>1192</v>
      </c>
      <c r="B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>
      <c r="A49" s="381" t="s">
        <v>1685</v>
      </c>
      <c r="B49"/>
      <c r="D49"/>
      <c r="E49"/>
      <c r="F49"/>
      <c r="G49"/>
      <c r="H49"/>
      <c r="I49"/>
      <c r="J49"/>
      <c r="K49"/>
      <c r="L49" s="329"/>
      <c r="M49"/>
      <c r="N49"/>
      <c r="O49"/>
      <c r="P49"/>
    </row>
    <row r="50" spans="1:16">
      <c r="A50" s="441"/>
      <c r="B50" s="45"/>
      <c r="C50" s="353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</sheetData>
  <phoneticPr fontId="20" type="noConversion"/>
  <printOptions horizontalCentered="1"/>
  <pageMargins left="0.5" right="0.5" top="0.75" bottom="0.52" header="0.25" footer="0.25"/>
  <pageSetup scale="74" orientation="landscape" verticalDpi="300" r:id="rId1"/>
  <headerFooter alignWithMargins="0">
    <oddFooter>&amp;RSchedule &amp;A
Page &amp;P of &amp;N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92D050"/>
    <pageSetUpPr fitToPage="1"/>
  </sheetPr>
  <dimension ref="A1:G44"/>
  <sheetViews>
    <sheetView view="pageBreakPreview" zoomScale="80" zoomScaleNormal="100" zoomScaleSheetLayoutView="80" workbookViewId="0">
      <selection activeCell="D21" sqref="D21"/>
    </sheetView>
  </sheetViews>
  <sheetFormatPr defaultColWidth="9.6640625" defaultRowHeight="15"/>
  <cols>
    <col min="1" max="1" width="9.6640625" style="1"/>
    <col min="2" max="2" width="34.77734375" style="1" customWidth="1"/>
    <col min="3" max="3" width="6.77734375" style="1" customWidth="1"/>
    <col min="4" max="4" width="15.88671875" style="1" customWidth="1"/>
    <col min="5" max="5" width="15.77734375" style="1" customWidth="1"/>
    <col min="6" max="16384" width="9.6640625" style="1"/>
  </cols>
  <sheetData>
    <row r="1" spans="1:7">
      <c r="A1" s="1057" t="str">
        <f>'Table of Contents'!A1:C1</f>
        <v>Atmos Energy Corporation, Kentucky/Mid-States Division</v>
      </c>
      <c r="B1" s="1057"/>
      <c r="C1" s="1057"/>
      <c r="D1" s="1057"/>
      <c r="E1" s="1057"/>
    </row>
    <row r="2" spans="1:7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</row>
    <row r="3" spans="1:7">
      <c r="A3" s="1072" t="s">
        <v>584</v>
      </c>
      <c r="B3" s="1072"/>
      <c r="C3" s="1072"/>
      <c r="D3" s="1072"/>
      <c r="E3" s="1072"/>
    </row>
    <row r="4" spans="1:7">
      <c r="A4" s="1057" t="str">
        <f>'Table of Contents'!A3:C3</f>
        <v>Base Period: Twelve Months Ended December 31, 2024</v>
      </c>
      <c r="B4" s="1057"/>
      <c r="C4" s="1057"/>
      <c r="D4" s="1057"/>
      <c r="E4" s="1057"/>
    </row>
    <row r="5" spans="1:7">
      <c r="A5" s="1057" t="str">
        <f>'Table of Contents'!A4:C4</f>
        <v>Forecasted Test Period:  Twelve Months Ended March 31, 2026</v>
      </c>
      <c r="B5" s="1057"/>
      <c r="C5" s="1057"/>
      <c r="D5" s="1057"/>
      <c r="E5" s="1057"/>
    </row>
    <row r="6" spans="1:7">
      <c r="A6" s="38"/>
      <c r="B6" s="38"/>
      <c r="C6" s="38"/>
      <c r="D6" s="38"/>
      <c r="E6" s="38"/>
      <c r="G6" s="375"/>
    </row>
    <row r="8" spans="1:7">
      <c r="A8" s="4" t="s">
        <v>192</v>
      </c>
      <c r="E8" s="84" t="s">
        <v>1325</v>
      </c>
    </row>
    <row r="9" spans="1:7">
      <c r="A9" s="48" t="s">
        <v>588</v>
      </c>
      <c r="E9" s="17" t="s">
        <v>34</v>
      </c>
    </row>
    <row r="10" spans="1:7">
      <c r="A10" s="5" t="s">
        <v>405</v>
      </c>
      <c r="B10" s="6"/>
      <c r="C10" s="6"/>
      <c r="D10" s="6"/>
      <c r="E10" s="282" t="s">
        <v>1659</v>
      </c>
    </row>
    <row r="12" spans="1:7" ht="15.75">
      <c r="D12" s="169" t="s">
        <v>1086</v>
      </c>
      <c r="E12" s="169" t="s">
        <v>123</v>
      </c>
    </row>
    <row r="13" spans="1:7">
      <c r="D13" s="2" t="s">
        <v>860</v>
      </c>
      <c r="E13" s="2" t="s">
        <v>860</v>
      </c>
    </row>
    <row r="14" spans="1:7">
      <c r="A14" s="2" t="s">
        <v>88</v>
      </c>
      <c r="D14" s="2" t="s">
        <v>861</v>
      </c>
      <c r="E14" s="2" t="s">
        <v>861</v>
      </c>
    </row>
    <row r="15" spans="1:7">
      <c r="A15" s="27" t="s">
        <v>94</v>
      </c>
      <c r="B15" s="35" t="s">
        <v>949</v>
      </c>
      <c r="C15" s="28"/>
      <c r="D15" s="27" t="s">
        <v>120</v>
      </c>
      <c r="E15" s="27" t="s">
        <v>120</v>
      </c>
    </row>
    <row r="17" spans="1:7">
      <c r="A17" s="2" t="s">
        <v>357</v>
      </c>
      <c r="B17" s="4" t="s">
        <v>710</v>
      </c>
      <c r="D17" s="20">
        <v>1</v>
      </c>
      <c r="E17" s="20">
        <v>1</v>
      </c>
    </row>
    <row r="18" spans="1:7">
      <c r="A18" s="38">
        <f>+A17+1</f>
        <v>2</v>
      </c>
    </row>
    <row r="19" spans="1:7">
      <c r="A19" s="38">
        <f t="shared" ref="A19:A34" si="0">+A18+1</f>
        <v>3</v>
      </c>
      <c r="B19" s="4" t="s">
        <v>862</v>
      </c>
      <c r="D19" s="321">
        <v>0.01</v>
      </c>
      <c r="E19" s="321">
        <v>0.01</v>
      </c>
    </row>
    <row r="20" spans="1:7">
      <c r="A20" s="38">
        <f t="shared" si="0"/>
        <v>4</v>
      </c>
    </row>
    <row r="21" spans="1:7">
      <c r="A21" s="38">
        <f t="shared" si="0"/>
        <v>5</v>
      </c>
      <c r="B21" s="4" t="s">
        <v>863</v>
      </c>
      <c r="D21" s="939">
        <v>1.554E-3</v>
      </c>
      <c r="E21" s="939">
        <v>1.554E-3</v>
      </c>
      <c r="G21" s="375"/>
    </row>
    <row r="22" spans="1:7">
      <c r="A22" s="38">
        <f t="shared" si="0"/>
        <v>6</v>
      </c>
    </row>
    <row r="23" spans="1:7">
      <c r="A23" s="38">
        <f t="shared" si="0"/>
        <v>7</v>
      </c>
      <c r="B23" s="4" t="s">
        <v>864</v>
      </c>
      <c r="D23" s="940">
        <f>D17-D19-D21</f>
        <v>0.98844599999999994</v>
      </c>
      <c r="E23" s="940">
        <f>E17-E19-E21</f>
        <v>0.98844599999999994</v>
      </c>
    </row>
    <row r="24" spans="1:7">
      <c r="A24" s="38">
        <f t="shared" si="0"/>
        <v>8</v>
      </c>
    </row>
    <row r="25" spans="1:7">
      <c r="A25" s="38">
        <f t="shared" si="0"/>
        <v>9</v>
      </c>
      <c r="B25" s="4" t="s">
        <v>245</v>
      </c>
      <c r="C25" s="1021">
        <v>0.05</v>
      </c>
      <c r="D25" s="941">
        <f>ROUND(D23*C25,8)</f>
        <v>4.9422300000000002E-2</v>
      </c>
      <c r="E25" s="941">
        <f>ROUND(E23*C25,8)</f>
        <v>4.9422300000000002E-2</v>
      </c>
    </row>
    <row r="26" spans="1:7">
      <c r="A26" s="38">
        <f t="shared" si="0"/>
        <v>10</v>
      </c>
    </row>
    <row r="27" spans="1:7">
      <c r="A27" s="38">
        <f t="shared" si="0"/>
        <v>11</v>
      </c>
      <c r="B27" s="4" t="s">
        <v>865</v>
      </c>
      <c r="D27" s="940">
        <f>(D23-D25)</f>
        <v>0.93902369999999991</v>
      </c>
      <c r="E27" s="940">
        <f>(E23-E25)</f>
        <v>0.93902369999999991</v>
      </c>
    </row>
    <row r="28" spans="1:7">
      <c r="A28" s="38">
        <f t="shared" si="0"/>
        <v>12</v>
      </c>
    </row>
    <row r="29" spans="1:7">
      <c r="A29" s="38">
        <f t="shared" si="0"/>
        <v>13</v>
      </c>
      <c r="B29" s="48" t="s">
        <v>163</v>
      </c>
      <c r="C29" s="49">
        <v>0.21</v>
      </c>
      <c r="D29" s="942">
        <f>ROUND(D27*C29,6)</f>
        <v>0.19719500000000001</v>
      </c>
      <c r="E29" s="942">
        <f>ROUND(E27*C29,6)</f>
        <v>0.19719500000000001</v>
      </c>
    </row>
    <row r="30" spans="1:7">
      <c r="A30" s="38">
        <f t="shared" si="0"/>
        <v>14</v>
      </c>
    </row>
    <row r="31" spans="1:7">
      <c r="A31" s="38">
        <f t="shared" si="0"/>
        <v>15</v>
      </c>
      <c r="B31" s="4" t="s">
        <v>368</v>
      </c>
      <c r="D31" s="940">
        <f>D27-D29</f>
        <v>0.7418286999999999</v>
      </c>
      <c r="E31" s="940">
        <f>E27-E29</f>
        <v>0.7418286999999999</v>
      </c>
    </row>
    <row r="32" spans="1:7">
      <c r="A32" s="38">
        <f t="shared" si="0"/>
        <v>16</v>
      </c>
      <c r="E32" s="34"/>
    </row>
    <row r="33" spans="1:5">
      <c r="A33" s="38">
        <f t="shared" si="0"/>
        <v>17</v>
      </c>
      <c r="B33" s="4" t="s">
        <v>121</v>
      </c>
    </row>
    <row r="34" spans="1:5">
      <c r="A34" s="38">
        <f t="shared" si="0"/>
        <v>18</v>
      </c>
      <c r="B34" s="4" t="s">
        <v>866</v>
      </c>
      <c r="D34" s="943">
        <f>ROUND(1/$D$31,6)</f>
        <v>1.34802</v>
      </c>
      <c r="E34" s="943">
        <f>ROUND(1/$E$31,6)</f>
        <v>1.34802</v>
      </c>
    </row>
    <row r="37" spans="1:5">
      <c r="B37" s="4"/>
    </row>
    <row r="38" spans="1:5">
      <c r="A38" t="s">
        <v>1192</v>
      </c>
    </row>
    <row r="39" spans="1:5">
      <c r="A39" s="1" t="s">
        <v>1686</v>
      </c>
    </row>
    <row r="44" spans="1:5">
      <c r="A44" s="4" t="s">
        <v>536</v>
      </c>
    </row>
  </sheetData>
  <mergeCells count="5">
    <mergeCell ref="A5:E5"/>
    <mergeCell ref="A1:E1"/>
    <mergeCell ref="A2:E2"/>
    <mergeCell ref="A3:E3"/>
    <mergeCell ref="A4:E4"/>
  </mergeCells>
  <phoneticPr fontId="20" type="noConversion"/>
  <pageMargins left="0.83" right="0.5" top="1.0900000000000001" bottom="0.5" header="0.5" footer="0.5"/>
  <pageSetup scale="92" orientation="portrait" verticalDpi="300" r:id="rId1"/>
  <headerFooter alignWithMargins="0">
    <oddFooter>&amp;RSchedule &amp;A
Page &amp;P of &amp;N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92D050"/>
  </sheetPr>
  <dimension ref="A1:T56"/>
  <sheetViews>
    <sheetView view="pageBreakPreview" topLeftCell="A4" zoomScale="80" zoomScaleNormal="100" zoomScaleSheetLayoutView="80" workbookViewId="0">
      <pane xSplit="3" ySplit="11" topLeftCell="D15" activePane="bottomRight" state="frozen"/>
      <selection activeCell="A4" sqref="A4"/>
      <selection pane="topRight" activeCell="D4" sqref="D4"/>
      <selection pane="bottomLeft" activeCell="A15" sqref="A15"/>
      <selection pane="bottomRight" activeCell="D25" sqref="D25"/>
    </sheetView>
  </sheetViews>
  <sheetFormatPr defaultColWidth="7.109375" defaultRowHeight="15"/>
  <cols>
    <col min="1" max="1" width="5.109375" customWidth="1"/>
    <col min="2" max="2" width="18.109375" customWidth="1"/>
    <col min="3" max="3" width="5" customWidth="1"/>
    <col min="4" max="6" width="10.33203125" customWidth="1"/>
    <col min="7" max="7" width="11.44140625" bestFit="1" customWidth="1"/>
    <col min="8" max="8" width="10.44140625" customWidth="1"/>
    <col min="9" max="9" width="1.6640625" customWidth="1"/>
    <col min="10" max="10" width="10.6640625" bestFit="1" customWidth="1"/>
    <col min="11" max="11" width="1.109375" customWidth="1"/>
    <col min="12" max="12" width="10.21875" customWidth="1"/>
    <col min="13" max="13" width="1.6640625" customWidth="1"/>
    <col min="14" max="14" width="10.21875" customWidth="1"/>
    <col min="15" max="15" width="9.77734375" customWidth="1"/>
    <col min="16" max="16" width="10.33203125" customWidth="1"/>
    <col min="17" max="17" width="12.21875" bestFit="1" customWidth="1"/>
    <col min="18" max="18" width="7.5546875" bestFit="1" customWidth="1"/>
    <col min="19" max="19" width="8" bestFit="1" customWidth="1"/>
    <col min="20" max="20" width="8.5546875" bestFit="1" customWidth="1"/>
  </cols>
  <sheetData>
    <row r="1" spans="1:16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</row>
    <row r="2" spans="1:16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</row>
    <row r="3" spans="1:16">
      <c r="A3" s="1053" t="s">
        <v>585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</row>
    <row r="4" spans="1:16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</row>
    <row r="5" spans="1:16">
      <c r="A5" s="1057" t="str">
        <f>'Table of Contents'!A4:C4</f>
        <v>Forecasted Test Period:  Twelve Months Ended March 31, 2026</v>
      </c>
      <c r="B5" s="1057"/>
      <c r="C5" s="1057"/>
      <c r="D5" s="1057"/>
      <c r="E5" s="1057"/>
      <c r="F5" s="1057"/>
      <c r="G5" s="1057"/>
      <c r="H5" s="1057"/>
      <c r="I5" s="1057"/>
      <c r="J5" s="1057"/>
      <c r="K5" s="1057"/>
      <c r="L5" s="1057"/>
      <c r="M5" s="1057"/>
      <c r="N5" s="1057"/>
      <c r="O5" s="1057"/>
      <c r="P5" s="1057"/>
    </row>
    <row r="6" spans="1:1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>
      <c r="A7" s="53" t="s">
        <v>653</v>
      </c>
      <c r="P7" s="476" t="s">
        <v>1352</v>
      </c>
    </row>
    <row r="8" spans="1:16">
      <c r="A8" s="53" t="s">
        <v>588</v>
      </c>
      <c r="P8" s="504" t="s">
        <v>1094</v>
      </c>
    </row>
    <row r="9" spans="1:16">
      <c r="A9" s="54" t="s">
        <v>356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73"/>
      <c r="N9" s="427"/>
      <c r="O9" s="36"/>
      <c r="P9" s="505" t="s">
        <v>1660</v>
      </c>
    </row>
    <row r="10" spans="1:16">
      <c r="D10" s="1095" t="s">
        <v>1119</v>
      </c>
      <c r="E10" s="1095"/>
      <c r="F10" s="1095"/>
      <c r="G10" s="1095"/>
      <c r="H10" s="1095"/>
      <c r="J10" s="506" t="s">
        <v>1086</v>
      </c>
      <c r="K10" s="37"/>
      <c r="L10" s="506" t="s">
        <v>123</v>
      </c>
      <c r="N10" s="1096" t="s">
        <v>1662</v>
      </c>
      <c r="O10" s="1096"/>
      <c r="P10" s="1096"/>
    </row>
    <row r="11" spans="1:16">
      <c r="D11" s="1093" t="s">
        <v>1535</v>
      </c>
      <c r="E11" s="1093"/>
      <c r="F11" s="1093"/>
      <c r="G11" s="1093"/>
      <c r="H11" s="1093"/>
      <c r="J11" s="625" t="s">
        <v>1535</v>
      </c>
      <c r="K11" s="503"/>
      <c r="L11" s="625" t="s">
        <v>1535</v>
      </c>
      <c r="M11" s="503"/>
      <c r="N11" s="503"/>
      <c r="O11" s="1094" t="s">
        <v>1535</v>
      </c>
      <c r="P11" s="1094"/>
    </row>
    <row r="12" spans="1:16">
      <c r="D12" s="350"/>
      <c r="E12" s="350"/>
      <c r="F12" s="350"/>
      <c r="G12" s="350"/>
      <c r="H12" s="350"/>
      <c r="J12" s="507"/>
      <c r="K12" s="508"/>
      <c r="L12" s="507"/>
    </row>
    <row r="13" spans="1:16">
      <c r="A13" s="509"/>
      <c r="B13" s="509"/>
      <c r="C13" s="509"/>
      <c r="D13" s="624">
        <v>2019</v>
      </c>
      <c r="E13" s="944">
        <f>D13+1</f>
        <v>2020</v>
      </c>
      <c r="F13" s="944">
        <f t="shared" ref="F13:H13" si="0">E13+1</f>
        <v>2021</v>
      </c>
      <c r="G13" s="944">
        <f t="shared" si="0"/>
        <v>2022</v>
      </c>
      <c r="H13" s="944">
        <f t="shared" si="0"/>
        <v>2023</v>
      </c>
      <c r="J13" s="510">
        <v>45657</v>
      </c>
      <c r="K13" s="511"/>
      <c r="L13" s="510">
        <v>46112</v>
      </c>
      <c r="N13" s="944">
        <v>2026</v>
      </c>
      <c r="O13" s="374">
        <v>2027</v>
      </c>
      <c r="P13" s="944">
        <f>O13+1</f>
        <v>2028</v>
      </c>
    </row>
    <row r="14" spans="1:16">
      <c r="A14" t="s">
        <v>570</v>
      </c>
      <c r="D14" s="37" t="s">
        <v>140</v>
      </c>
      <c r="E14" s="37" t="s">
        <v>140</v>
      </c>
      <c r="F14" s="37" t="s">
        <v>140</v>
      </c>
      <c r="G14" s="37" t="s">
        <v>140</v>
      </c>
      <c r="H14" s="37" t="s">
        <v>140</v>
      </c>
      <c r="J14" s="37" t="s">
        <v>140</v>
      </c>
      <c r="L14" s="37" t="s">
        <v>140</v>
      </c>
      <c r="O14" s="37" t="s">
        <v>140</v>
      </c>
      <c r="P14" s="37" t="s">
        <v>140</v>
      </c>
    </row>
    <row r="15" spans="1:16">
      <c r="A15" t="s">
        <v>571</v>
      </c>
    </row>
    <row r="16" spans="1:16">
      <c r="B16" t="s">
        <v>572</v>
      </c>
      <c r="D16" s="782">
        <v>157506.29086999997</v>
      </c>
      <c r="E16" s="782">
        <v>134241.51697</v>
      </c>
      <c r="F16" s="782">
        <v>152334.01</v>
      </c>
      <c r="G16" s="782">
        <v>209579.87867000001</v>
      </c>
      <c r="H16" s="782">
        <v>170001.81025000001</v>
      </c>
      <c r="J16" s="694">
        <f>'C.2.1 B'!D23/1000</f>
        <v>132800.27261697507</v>
      </c>
      <c r="L16" s="694">
        <f>'C.2.1 F'!D19/1000</f>
        <v>166824.71856378525</v>
      </c>
      <c r="N16">
        <v>168082.90461335264</v>
      </c>
      <c r="O16" s="782">
        <v>170686.58916817652</v>
      </c>
      <c r="P16" s="782">
        <v>170236.54159007725</v>
      </c>
    </row>
    <row r="17" spans="1:20">
      <c r="B17" t="s">
        <v>174</v>
      </c>
      <c r="D17" s="782">
        <v>18324.533030000002</v>
      </c>
      <c r="E17" s="782">
        <v>17179.778549999995</v>
      </c>
      <c r="F17" s="782">
        <v>18498.679239999998</v>
      </c>
      <c r="G17" s="782">
        <v>20214.068090000001</v>
      </c>
      <c r="H17" s="782">
        <v>20703.311600000001</v>
      </c>
      <c r="J17" s="694">
        <f>('C.2.1 B'!D28)/1000</f>
        <v>21748.886757502423</v>
      </c>
      <c r="L17" s="694">
        <f>('C.2.1 F'!D24)/1000</f>
        <v>20570.920755260002</v>
      </c>
      <c r="N17" s="782">
        <v>17452.681125260002</v>
      </c>
      <c r="O17" s="782">
        <v>17452.681125260002</v>
      </c>
      <c r="P17" s="782">
        <v>17452.681125260002</v>
      </c>
    </row>
    <row r="18" spans="1:20">
      <c r="B18" t="s">
        <v>573</v>
      </c>
      <c r="D18" s="945">
        <v>1877.6864200000002</v>
      </c>
      <c r="E18" s="945">
        <v>2087.0900200000001</v>
      </c>
      <c r="F18" s="945">
        <v>135.94994</v>
      </c>
      <c r="G18" s="945">
        <v>211.27195</v>
      </c>
      <c r="H18" s="945">
        <v>26.408729999999998</v>
      </c>
      <c r="I18" s="36"/>
      <c r="J18" s="946">
        <f>('C.2.1 B'!D26+'C.2.1 B'!D27+'C.2.1 B'!D29)/1000</f>
        <v>256.2230062960287</v>
      </c>
      <c r="K18" s="36"/>
      <c r="L18" s="946">
        <f>('C.2.1 F'!D22+'C.2.1 F'!D23+'C.2.1 F'!D25)/1000</f>
        <v>426.37389996584693</v>
      </c>
      <c r="M18" s="36"/>
      <c r="N18" s="698">
        <f t="shared" ref="N18" si="1">N19-N16-N17</f>
        <v>3549.5853251801891</v>
      </c>
      <c r="O18" s="698">
        <f t="shared" ref="O18:P18" si="2">O19-O16-O17</f>
        <v>3556.4047226007533</v>
      </c>
      <c r="P18" s="698">
        <f t="shared" si="2"/>
        <v>3555.8918224941735</v>
      </c>
    </row>
    <row r="19" spans="1:20">
      <c r="A19" t="s">
        <v>574</v>
      </c>
      <c r="D19" s="329">
        <f>SUM(D16:D18)</f>
        <v>177708.51031999997</v>
      </c>
      <c r="E19" s="329">
        <f>SUM(E16:E18)</f>
        <v>153508.38553999999</v>
      </c>
      <c r="F19" s="329">
        <f>SUM(F16:F18)</f>
        <v>170968.63918</v>
      </c>
      <c r="G19" s="329">
        <f>SUM(G16:G18)</f>
        <v>230005.21871000002</v>
      </c>
      <c r="H19" s="329">
        <f>SUM(H16:H18)</f>
        <v>190731.53057999999</v>
      </c>
      <c r="J19" s="329">
        <f>SUM(J16:J18)</f>
        <v>154805.38238077352</v>
      </c>
      <c r="L19" s="329">
        <f>SUM(L16:L18)</f>
        <v>187822.0132190111</v>
      </c>
      <c r="N19" s="782">
        <v>189085.17106379283</v>
      </c>
      <c r="O19" s="782">
        <v>191695.67501603728</v>
      </c>
      <c r="P19" s="782">
        <v>191245.11453783142</v>
      </c>
    </row>
    <row r="21" spans="1:20">
      <c r="A21" t="s">
        <v>575</v>
      </c>
      <c r="D21" s="782">
        <v>83688.773440000004</v>
      </c>
      <c r="E21" s="782">
        <v>59995.688329999997</v>
      </c>
      <c r="F21" s="782">
        <v>75839.020969999998</v>
      </c>
      <c r="G21" s="782">
        <v>131386.54339000001</v>
      </c>
      <c r="H21" s="782">
        <v>89605.11314999999</v>
      </c>
      <c r="I21" s="36"/>
      <c r="J21" s="946">
        <f>'C.2.1 B'!D105/1000</f>
        <v>52986.727226981682</v>
      </c>
      <c r="K21" s="36"/>
      <c r="L21" s="946">
        <f>'C.2.1 F'!D100/1000</f>
        <v>87640.898071899399</v>
      </c>
      <c r="M21" s="36"/>
      <c r="N21" s="782">
        <v>88873.572289744741</v>
      </c>
      <c r="O21" s="782">
        <v>91415.024584085841</v>
      </c>
      <c r="P21" s="782">
        <v>90902.745960283515</v>
      </c>
    </row>
    <row r="22" spans="1:20">
      <c r="A22" t="s">
        <v>108</v>
      </c>
      <c r="D22" s="935">
        <f>+D19-D21</f>
        <v>94019.736879999968</v>
      </c>
      <c r="E22" s="935">
        <f>+E19-E21</f>
        <v>93512.697209999984</v>
      </c>
      <c r="F22" s="935">
        <f>+F19-F21</f>
        <v>95129.618210000001</v>
      </c>
      <c r="G22" s="935">
        <f>+G19-G21</f>
        <v>98618.675320000009</v>
      </c>
      <c r="H22" s="935">
        <f>+H19-H21</f>
        <v>101126.41743</v>
      </c>
      <c r="J22" s="329">
        <f>+J19-J21</f>
        <v>101818.65515379183</v>
      </c>
      <c r="L22" s="329">
        <f>+L19-L21</f>
        <v>100181.1151471117</v>
      </c>
      <c r="N22" s="935">
        <f>+N19-N21</f>
        <v>100211.59877404809</v>
      </c>
      <c r="O22" s="935">
        <f>+O19-O21</f>
        <v>100280.65043195144</v>
      </c>
      <c r="P22" s="935">
        <f>+P19-P21</f>
        <v>100342.36857754791</v>
      </c>
    </row>
    <row r="24" spans="1:20">
      <c r="A24" t="s">
        <v>954</v>
      </c>
      <c r="J24" s="694"/>
    </row>
    <row r="25" spans="1:20" ht="15.75">
      <c r="B25" t="s">
        <v>109</v>
      </c>
      <c r="D25" s="782">
        <v>18980.651689999999</v>
      </c>
      <c r="E25" s="782">
        <v>15673.209889999998</v>
      </c>
      <c r="F25" s="782">
        <v>19494.66142</v>
      </c>
      <c r="G25" s="782">
        <v>17205.122779999998</v>
      </c>
      <c r="H25" s="782">
        <v>17558.368910000005</v>
      </c>
      <c r="J25" s="694">
        <f>(SUM('C.2.2 B 09'!P47:P112)-'C.2.2 B 09'!P103)/1000</f>
        <v>17683.099015571723</v>
      </c>
      <c r="L25" s="694">
        <f>C.1!F19/1000-I.1!L26</f>
        <v>15079.426725816127</v>
      </c>
      <c r="N25">
        <v>21185.784217779419</v>
      </c>
      <c r="O25">
        <v>21882.346797742121</v>
      </c>
      <c r="P25">
        <v>22658.281028278168</v>
      </c>
      <c r="Q25" s="1050"/>
      <c r="R25" s="39"/>
      <c r="S25" s="1050"/>
      <c r="T25" s="39"/>
    </row>
    <row r="26" spans="1:20" ht="15.75">
      <c r="B26" t="s">
        <v>534</v>
      </c>
      <c r="D26" s="782">
        <v>12486.837700000002</v>
      </c>
      <c r="E26" s="782">
        <v>12950.359359999999</v>
      </c>
      <c r="F26" s="782">
        <v>13806.151380000001</v>
      </c>
      <c r="G26" s="782">
        <v>12755.101409999999</v>
      </c>
      <c r="H26" s="782">
        <v>13457.790369999999</v>
      </c>
      <c r="J26" s="694">
        <f>'C.2.2 B 09'!P103/1000</f>
        <v>15853.827764478172</v>
      </c>
      <c r="L26" s="694">
        <f>'C.2.2-F 09'!P103/1000</f>
        <v>17714.001249609326</v>
      </c>
      <c r="N26">
        <v>15596.787294080097</v>
      </c>
      <c r="O26">
        <v>16109.590515571257</v>
      </c>
      <c r="P26">
        <v>16680.826445450602</v>
      </c>
      <c r="Q26" s="1050"/>
      <c r="R26" s="39"/>
      <c r="S26" s="1050"/>
      <c r="T26" s="39"/>
    </row>
    <row r="27" spans="1:20" ht="15.75">
      <c r="B27" t="s">
        <v>110</v>
      </c>
      <c r="D27" s="782">
        <v>20422.628650000002</v>
      </c>
      <c r="E27" s="782">
        <v>20485.27578</v>
      </c>
      <c r="F27" s="782">
        <v>21285.406749999998</v>
      </c>
      <c r="G27" s="782">
        <v>19950.181109999998</v>
      </c>
      <c r="H27" s="782">
        <v>19461.752639999999</v>
      </c>
      <c r="J27" s="694">
        <f>'C.2.1 B'!D176/1000</f>
        <v>19915.761448384303</v>
      </c>
      <c r="L27" s="694">
        <f>C.2!K26/1000</f>
        <v>22028.374895356475</v>
      </c>
      <c r="N27">
        <v>23309</v>
      </c>
      <c r="O27">
        <v>26684</v>
      </c>
      <c r="P27">
        <v>30972</v>
      </c>
      <c r="Q27" s="457"/>
      <c r="S27" s="457"/>
    </row>
    <row r="28" spans="1:20" ht="15.75">
      <c r="B28" t="s">
        <v>111</v>
      </c>
      <c r="D28" s="782">
        <v>8673.0926400000008</v>
      </c>
      <c r="E28" s="782">
        <v>9400.8409300000003</v>
      </c>
      <c r="F28" s="782">
        <v>10420.672829999998</v>
      </c>
      <c r="G28" s="782">
        <v>10661.02736</v>
      </c>
      <c r="H28" s="782">
        <v>10667.04888</v>
      </c>
      <c r="I28" s="36"/>
      <c r="J28" s="946">
        <f>'C.2.1 B'!D178/1000</f>
        <v>12842.194805499708</v>
      </c>
      <c r="K28" s="36"/>
      <c r="L28" s="946">
        <f>'C.2.1 F'!D172/1000</f>
        <v>13803.542573109646</v>
      </c>
      <c r="M28" s="36"/>
      <c r="N28">
        <v>14412</v>
      </c>
      <c r="O28">
        <v>16062</v>
      </c>
      <c r="P28">
        <v>17030</v>
      </c>
      <c r="Q28" s="457"/>
    </row>
    <row r="29" spans="1:20">
      <c r="A29" t="s">
        <v>1079</v>
      </c>
      <c r="D29" s="935">
        <f>SUM(D25:D28)</f>
        <v>60563.210680000004</v>
      </c>
      <c r="E29" s="935">
        <f>SUM(E25:E28)</f>
        <v>58509.685959999995</v>
      </c>
      <c r="F29" s="935">
        <f>SUM(F25:F28)</f>
        <v>65006.89237999999</v>
      </c>
      <c r="G29" s="935">
        <f>SUM(G25:G28)</f>
        <v>60571.432659999999</v>
      </c>
      <c r="H29" s="935">
        <f>SUM(H25:H28)</f>
        <v>61144.960800000001</v>
      </c>
      <c r="J29" s="329">
        <f>SUM(J25:J28)</f>
        <v>66294.883033933904</v>
      </c>
      <c r="L29" s="329">
        <f>SUM(L25:L28)</f>
        <v>68625.34544389158</v>
      </c>
      <c r="N29" s="935">
        <f>SUM(N25:N28)</f>
        <v>74503.571511859511</v>
      </c>
      <c r="O29" s="935">
        <f>SUM(O25:O28)</f>
        <v>80737.937313313378</v>
      </c>
      <c r="P29" s="935">
        <f t="shared" ref="P29" si="3">SUM(P25:P28)</f>
        <v>87341.107473728771</v>
      </c>
    </row>
    <row r="30" spans="1:20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33"/>
      <c r="O30" s="36"/>
      <c r="P30" s="36"/>
    </row>
    <row r="31" spans="1:20">
      <c r="A31" t="s">
        <v>554</v>
      </c>
      <c r="D31" s="329">
        <f>+D22-D29</f>
        <v>33456.526199999964</v>
      </c>
      <c r="E31" s="329">
        <f>+E22-E29</f>
        <v>35003.011249999989</v>
      </c>
      <c r="F31" s="329">
        <f>+F22-F29</f>
        <v>30122.72583000001</v>
      </c>
      <c r="G31" s="329">
        <f>+G22-G29</f>
        <v>38047.242660000011</v>
      </c>
      <c r="H31" s="329">
        <f>+H22-H29</f>
        <v>39981.456630000001</v>
      </c>
      <c r="J31" s="329">
        <f>+J22-J29</f>
        <v>35523.772119857924</v>
      </c>
      <c r="L31" s="329">
        <f>+L22-L29</f>
        <v>31555.769703220125</v>
      </c>
      <c r="N31" s="329">
        <f>+N22-N29</f>
        <v>25708.027262188582</v>
      </c>
      <c r="O31" s="329">
        <f>+O22-O29</f>
        <v>19542.713118638057</v>
      </c>
      <c r="P31" s="329">
        <f>+P22-P29</f>
        <v>13001.261103819139</v>
      </c>
    </row>
    <row r="33" spans="1:17">
      <c r="A33" t="s">
        <v>555</v>
      </c>
    </row>
    <row r="34" spans="1:17">
      <c r="B34" t="s">
        <v>769</v>
      </c>
      <c r="D34" s="782">
        <v>31.29035</v>
      </c>
      <c r="E34" s="782">
        <v>38.990180000000002</v>
      </c>
      <c r="F34" s="782">
        <v>55.492930000000001</v>
      </c>
      <c r="G34" s="782">
        <v>178.97017</v>
      </c>
      <c r="H34" s="782">
        <v>239.88788000000005</v>
      </c>
      <c r="J34" s="329">
        <f>H34</f>
        <v>239.88788000000005</v>
      </c>
      <c r="L34" s="329">
        <f>J34</f>
        <v>239.88788000000005</v>
      </c>
      <c r="N34" s="329">
        <f>+L34</f>
        <v>239.88788000000005</v>
      </c>
      <c r="O34" s="329">
        <f>N34</f>
        <v>239.88788000000005</v>
      </c>
      <c r="P34" s="329">
        <f>O34</f>
        <v>239.88788000000005</v>
      </c>
    </row>
    <row r="35" spans="1:17" ht="15.75">
      <c r="B35" t="s">
        <v>48</v>
      </c>
      <c r="D35" s="782">
        <v>3425.3495099999996</v>
      </c>
      <c r="E35" s="782">
        <v>3358.9845699999996</v>
      </c>
      <c r="F35" s="782">
        <v>1485.4601099999998</v>
      </c>
      <c r="G35" s="782">
        <v>4846.3270999999995</v>
      </c>
      <c r="H35" s="782">
        <v>3354.2897000000003</v>
      </c>
      <c r="J35" s="329">
        <f>H35</f>
        <v>3354.2897000000003</v>
      </c>
      <c r="L35">
        <v>3000</v>
      </c>
      <c r="N35">
        <v>3000</v>
      </c>
      <c r="O35">
        <v>3000</v>
      </c>
      <c r="P35">
        <v>3000</v>
      </c>
      <c r="Q35" s="457"/>
    </row>
    <row r="36" spans="1:17">
      <c r="B36" t="s">
        <v>1478</v>
      </c>
      <c r="D36" s="782">
        <v>-476.97109999999992</v>
      </c>
      <c r="E36" s="782">
        <v>-816.71387000000016</v>
      </c>
      <c r="F36" s="782">
        <v>-943.75879999999995</v>
      </c>
      <c r="G36" s="782">
        <v>-986.20681000000002</v>
      </c>
      <c r="H36" s="782">
        <v>-1030.68841</v>
      </c>
      <c r="J36" s="329">
        <f>H36</f>
        <v>-1030.68841</v>
      </c>
      <c r="L36" s="329">
        <f t="shared" ref="L36" si="4">J36</f>
        <v>-1030.68841</v>
      </c>
      <c r="N36">
        <f>+L36</f>
        <v>-1030.68841</v>
      </c>
      <c r="O36" s="329">
        <f>N36</f>
        <v>-1030.68841</v>
      </c>
      <c r="P36" s="329">
        <f>O36</f>
        <v>-1030.68841</v>
      </c>
    </row>
    <row r="37" spans="1:17">
      <c r="B37" t="s">
        <v>556</v>
      </c>
      <c r="D37" s="782">
        <v>647.49996999999973</v>
      </c>
      <c r="E37" s="782">
        <v>-105.59203999999998</v>
      </c>
      <c r="F37" s="782">
        <v>43.645400000000024</v>
      </c>
      <c r="G37" s="782">
        <v>332.40836000000013</v>
      </c>
      <c r="H37" s="782">
        <v>-182.90026000000012</v>
      </c>
      <c r="I37" s="36"/>
      <c r="J37" s="698">
        <f>H37</f>
        <v>-182.90026000000012</v>
      </c>
      <c r="K37" s="36"/>
      <c r="L37" s="698">
        <f>J37</f>
        <v>-182.90026000000012</v>
      </c>
      <c r="M37" s="36"/>
      <c r="N37" s="433">
        <f>+L37</f>
        <v>-182.90026000000012</v>
      </c>
      <c r="O37" s="698">
        <f>N37</f>
        <v>-182.90026000000012</v>
      </c>
      <c r="P37" s="698">
        <f>O37</f>
        <v>-182.90026000000012</v>
      </c>
    </row>
    <row r="38" spans="1:17">
      <c r="A38" t="s">
        <v>49</v>
      </c>
      <c r="D38" s="935">
        <f>SUM(D34:D37)</f>
        <v>3627.1687299999999</v>
      </c>
      <c r="E38" s="935">
        <f t="shared" ref="E38:P38" si="5">SUM(E34:E37)</f>
        <v>2475.6688399999994</v>
      </c>
      <c r="F38" s="935">
        <f t="shared" si="5"/>
        <v>640.83963999999992</v>
      </c>
      <c r="G38" s="935">
        <f t="shared" si="5"/>
        <v>4371.4988199999989</v>
      </c>
      <c r="H38" s="935">
        <f t="shared" si="5"/>
        <v>2380.5889100000004</v>
      </c>
      <c r="I38" s="339"/>
      <c r="J38" s="935">
        <f t="shared" si="5"/>
        <v>2380.5889100000004</v>
      </c>
      <c r="K38" s="935">
        <f t="shared" si="5"/>
        <v>0</v>
      </c>
      <c r="L38" s="935">
        <f t="shared" si="5"/>
        <v>2026.2992100000004</v>
      </c>
      <c r="M38" s="339"/>
      <c r="N38" s="935">
        <f>SUM(N34:N37)</f>
        <v>2026.2992100000004</v>
      </c>
      <c r="O38" s="935">
        <f>SUM(O34:O37)</f>
        <v>2026.2992100000004</v>
      </c>
      <c r="P38" s="935">
        <f t="shared" si="5"/>
        <v>2026.2992100000004</v>
      </c>
    </row>
    <row r="40" spans="1:17">
      <c r="A40" t="s">
        <v>953</v>
      </c>
    </row>
    <row r="41" spans="1:17" ht="15.75">
      <c r="A41" t="s">
        <v>695</v>
      </c>
      <c r="D41" s="998">
        <v>9455.5509100000017</v>
      </c>
      <c r="E41" s="998">
        <v>9366.1394500000006</v>
      </c>
      <c r="F41" s="998">
        <v>9702.3069600000017</v>
      </c>
      <c r="G41" s="998">
        <v>10832.514029999998</v>
      </c>
      <c r="H41" s="998">
        <v>10252.649559999998</v>
      </c>
      <c r="I41" s="351"/>
      <c r="J41" s="947">
        <f>E!E32/1000</f>
        <v>9867.210989474579</v>
      </c>
      <c r="K41" s="351"/>
      <c r="L41" s="947">
        <f>E!G32/1000</f>
        <v>10241.210798650567</v>
      </c>
      <c r="M41" s="351"/>
      <c r="N41" s="351">
        <v>11222.010777574151</v>
      </c>
      <c r="O41" s="351">
        <v>12056.372438000402</v>
      </c>
      <c r="P41" s="351">
        <v>12885.271329814861</v>
      </c>
      <c r="Q41" s="457"/>
    </row>
    <row r="42" spans="1:17">
      <c r="A42" t="s">
        <v>696</v>
      </c>
      <c r="D42" s="758">
        <f>+D31+D38-D41</f>
        <v>27628.14401999996</v>
      </c>
      <c r="E42" s="758">
        <f>+E31+E38-E41</f>
        <v>28112.540639999985</v>
      </c>
      <c r="F42" s="758">
        <f>+F31+F38-F41</f>
        <v>21061.258510000007</v>
      </c>
      <c r="G42" s="758">
        <f>+G31+G38-G41</f>
        <v>31586.227450000013</v>
      </c>
      <c r="H42" s="758">
        <f>+H31+H38-H41</f>
        <v>32109.395980000001</v>
      </c>
      <c r="I42" s="351"/>
      <c r="J42" s="758">
        <f>+J31+J38-J41</f>
        <v>28037.150040383342</v>
      </c>
      <c r="K42" s="351"/>
      <c r="L42" s="758">
        <f>+L31+L38-L41</f>
        <v>23340.858114569557</v>
      </c>
      <c r="M42" s="351"/>
      <c r="N42" s="758">
        <f>+N31+N38-N41</f>
        <v>16512.31569461443</v>
      </c>
      <c r="O42" s="758">
        <f>+O31+O38-O41</f>
        <v>9512.6398906376562</v>
      </c>
      <c r="P42" s="758">
        <f>+P31+P38-P41</f>
        <v>2142.288984004279</v>
      </c>
    </row>
    <row r="43" spans="1:17">
      <c r="B43" t="s">
        <v>697</v>
      </c>
      <c r="D43" s="998">
        <v>6288.4629999999997</v>
      </c>
      <c r="E43" s="998">
        <v>3380.3330000000001</v>
      </c>
      <c r="F43" s="998">
        <v>3870.1726900000003</v>
      </c>
      <c r="G43" s="998">
        <v>5162.7196800000011</v>
      </c>
      <c r="H43" s="998">
        <v>607.32712000000004</v>
      </c>
      <c r="I43" s="351"/>
      <c r="J43" s="947">
        <f>J42*E!$E$21</f>
        <v>6995.2689350756436</v>
      </c>
      <c r="K43" s="351"/>
      <c r="L43" s="947">
        <f>L42*E!$G$21</f>
        <v>5823.544099585104</v>
      </c>
      <c r="M43" s="351"/>
      <c r="N43" s="758">
        <f>N42*(ROUND(0.05+0.21*(1-0.05),5))</f>
        <v>4119.8227658063006</v>
      </c>
      <c r="O43" s="758">
        <f>O42*(ROUND(0.05+0.21*(1-0.05),5))</f>
        <v>2373.4036527140952</v>
      </c>
      <c r="P43" s="758">
        <f>P42*(ROUND(0.05+0.21*(1-0.05),5))</f>
        <v>534.50110150906755</v>
      </c>
      <c r="Q43" s="639"/>
    </row>
    <row r="45" spans="1:17" ht="15.75" thickBot="1">
      <c r="A45" t="s">
        <v>166</v>
      </c>
      <c r="D45" s="948">
        <f>+D42-D43</f>
        <v>21339.68101999996</v>
      </c>
      <c r="E45" s="948">
        <f>+E42-E43</f>
        <v>24732.207639999986</v>
      </c>
      <c r="F45" s="948">
        <f>+F42-F43</f>
        <v>17191.085820000008</v>
      </c>
      <c r="G45" s="948">
        <f>+G42-G43</f>
        <v>26423.507770000011</v>
      </c>
      <c r="H45" s="948">
        <f>+H42-H43</f>
        <v>31502.068859999999</v>
      </c>
      <c r="I45" s="352"/>
      <c r="J45" s="948">
        <f>+J42-J43</f>
        <v>21041.881105307697</v>
      </c>
      <c r="K45" s="352"/>
      <c r="L45" s="948">
        <f>+L42-L43</f>
        <v>17517.314014984455</v>
      </c>
      <c r="M45" s="352"/>
      <c r="N45" s="948">
        <f>+N42-N43</f>
        <v>12392.492928808129</v>
      </c>
      <c r="O45" s="948">
        <f>+O42-O43</f>
        <v>7139.236237923561</v>
      </c>
      <c r="P45" s="948">
        <f>+P42-P43</f>
        <v>1607.7878824952113</v>
      </c>
    </row>
    <row r="46" spans="1:17" ht="15.75" thickTop="1">
      <c r="D46" s="247"/>
      <c r="E46" s="247"/>
      <c r="F46" s="247"/>
      <c r="G46" s="247"/>
      <c r="H46" s="247"/>
      <c r="J46" s="247"/>
      <c r="K46" s="247"/>
      <c r="L46" s="247"/>
      <c r="M46" s="247"/>
      <c r="N46" s="247"/>
      <c r="O46" s="247"/>
      <c r="P46" s="247"/>
    </row>
    <row r="47" spans="1:17">
      <c r="B47" s="503"/>
    </row>
    <row r="48" spans="1:17">
      <c r="B48" s="503"/>
    </row>
    <row r="51" spans="1:16">
      <c r="A51" t="s">
        <v>1534</v>
      </c>
    </row>
    <row r="52" spans="1:16">
      <c r="A52" t="s">
        <v>1687</v>
      </c>
    </row>
    <row r="53" spans="1:16">
      <c r="A53" t="s">
        <v>1614</v>
      </c>
    </row>
    <row r="54" spans="1:16">
      <c r="A54" t="s">
        <v>1688</v>
      </c>
    </row>
    <row r="55" spans="1:16">
      <c r="O55" s="60"/>
      <c r="P55" s="60"/>
    </row>
    <row r="56" spans="1:16">
      <c r="O56" s="60"/>
      <c r="P56" s="60"/>
    </row>
  </sheetData>
  <mergeCells count="9">
    <mergeCell ref="D11:H11"/>
    <mergeCell ref="O11:P11"/>
    <mergeCell ref="D10:H10"/>
    <mergeCell ref="A1:P1"/>
    <mergeCell ref="A2:P2"/>
    <mergeCell ref="A3:P3"/>
    <mergeCell ref="A4:P4"/>
    <mergeCell ref="A5:P5"/>
    <mergeCell ref="N10:P10"/>
  </mergeCells>
  <phoneticPr fontId="20" type="noConversion"/>
  <printOptions horizontalCentered="1"/>
  <pageMargins left="0.5" right="0.5" top="0.66" bottom="0.5" header="0.5" footer="0.5"/>
  <pageSetup scale="70" orientation="landscape" verticalDpi="300" r:id="rId1"/>
  <headerFooter alignWithMargins="0">
    <oddFooter>&amp;RSchedule &amp;A
Page &amp;P of &amp;N</oddFooter>
  </headerFooter>
  <ignoredErrors>
    <ignoredError sqref="P36" 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92D050"/>
    <pageSetUpPr fitToPage="1"/>
  </sheetPr>
  <dimension ref="A1:T74"/>
  <sheetViews>
    <sheetView view="pageBreakPreview" topLeftCell="A4" zoomScale="80" zoomScaleNormal="100" zoomScaleSheetLayoutView="80" workbookViewId="0">
      <selection activeCell="C43" sqref="C43:C44"/>
    </sheetView>
  </sheetViews>
  <sheetFormatPr defaultColWidth="7.109375" defaultRowHeight="15"/>
  <cols>
    <col min="1" max="1" width="4.44140625" customWidth="1"/>
    <col min="2" max="2" width="0" hidden="1" customWidth="1"/>
    <col min="3" max="3" width="12.33203125" customWidth="1"/>
    <col min="5" max="5" width="4.44140625" customWidth="1"/>
    <col min="6" max="6" width="1.44140625" customWidth="1"/>
    <col min="7" max="7" width="13.33203125" bestFit="1" customWidth="1"/>
    <col min="8" max="8" width="12.88671875" customWidth="1"/>
    <col min="9" max="10" width="13.33203125" bestFit="1" customWidth="1"/>
    <col min="11" max="11" width="13.33203125" customWidth="1"/>
    <col min="12" max="12" width="1.44140625" customWidth="1"/>
    <col min="13" max="13" width="13.109375" bestFit="1" customWidth="1"/>
    <col min="14" max="14" width="1.44140625" customWidth="1"/>
    <col min="15" max="15" width="13.109375" bestFit="1" customWidth="1"/>
    <col min="16" max="16" width="1.44140625" customWidth="1"/>
    <col min="17" max="17" width="13.44140625" customWidth="1"/>
    <col min="18" max="19" width="13.5546875" customWidth="1"/>
    <col min="20" max="20" width="9.33203125" customWidth="1"/>
    <col min="21" max="22" width="11.44140625" bestFit="1" customWidth="1"/>
  </cols>
  <sheetData>
    <row r="1" spans="1:20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37"/>
    </row>
    <row r="2" spans="1:20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37"/>
    </row>
    <row r="3" spans="1:20">
      <c r="A3" s="1053" t="s">
        <v>304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37"/>
    </row>
    <row r="4" spans="1:20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37"/>
    </row>
    <row r="5" spans="1:20">
      <c r="A5" s="1057" t="str">
        <f>'Table of Contents'!A4:C4</f>
        <v>Forecasted Test Period:  Twelve Months Ended March 31, 2026</v>
      </c>
      <c r="B5" s="1057"/>
      <c r="C5" s="1057"/>
      <c r="D5" s="1057"/>
      <c r="E5" s="1057"/>
      <c r="F5" s="1057"/>
      <c r="G5" s="1057"/>
      <c r="H5" s="1057"/>
      <c r="I5" s="1057"/>
      <c r="J5" s="1057"/>
      <c r="K5" s="1057"/>
      <c r="L5" s="1057"/>
      <c r="M5" s="1057"/>
      <c r="N5" s="1057"/>
      <c r="O5" s="1057"/>
      <c r="P5" s="1057"/>
      <c r="Q5" s="1057"/>
      <c r="R5" s="1057"/>
      <c r="S5" s="37"/>
    </row>
    <row r="7" spans="1:20">
      <c r="A7" s="53" t="s">
        <v>653</v>
      </c>
      <c r="S7" s="476" t="s">
        <v>1353</v>
      </c>
    </row>
    <row r="8" spans="1:20">
      <c r="A8" s="53" t="s">
        <v>512</v>
      </c>
      <c r="Q8" s="53"/>
      <c r="S8" s="314" t="s">
        <v>1094</v>
      </c>
    </row>
    <row r="9" spans="1:20">
      <c r="A9" s="54" t="s">
        <v>356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4"/>
      <c r="R9" s="36"/>
      <c r="S9" s="635" t="s">
        <v>1661</v>
      </c>
    </row>
    <row r="10" spans="1:20">
      <c r="M10" s="57" t="s">
        <v>42</v>
      </c>
      <c r="O10" s="57" t="s">
        <v>41</v>
      </c>
      <c r="P10" s="57"/>
    </row>
    <row r="11" spans="1:20">
      <c r="A11" s="53" t="s">
        <v>88</v>
      </c>
      <c r="G11" s="1097" t="s">
        <v>1119</v>
      </c>
      <c r="H11" s="1097"/>
      <c r="I11" s="1097"/>
      <c r="J11" s="1097"/>
      <c r="K11" s="1097"/>
      <c r="M11" s="57" t="s">
        <v>511</v>
      </c>
      <c r="O11" s="57" t="s">
        <v>511</v>
      </c>
      <c r="P11" s="57"/>
      <c r="Q11" s="1097"/>
      <c r="R11" s="1097"/>
      <c r="S11" s="1097"/>
    </row>
    <row r="12" spans="1:20">
      <c r="A12" s="54" t="s">
        <v>94</v>
      </c>
      <c r="B12" s="55"/>
      <c r="C12" s="58" t="s">
        <v>949</v>
      </c>
      <c r="D12" s="55"/>
      <c r="E12" s="55"/>
      <c r="F12" s="55"/>
      <c r="G12" s="949">
        <f>I.1!D13</f>
        <v>2019</v>
      </c>
      <c r="H12" s="949">
        <f>I.1!E13</f>
        <v>2020</v>
      </c>
      <c r="I12" s="949">
        <f>I.1!F13</f>
        <v>2021</v>
      </c>
      <c r="J12" s="949">
        <f>I.1!G13</f>
        <v>2022</v>
      </c>
      <c r="K12" s="949">
        <f>I.1!H13</f>
        <v>2023</v>
      </c>
      <c r="L12" s="512"/>
      <c r="M12" s="950">
        <f>I.1!J13</f>
        <v>45657</v>
      </c>
      <c r="N12" s="511"/>
      <c r="O12" s="950">
        <f>I.1!L13</f>
        <v>46112</v>
      </c>
      <c r="P12" s="513"/>
      <c r="Q12" s="949">
        <f>I.1!O13</f>
        <v>2027</v>
      </c>
      <c r="R12" s="949">
        <f>I.1!P13</f>
        <v>2028</v>
      </c>
      <c r="S12" s="949" t="e">
        <f>I.1!#REF!</f>
        <v>#REF!</v>
      </c>
    </row>
    <row r="13" spans="1:20">
      <c r="G13" s="57"/>
      <c r="H13" s="57"/>
      <c r="I13" s="57"/>
      <c r="J13" s="57"/>
      <c r="K13" s="57"/>
      <c r="M13" s="57"/>
      <c r="O13" s="57"/>
      <c r="P13" s="57"/>
      <c r="Q13" s="57"/>
      <c r="R13" s="57"/>
      <c r="S13" s="57"/>
    </row>
    <row r="15" spans="1:20">
      <c r="A15" s="57" t="s">
        <v>357</v>
      </c>
      <c r="C15" s="53" t="s">
        <v>689</v>
      </c>
      <c r="M15" t="s">
        <v>314</v>
      </c>
    </row>
    <row r="16" spans="1:20">
      <c r="A16" s="57">
        <f>+A15+1</f>
        <v>2</v>
      </c>
      <c r="C16" s="53" t="s">
        <v>125</v>
      </c>
      <c r="G16" s="724">
        <v>97529079.299999997</v>
      </c>
      <c r="H16" s="724">
        <v>88021107.090000004</v>
      </c>
      <c r="I16" s="724">
        <v>97682349.469999999</v>
      </c>
      <c r="J16" s="724">
        <v>134142106.77</v>
      </c>
      <c r="K16" s="724">
        <v>100075448.31999999</v>
      </c>
      <c r="M16" s="688">
        <f>'C.2.1 B'!D15+'C.2.1 B'!D16</f>
        <v>83250290.116398796</v>
      </c>
      <c r="O16" s="688">
        <f>'C.2.1 F'!D15</f>
        <v>103051755.40043777</v>
      </c>
      <c r="Q16" s="724">
        <v>105137089.56675391</v>
      </c>
      <c r="R16" s="724">
        <v>104815040.98490888</v>
      </c>
      <c r="S16" s="724">
        <v>104295358.88034868</v>
      </c>
      <c r="T16" s="60"/>
    </row>
    <row r="17" spans="1:20">
      <c r="A17" s="57">
        <f t="shared" ref="A17:A36" si="0">+A16+1</f>
        <v>3</v>
      </c>
      <c r="C17" s="53" t="s">
        <v>126</v>
      </c>
      <c r="D17" s="57"/>
      <c r="G17" s="937">
        <v>43100803.260000005</v>
      </c>
      <c r="H17" s="937">
        <v>35926641.920000002</v>
      </c>
      <c r="I17" s="937">
        <v>43001906.329999998</v>
      </c>
      <c r="J17" s="937">
        <v>58232723.569999993</v>
      </c>
      <c r="K17" s="937">
        <v>55242801.799999997</v>
      </c>
      <c r="M17" s="695">
        <f>'C.2.1 B'!D17+'C.2.1 B'!D19</f>
        <v>40102483.126228698</v>
      </c>
      <c r="O17" s="695">
        <f>'C.2.1 F'!D16</f>
        <v>51443822.090331733</v>
      </c>
      <c r="Q17" s="951">
        <v>52839456.599848211</v>
      </c>
      <c r="R17" s="951">
        <v>52778411.292634554</v>
      </c>
      <c r="S17" s="951">
        <v>52635220.787074126</v>
      </c>
      <c r="T17" s="60"/>
    </row>
    <row r="18" spans="1:20">
      <c r="A18" s="57">
        <f t="shared" si="0"/>
        <v>4</v>
      </c>
      <c r="C18" s="53" t="s">
        <v>127</v>
      </c>
      <c r="D18" s="57"/>
      <c r="G18" s="937">
        <v>9909683.3900000006</v>
      </c>
      <c r="H18" s="937">
        <v>4916762.0599999996</v>
      </c>
      <c r="I18" s="937">
        <v>5316142.3000000007</v>
      </c>
      <c r="J18" s="937">
        <v>8450851.9100000001</v>
      </c>
      <c r="K18" s="937">
        <v>6550740.9800000004</v>
      </c>
      <c r="M18" s="695">
        <f>'C.2.1 B'!D18+'C.2.1 B'!D20</f>
        <v>4039148.788727595</v>
      </c>
      <c r="O18" s="695">
        <f>'C.2.1 F'!D17</f>
        <v>5130632.042026856</v>
      </c>
      <c r="Q18" s="951">
        <v>5315173.2574277669</v>
      </c>
      <c r="R18" s="951">
        <v>5281061.5743334712</v>
      </c>
      <c r="S18" s="951">
        <v>5242051.5238306923</v>
      </c>
      <c r="T18" s="60"/>
    </row>
    <row r="19" spans="1:20">
      <c r="A19" s="57">
        <f t="shared" si="0"/>
        <v>5</v>
      </c>
      <c r="C19" s="53" t="s">
        <v>157</v>
      </c>
      <c r="D19" s="57"/>
      <c r="G19" s="937">
        <v>6966724.9199999999</v>
      </c>
      <c r="H19" s="937">
        <v>5377005.9000000004</v>
      </c>
      <c r="I19" s="937">
        <v>6333611.8999999994</v>
      </c>
      <c r="J19" s="937">
        <v>8754196.4199999981</v>
      </c>
      <c r="K19" s="937">
        <v>8132819.1500000004</v>
      </c>
      <c r="M19" s="695">
        <f>'C.2.1 B'!D21+'C.2.1 B'!D22</f>
        <v>5408350.5856199618</v>
      </c>
      <c r="O19" s="695">
        <f>'C.2.1 F'!D18</f>
        <v>7198509.0309889168</v>
      </c>
      <c r="Q19" s="951">
        <v>7394869.7441466413</v>
      </c>
      <c r="R19" s="951">
        <v>7362027.7382003721</v>
      </c>
      <c r="S19" s="951">
        <v>7315728.3528845366</v>
      </c>
      <c r="T19" s="60"/>
    </row>
    <row r="20" spans="1:20">
      <c r="A20" s="57">
        <f t="shared" si="0"/>
        <v>6</v>
      </c>
      <c r="C20" s="53" t="s">
        <v>80</v>
      </c>
      <c r="G20" s="246"/>
      <c r="H20" s="246"/>
      <c r="I20" s="246"/>
      <c r="J20" s="246"/>
      <c r="K20" s="246"/>
      <c r="M20" s="246"/>
      <c r="N20" s="55"/>
      <c r="O20" s="62"/>
      <c r="Q20" s="62"/>
      <c r="R20" s="62"/>
      <c r="S20" s="62"/>
      <c r="T20" s="60"/>
    </row>
    <row r="21" spans="1:20">
      <c r="A21" s="57">
        <f t="shared" si="0"/>
        <v>7</v>
      </c>
      <c r="G21" s="60"/>
      <c r="H21" s="60"/>
      <c r="I21" s="60"/>
      <c r="J21" s="60"/>
      <c r="K21" s="60"/>
      <c r="M21" s="60"/>
      <c r="O21" s="60"/>
      <c r="Q21" s="60"/>
      <c r="R21" s="60"/>
      <c r="S21" s="60"/>
      <c r="T21" s="60"/>
    </row>
    <row r="22" spans="1:20">
      <c r="A22" s="57">
        <f t="shared" si="0"/>
        <v>8</v>
      </c>
      <c r="C22" s="53" t="s">
        <v>398</v>
      </c>
      <c r="G22" s="691">
        <f>SUM(G16:G20)</f>
        <v>157506290.86999997</v>
      </c>
      <c r="H22" s="691">
        <f>SUM(H16:H20)</f>
        <v>134241516.97</v>
      </c>
      <c r="I22" s="691">
        <f>SUM(I16:I20)</f>
        <v>152334010.00000003</v>
      </c>
      <c r="J22" s="691">
        <f>SUM(J16:J20)</f>
        <v>209579878.66999996</v>
      </c>
      <c r="K22" s="691">
        <f>SUM(K16:K20)</f>
        <v>170001810.25</v>
      </c>
      <c r="M22" s="691">
        <f>SUM(M16:M20)</f>
        <v>132800272.61697505</v>
      </c>
      <c r="N22" s="209"/>
      <c r="O22" s="691">
        <f>SUM(O16:O20)</f>
        <v>166824718.56378525</v>
      </c>
      <c r="Q22" s="691">
        <f>SUM(Q16:Q20)</f>
        <v>170686589.16817653</v>
      </c>
      <c r="R22" s="691">
        <f>SUM(R16:R20)</f>
        <v>170236541.59007725</v>
      </c>
      <c r="S22" s="691">
        <f>SUM(S16:S20)</f>
        <v>169488359.54413801</v>
      </c>
      <c r="T22" s="60"/>
    </row>
    <row r="23" spans="1:20">
      <c r="A23" s="57">
        <f t="shared" si="0"/>
        <v>9</v>
      </c>
      <c r="G23" s="60"/>
      <c r="H23" s="60"/>
      <c r="I23" s="60"/>
      <c r="J23" s="60"/>
      <c r="K23" s="60"/>
      <c r="M23" s="60"/>
      <c r="O23" s="60"/>
      <c r="Q23" s="60"/>
      <c r="R23" s="60"/>
      <c r="S23" s="60"/>
      <c r="T23" s="60"/>
    </row>
    <row r="24" spans="1:20">
      <c r="A24" s="57">
        <f t="shared" si="0"/>
        <v>10</v>
      </c>
      <c r="C24" s="53" t="s">
        <v>158</v>
      </c>
      <c r="G24" s="60"/>
      <c r="H24" s="60"/>
      <c r="I24" s="60"/>
      <c r="J24" s="60"/>
      <c r="K24" s="60"/>
      <c r="M24" s="60"/>
      <c r="O24" s="60"/>
      <c r="Q24" s="60"/>
      <c r="R24" s="60"/>
      <c r="S24" s="60"/>
      <c r="T24" s="60"/>
    </row>
    <row r="25" spans="1:20">
      <c r="A25" s="57">
        <f t="shared" si="0"/>
        <v>11</v>
      </c>
      <c r="C25" s="53" t="s">
        <v>125</v>
      </c>
      <c r="D25" s="57" t="s">
        <v>314</v>
      </c>
      <c r="G25" s="951">
        <v>158010.5</v>
      </c>
      <c r="H25" s="951">
        <v>159524.5</v>
      </c>
      <c r="I25" s="951">
        <v>160538.58333333334</v>
      </c>
      <c r="J25" s="951">
        <v>160765.66666666666</v>
      </c>
      <c r="K25" s="951">
        <v>160394.08333333334</v>
      </c>
      <c r="M25" s="951">
        <v>160460.25</v>
      </c>
      <c r="N25" s="338"/>
      <c r="O25" s="951">
        <v>160460.25</v>
      </c>
      <c r="Q25" s="951">
        <v>160460.25</v>
      </c>
      <c r="R25" s="951">
        <v>160460.25</v>
      </c>
      <c r="S25" s="951">
        <v>160460.25</v>
      </c>
      <c r="T25" s="60"/>
    </row>
    <row r="26" spans="1:20">
      <c r="A26" s="57">
        <f t="shared" si="0"/>
        <v>12</v>
      </c>
      <c r="C26" s="53" t="s">
        <v>126</v>
      </c>
      <c r="D26" s="57"/>
      <c r="G26" s="951">
        <v>17719.166666666668</v>
      </c>
      <c r="H26" s="951">
        <v>18098.416666666668</v>
      </c>
      <c r="I26" s="951">
        <v>18160.333333333332</v>
      </c>
      <c r="J26" s="951">
        <v>18174.75</v>
      </c>
      <c r="K26" s="951">
        <v>18262</v>
      </c>
      <c r="M26" s="951">
        <v>18313.583333333332</v>
      </c>
      <c r="O26" s="951">
        <v>18401.083333333332</v>
      </c>
      <c r="Q26" s="951">
        <v>18476.083333333336</v>
      </c>
      <c r="R26" s="951">
        <v>18526.083333333336</v>
      </c>
      <c r="S26" s="951">
        <v>18576.083333333336</v>
      </c>
      <c r="T26" s="60"/>
    </row>
    <row r="27" spans="1:20">
      <c r="A27" s="57">
        <f t="shared" si="0"/>
        <v>13</v>
      </c>
      <c r="C27" s="53" t="s">
        <v>127</v>
      </c>
      <c r="D27" s="57"/>
      <c r="G27" s="951">
        <v>221.58333333333334</v>
      </c>
      <c r="H27" s="951">
        <v>224.08333333333334</v>
      </c>
      <c r="I27" s="951">
        <v>223.16666666666666</v>
      </c>
      <c r="J27" s="951">
        <v>216.66666666666666</v>
      </c>
      <c r="K27" s="951">
        <v>216.83333333333334</v>
      </c>
      <c r="M27" s="951">
        <v>216.41666666666666</v>
      </c>
      <c r="O27" s="951">
        <v>216.41666666666666</v>
      </c>
      <c r="Q27" s="951">
        <v>216.41666666666669</v>
      </c>
      <c r="R27" s="951">
        <v>216.41666666666669</v>
      </c>
      <c r="S27" s="951">
        <v>216.41666666666669</v>
      </c>
      <c r="T27" s="60"/>
    </row>
    <row r="28" spans="1:20">
      <c r="A28" s="57">
        <f t="shared" si="0"/>
        <v>14</v>
      </c>
      <c r="C28" s="53" t="s">
        <v>157</v>
      </c>
      <c r="D28" s="57"/>
      <c r="G28" s="951">
        <v>1536.5833333333333</v>
      </c>
      <c r="H28" s="951">
        <v>1533.3333333333333</v>
      </c>
      <c r="I28" s="951">
        <v>1529.1666666666667</v>
      </c>
      <c r="J28" s="951">
        <v>1519.9166666666667</v>
      </c>
      <c r="K28" s="951">
        <v>1508.3333333333333</v>
      </c>
      <c r="M28" s="951">
        <v>1501.5</v>
      </c>
      <c r="O28" s="951">
        <v>1501.5</v>
      </c>
      <c r="Q28" s="951">
        <v>1501.5</v>
      </c>
      <c r="R28" s="951">
        <v>1501.5</v>
      </c>
      <c r="S28" s="951">
        <v>1501.5</v>
      </c>
      <c r="T28" s="60"/>
    </row>
    <row r="29" spans="1:20">
      <c r="A29" s="57">
        <f t="shared" si="0"/>
        <v>15</v>
      </c>
      <c r="G29" s="60"/>
      <c r="H29" s="60"/>
      <c r="I29" s="60"/>
      <c r="J29" s="60"/>
      <c r="K29" s="60"/>
      <c r="M29" s="60"/>
      <c r="O29" s="60"/>
      <c r="Q29" s="60"/>
      <c r="R29" s="60"/>
      <c r="S29" s="60"/>
      <c r="T29" s="60"/>
    </row>
    <row r="30" spans="1:20">
      <c r="A30" s="57">
        <f t="shared" si="0"/>
        <v>16</v>
      </c>
      <c r="C30" s="53" t="s">
        <v>91</v>
      </c>
      <c r="D30" s="57"/>
      <c r="G30" s="794">
        <f>SUM(G25:G29)</f>
        <v>177487.83333333334</v>
      </c>
      <c r="H30" s="794">
        <f>SUM(H25:H29)</f>
        <v>179380.33333333334</v>
      </c>
      <c r="I30" s="794">
        <f>SUM(I25:I29)</f>
        <v>180451.25</v>
      </c>
      <c r="J30" s="794">
        <f>SUM(J25:J29)</f>
        <v>180676.99999999997</v>
      </c>
      <c r="K30" s="794">
        <f>SUM(K25:K29)</f>
        <v>180381.25000000003</v>
      </c>
      <c r="M30" s="794">
        <f>SUM(M25:M29)</f>
        <v>180491.75</v>
      </c>
      <c r="N30" s="338"/>
      <c r="O30" s="794">
        <f>SUM(O25:O29)</f>
        <v>180579.25</v>
      </c>
      <c r="Q30" s="794">
        <f>SUM(Q25:Q29)</f>
        <v>180654.25</v>
      </c>
      <c r="R30" s="794">
        <f>SUM(R25:R29)</f>
        <v>180704.25</v>
      </c>
      <c r="S30" s="794">
        <f>SUM(S25:S29)</f>
        <v>180754.25</v>
      </c>
      <c r="T30" s="60"/>
    </row>
    <row r="31" spans="1:20">
      <c r="A31" s="57">
        <f t="shared" si="0"/>
        <v>17</v>
      </c>
      <c r="G31" s="60"/>
      <c r="H31" s="60"/>
      <c r="I31" s="60"/>
      <c r="J31" s="60"/>
      <c r="K31" s="60"/>
      <c r="M31" s="60"/>
      <c r="O31" s="60"/>
      <c r="P31" s="60"/>
      <c r="Q31" s="60"/>
      <c r="R31" s="60"/>
      <c r="S31" s="60"/>
      <c r="T31" s="60"/>
    </row>
    <row r="32" spans="1:20">
      <c r="A32" s="57">
        <f t="shared" si="0"/>
        <v>18</v>
      </c>
      <c r="C32" s="53" t="s">
        <v>128</v>
      </c>
      <c r="G32" s="60"/>
      <c r="H32" s="60"/>
      <c r="I32" s="60"/>
      <c r="J32" s="60"/>
      <c r="K32" s="60"/>
      <c r="M32" s="60"/>
      <c r="O32" s="60"/>
      <c r="P32" s="60"/>
      <c r="Q32" s="60"/>
      <c r="R32" s="60"/>
      <c r="S32" s="60"/>
      <c r="T32" s="60"/>
    </row>
    <row r="33" spans="1:20">
      <c r="A33" s="57">
        <f t="shared" si="0"/>
        <v>19</v>
      </c>
      <c r="C33" s="53" t="s">
        <v>125</v>
      </c>
      <c r="G33" s="691">
        <f t="shared" ref="G33:J36" si="1">(G16/G25)</f>
        <v>617.23163523943026</v>
      </c>
      <c r="H33" s="691">
        <f t="shared" si="1"/>
        <v>551.77171588063277</v>
      </c>
      <c r="I33" s="691">
        <f t="shared" si="1"/>
        <v>608.4664972231493</v>
      </c>
      <c r="J33" s="691">
        <f t="shared" si="1"/>
        <v>834.39523843192057</v>
      </c>
      <c r="K33" s="691">
        <f t="shared" ref="K33" si="2">(K16/K25)</f>
        <v>623.93478761945175</v>
      </c>
      <c r="L33" s="209"/>
      <c r="M33" s="691">
        <f>(M16/M25)</f>
        <v>518.82188963558758</v>
      </c>
      <c r="N33" s="209"/>
      <c r="O33" s="691">
        <f>(O16/O25)</f>
        <v>642.22606782949526</v>
      </c>
      <c r="P33" s="320"/>
      <c r="Q33" s="691">
        <f t="shared" ref="Q33:R36" si="3">(Q16/Q25)</f>
        <v>655.22202269256036</v>
      </c>
      <c r="R33" s="691">
        <f t="shared" si="3"/>
        <v>653.2149924040931</v>
      </c>
      <c r="S33" s="691">
        <f t="shared" ref="S33" si="4">(S16/S25)</f>
        <v>649.97629556446964</v>
      </c>
      <c r="T33" s="60"/>
    </row>
    <row r="34" spans="1:20">
      <c r="A34" s="57">
        <f t="shared" si="0"/>
        <v>20</v>
      </c>
      <c r="C34" s="53" t="s">
        <v>126</v>
      </c>
      <c r="G34" s="359">
        <f t="shared" si="1"/>
        <v>2432.4396327893523</v>
      </c>
      <c r="H34" s="359">
        <f t="shared" si="1"/>
        <v>1985.0709916613332</v>
      </c>
      <c r="I34" s="359">
        <f t="shared" si="1"/>
        <v>2367.9029201005856</v>
      </c>
      <c r="J34" s="359">
        <f t="shared" si="1"/>
        <v>3204.0453689871933</v>
      </c>
      <c r="K34" s="359">
        <f t="shared" ref="K34" si="5">(K17/K26)</f>
        <v>3025.0137881940641</v>
      </c>
      <c r="M34" s="359">
        <f>(M17/M26)</f>
        <v>2189.7671469480506</v>
      </c>
      <c r="O34" s="359">
        <f>(O17/O26)</f>
        <v>2795.6952945885469</v>
      </c>
      <c r="P34" s="60"/>
      <c r="Q34" s="359">
        <f t="shared" si="3"/>
        <v>2859.8840807628712</v>
      </c>
      <c r="R34" s="359">
        <f t="shared" si="3"/>
        <v>2848.8704462249825</v>
      </c>
      <c r="S34" s="359">
        <f t="shared" ref="S34" si="6">(S17/S26)</f>
        <v>2833.4940063831605</v>
      </c>
      <c r="T34" s="60"/>
    </row>
    <row r="35" spans="1:20">
      <c r="A35" s="57">
        <f t="shared" si="0"/>
        <v>21</v>
      </c>
      <c r="C35" s="53" t="s">
        <v>127</v>
      </c>
      <c r="G35" s="359">
        <f t="shared" si="1"/>
        <v>44722.151440391128</v>
      </c>
      <c r="H35" s="359">
        <f t="shared" si="1"/>
        <v>21941.667802156931</v>
      </c>
      <c r="I35" s="359">
        <f t="shared" si="1"/>
        <v>23821.399402539213</v>
      </c>
      <c r="J35" s="359">
        <f t="shared" si="1"/>
        <v>39003.931892307693</v>
      </c>
      <c r="K35" s="359">
        <f t="shared" ref="K35" si="7">(K18/K27)</f>
        <v>30210.949946195236</v>
      </c>
      <c r="M35" s="359">
        <f>(M18/M27)</f>
        <v>18663.760286765937</v>
      </c>
      <c r="O35" s="359">
        <f>(O18/O27)</f>
        <v>23707.194649334724</v>
      </c>
      <c r="P35" s="60"/>
      <c r="Q35" s="359">
        <f t="shared" si="3"/>
        <v>24559.907234937695</v>
      </c>
      <c r="R35" s="359">
        <f t="shared" si="3"/>
        <v>24402.286827878957</v>
      </c>
      <c r="S35" s="359">
        <f t="shared" ref="S35" si="8">(S18/S27)</f>
        <v>24222.032455128341</v>
      </c>
      <c r="T35" s="60"/>
    </row>
    <row r="36" spans="1:20">
      <c r="A36" s="57">
        <f t="shared" si="0"/>
        <v>22</v>
      </c>
      <c r="C36" s="53" t="s">
        <v>157</v>
      </c>
      <c r="G36" s="359">
        <f t="shared" si="1"/>
        <v>4533.906341992516</v>
      </c>
      <c r="H36" s="359">
        <f t="shared" si="1"/>
        <v>3506.7429782608701</v>
      </c>
      <c r="I36" s="359">
        <f t="shared" si="1"/>
        <v>4141.8715422343321</v>
      </c>
      <c r="J36" s="359">
        <f t="shared" si="1"/>
        <v>5759.6555205877503</v>
      </c>
      <c r="K36" s="359">
        <f t="shared" ref="K36" si="9">(K19/K28)</f>
        <v>5391.924298342542</v>
      </c>
      <c r="M36" s="359">
        <f>(M19/M28)</f>
        <v>3601.9650919879864</v>
      </c>
      <c r="O36" s="359">
        <f>(O19/O28)</f>
        <v>4794.2118088504276</v>
      </c>
      <c r="P36" s="60"/>
      <c r="Q36" s="359">
        <f t="shared" si="3"/>
        <v>4924.9881745898374</v>
      </c>
      <c r="R36" s="359">
        <f t="shared" si="3"/>
        <v>4903.1153767568248</v>
      </c>
      <c r="S36" s="359">
        <f t="shared" ref="S36" si="10">(S19/S28)</f>
        <v>4872.2799553010564</v>
      </c>
      <c r="T36" s="60"/>
    </row>
    <row r="37" spans="1:20">
      <c r="H37" s="60"/>
      <c r="I37" s="60"/>
      <c r="J37" s="60"/>
      <c r="K37" s="60"/>
      <c r="M37" s="60"/>
    </row>
    <row r="38" spans="1:20">
      <c r="A38" s="53"/>
      <c r="C38" s="53" t="s">
        <v>1187</v>
      </c>
      <c r="G38" s="60"/>
      <c r="H38" s="60"/>
      <c r="I38" s="60"/>
      <c r="J38" s="60"/>
      <c r="K38" s="60"/>
      <c r="M38" s="60"/>
      <c r="O38" s="60"/>
      <c r="P38" s="60"/>
      <c r="Q38" s="60"/>
      <c r="R38" s="60"/>
      <c r="S38" s="60"/>
      <c r="T38" s="60"/>
    </row>
    <row r="39" spans="1:20">
      <c r="C39" s="53"/>
      <c r="G39" s="60"/>
      <c r="H39" s="60"/>
      <c r="I39" s="60"/>
      <c r="J39" s="60"/>
      <c r="K39" s="60"/>
      <c r="M39" s="60"/>
      <c r="O39" s="60"/>
      <c r="P39" s="60"/>
      <c r="Q39" s="60"/>
      <c r="R39" s="60"/>
      <c r="S39" s="60"/>
      <c r="T39" s="60"/>
    </row>
    <row r="40" spans="1:20">
      <c r="R40" s="60"/>
      <c r="S40" s="60"/>
      <c r="T40" s="60"/>
    </row>
    <row r="42" spans="1:20">
      <c r="C42" t="s">
        <v>1534</v>
      </c>
      <c r="R42" s="60"/>
      <c r="S42" s="60"/>
      <c r="T42" s="60"/>
    </row>
    <row r="43" spans="1:20">
      <c r="C43" t="s">
        <v>1687</v>
      </c>
      <c r="R43" s="60"/>
      <c r="S43" s="60"/>
      <c r="T43" s="60"/>
    </row>
    <row r="44" spans="1:20">
      <c r="C44" t="s">
        <v>1614</v>
      </c>
    </row>
    <row r="71" spans="9:11">
      <c r="I71" s="60"/>
      <c r="J71" s="60"/>
      <c r="K71" s="60"/>
    </row>
    <row r="72" spans="9:11">
      <c r="I72" s="60"/>
      <c r="J72" s="60"/>
      <c r="K72" s="60"/>
    </row>
    <row r="73" spans="9:11">
      <c r="I73" s="60"/>
      <c r="J73" s="60"/>
      <c r="K73" s="60"/>
    </row>
    <row r="74" spans="9:11">
      <c r="I74" s="60"/>
      <c r="J74" s="60"/>
      <c r="K74" s="60"/>
    </row>
  </sheetData>
  <mergeCells count="7">
    <mergeCell ref="G11:K11"/>
    <mergeCell ref="Q11:S11"/>
    <mergeCell ref="A1:R1"/>
    <mergeCell ref="A2:R2"/>
    <mergeCell ref="A4:R4"/>
    <mergeCell ref="A5:R5"/>
    <mergeCell ref="A3:R3"/>
  </mergeCells>
  <phoneticPr fontId="20" type="noConversion"/>
  <pageMargins left="0.5" right="0.5" top="0.75" bottom="0.5" header="0.5" footer="0.5"/>
  <pageSetup scale="64" orientation="landscape" verticalDpi="300" r:id="rId1"/>
  <headerFooter alignWithMargins="0">
    <oddFooter>&amp;RSchedule &amp;A
Page &amp;P of &amp;N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92D050"/>
    <pageSetUpPr fitToPage="1"/>
  </sheetPr>
  <dimension ref="A1:T74"/>
  <sheetViews>
    <sheetView view="pageBreakPreview" topLeftCell="A10" zoomScale="80" zoomScaleNormal="100" zoomScaleSheetLayoutView="80" workbookViewId="0">
      <selection activeCell="C48" sqref="C48:C49"/>
    </sheetView>
  </sheetViews>
  <sheetFormatPr defaultColWidth="7.109375" defaultRowHeight="15"/>
  <cols>
    <col min="1" max="1" width="4" style="45" customWidth="1"/>
    <col min="2" max="2" width="0" style="45" hidden="1" customWidth="1"/>
    <col min="3" max="3" width="16.44140625" style="45" customWidth="1"/>
    <col min="4" max="4" width="5" style="45" customWidth="1"/>
    <col min="5" max="5" width="3.21875" style="45" customWidth="1"/>
    <col min="6" max="6" width="1.44140625" style="45" customWidth="1"/>
    <col min="7" max="8" width="11.44140625" style="45" customWidth="1"/>
    <col min="9" max="9" width="12.88671875" style="45" customWidth="1"/>
    <col min="10" max="11" width="11.44140625" style="45" customWidth="1"/>
    <col min="12" max="12" width="1.44140625" style="45" customWidth="1"/>
    <col min="13" max="13" width="12.109375" style="45" customWidth="1"/>
    <col min="14" max="14" width="1.44140625" style="45" customWidth="1"/>
    <col min="15" max="15" width="12.88671875" style="45" customWidth="1"/>
    <col min="16" max="16" width="1.5546875" style="45" customWidth="1"/>
    <col min="17" max="17" width="12.33203125" style="45" customWidth="1"/>
    <col min="18" max="19" width="12.88671875" style="45" customWidth="1"/>
    <col min="20" max="20" width="9.33203125" style="45" customWidth="1"/>
    <col min="21" max="16384" width="7.109375" style="45"/>
  </cols>
  <sheetData>
    <row r="1" spans="1:20">
      <c r="A1" s="1075" t="str">
        <f>'Table of Contents'!A1:C1</f>
        <v>Atmos Energy Corporation, Kentucky/Mid-States Division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300"/>
    </row>
    <row r="2" spans="1:20">
      <c r="A2" s="1075" t="str">
        <f>'Table of Contents'!A2:C2</f>
        <v xml:space="preserve">Kentucky Jurisdiction Case No. 2024-00276 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  <c r="S2" s="300"/>
    </row>
    <row r="3" spans="1:20">
      <c r="A3" s="1054" t="s">
        <v>1093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  <c r="M3" s="1054"/>
      <c r="N3" s="1054"/>
      <c r="O3" s="1054"/>
      <c r="P3" s="1054"/>
      <c r="Q3" s="1054"/>
      <c r="R3" s="1054"/>
      <c r="S3" s="300"/>
    </row>
    <row r="4" spans="1:20">
      <c r="A4" s="1075" t="str">
        <f>'Table of Contents'!A3:C3</f>
        <v>Base Period: Twelve Months Ended December 31, 2024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300"/>
    </row>
    <row r="5" spans="1:20">
      <c r="A5" s="1075" t="str">
        <f>'Table of Contents'!A4:C4</f>
        <v>Forecasted Test Period:  Twelve Months Ended March 31, 2026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300"/>
    </row>
    <row r="7" spans="1:20">
      <c r="A7" s="48" t="s">
        <v>653</v>
      </c>
      <c r="S7" s="286" t="s">
        <v>1354</v>
      </c>
    </row>
    <row r="8" spans="1:20">
      <c r="A8" s="48" t="s">
        <v>512</v>
      </c>
      <c r="S8" s="378" t="s">
        <v>1094</v>
      </c>
    </row>
    <row r="9" spans="1:20">
      <c r="A9" s="129" t="s">
        <v>1091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379"/>
      <c r="S9" s="952" t="str">
        <f>I.2!S9</f>
        <v>Witness: Wiebe; Waller</v>
      </c>
    </row>
    <row r="10" spans="1:20">
      <c r="M10" s="131" t="s">
        <v>42</v>
      </c>
      <c r="O10" s="131" t="s">
        <v>41</v>
      </c>
      <c r="P10" s="131"/>
    </row>
    <row r="11" spans="1:20">
      <c r="A11" s="48" t="s">
        <v>88</v>
      </c>
      <c r="G11" s="379"/>
      <c r="H11" s="514"/>
      <c r="I11" s="514" t="s">
        <v>1119</v>
      </c>
      <c r="J11" s="515"/>
      <c r="K11" s="515"/>
      <c r="M11" s="131" t="s">
        <v>511</v>
      </c>
      <c r="O11" s="131" t="s">
        <v>511</v>
      </c>
      <c r="P11" s="131"/>
      <c r="Q11" s="1098"/>
      <c r="R11" s="1098"/>
      <c r="S11" s="1098"/>
    </row>
    <row r="12" spans="1:20">
      <c r="A12" s="129" t="s">
        <v>54</v>
      </c>
      <c r="B12" s="130"/>
      <c r="C12" s="516" t="s">
        <v>949</v>
      </c>
      <c r="D12" s="130"/>
      <c r="E12" s="130"/>
      <c r="F12" s="130"/>
      <c r="G12" s="953">
        <f>I.1!D13</f>
        <v>2019</v>
      </c>
      <c r="H12" s="953">
        <f>I.1!E13</f>
        <v>2020</v>
      </c>
      <c r="I12" s="953">
        <f>I.1!F13</f>
        <v>2021</v>
      </c>
      <c r="J12" s="953">
        <f>I.1!G13</f>
        <v>2022</v>
      </c>
      <c r="K12" s="953">
        <f>I.1!H13</f>
        <v>2023</v>
      </c>
      <c r="L12" s="517"/>
      <c r="M12" s="1045">
        <f>I.2!M12</f>
        <v>45657</v>
      </c>
      <c r="N12" s="1046"/>
      <c r="O12" s="1045">
        <f>I.2!O12</f>
        <v>46112</v>
      </c>
      <c r="P12" s="518"/>
      <c r="Q12" s="953">
        <f>I.2!Q12</f>
        <v>2027</v>
      </c>
      <c r="R12" s="953">
        <f>I.2!R12</f>
        <v>2028</v>
      </c>
      <c r="S12" s="953" t="e">
        <f>I.2!S12</f>
        <v>#REF!</v>
      </c>
    </row>
    <row r="13" spans="1:20">
      <c r="G13" s="131" t="s">
        <v>537</v>
      </c>
      <c r="H13" s="131" t="s">
        <v>537</v>
      </c>
      <c r="I13" s="131" t="s">
        <v>537</v>
      </c>
      <c r="J13" s="131" t="s">
        <v>537</v>
      </c>
      <c r="K13" s="131"/>
      <c r="M13" s="131" t="s">
        <v>537</v>
      </c>
      <c r="O13" s="131" t="s">
        <v>537</v>
      </c>
      <c r="P13" s="131"/>
      <c r="Q13" s="131" t="s">
        <v>537</v>
      </c>
      <c r="R13" s="131" t="s">
        <v>537</v>
      </c>
      <c r="S13" s="131"/>
    </row>
    <row r="15" spans="1:20">
      <c r="A15" s="131">
        <v>1</v>
      </c>
      <c r="C15" s="48" t="s">
        <v>331</v>
      </c>
      <c r="M15" s="45" t="s">
        <v>314</v>
      </c>
      <c r="T15" s="46"/>
    </row>
    <row r="16" spans="1:20">
      <c r="A16" s="131">
        <v>2</v>
      </c>
      <c r="C16" s="48" t="s">
        <v>125</v>
      </c>
      <c r="G16" s="850">
        <v>9772863.9399999976</v>
      </c>
      <c r="H16" s="850">
        <v>9443233.7599999998</v>
      </c>
      <c r="I16" s="850">
        <v>9292340.129999999</v>
      </c>
      <c r="J16" s="850">
        <v>10696568.350000001</v>
      </c>
      <c r="K16" s="850">
        <v>7934228.2600000007</v>
      </c>
      <c r="M16" s="850">
        <v>9938592.6546000019</v>
      </c>
      <c r="O16" s="850">
        <v>9938592.8194675054</v>
      </c>
      <c r="Q16" s="850">
        <v>9938592.8194675092</v>
      </c>
      <c r="R16" s="850">
        <v>9938592.8194675092</v>
      </c>
      <c r="S16" s="850">
        <v>9938592.8194675092</v>
      </c>
      <c r="T16" s="46"/>
    </row>
    <row r="17" spans="1:20">
      <c r="A17" s="131">
        <v>3</v>
      </c>
      <c r="C17" s="48" t="s">
        <v>126</v>
      </c>
      <c r="D17" s="131"/>
      <c r="G17" s="850">
        <v>5129771.59</v>
      </c>
      <c r="H17" s="850">
        <v>4677889.3999999994</v>
      </c>
      <c r="I17" s="850">
        <v>5253753.8499999996</v>
      </c>
      <c r="J17" s="850">
        <v>5199931.79</v>
      </c>
      <c r="K17" s="850">
        <v>4873727.0399999991</v>
      </c>
      <c r="M17" s="850">
        <v>5586228.9812000012</v>
      </c>
      <c r="O17" s="850">
        <v>5614138.4690165361</v>
      </c>
      <c r="Q17" s="850">
        <v>5633205.6469307104</v>
      </c>
      <c r="R17" s="850">
        <v>5648443.5393401589</v>
      </c>
      <c r="S17" s="850">
        <v>5663676.8121496076</v>
      </c>
      <c r="T17" s="46"/>
    </row>
    <row r="18" spans="1:20">
      <c r="A18" s="131">
        <v>4</v>
      </c>
      <c r="C18" s="48" t="s">
        <v>127</v>
      </c>
      <c r="D18" s="131"/>
      <c r="G18" s="850">
        <v>1997153.74</v>
      </c>
      <c r="H18" s="850">
        <v>1175061.74</v>
      </c>
      <c r="I18" s="850">
        <v>948854.43</v>
      </c>
      <c r="J18" s="850">
        <v>1048616.31</v>
      </c>
      <c r="K18" s="850">
        <v>823444.28</v>
      </c>
      <c r="M18" s="850">
        <v>825382.21760000009</v>
      </c>
      <c r="O18" s="850">
        <v>825382.21759999997</v>
      </c>
      <c r="Q18" s="850">
        <v>825382.21760000009</v>
      </c>
      <c r="R18" s="850">
        <v>825382.21760000009</v>
      </c>
      <c r="S18" s="850">
        <v>825382.21760000009</v>
      </c>
      <c r="T18" s="46"/>
    </row>
    <row r="19" spans="1:20">
      <c r="A19" s="131">
        <v>5</v>
      </c>
      <c r="C19" s="48" t="s">
        <v>157</v>
      </c>
      <c r="D19" s="131"/>
      <c r="G19" s="850">
        <v>956097.75000000012</v>
      </c>
      <c r="H19" s="850">
        <v>838413.99000000011</v>
      </c>
      <c r="I19" s="850">
        <v>910621.13</v>
      </c>
      <c r="J19" s="850">
        <v>891722.74000000011</v>
      </c>
      <c r="K19" s="850">
        <v>818992.22999999986</v>
      </c>
      <c r="M19" s="850">
        <v>915391.3162</v>
      </c>
      <c r="O19" s="850">
        <v>915391.3162</v>
      </c>
      <c r="Q19" s="850">
        <v>915391.3162</v>
      </c>
      <c r="R19" s="850">
        <v>915391.3162</v>
      </c>
      <c r="S19" s="850">
        <v>915391.3162</v>
      </c>
      <c r="T19" s="46"/>
    </row>
    <row r="20" spans="1:20">
      <c r="A20" s="131">
        <v>6</v>
      </c>
      <c r="C20" s="48" t="s">
        <v>80</v>
      </c>
      <c r="G20" s="265"/>
      <c r="H20" s="265"/>
      <c r="I20" s="265"/>
      <c r="J20" s="265"/>
      <c r="K20" s="265"/>
      <c r="L20" s="130"/>
      <c r="M20" s="46"/>
      <c r="O20" s="46"/>
      <c r="Q20" s="379"/>
      <c r="R20" s="265"/>
      <c r="S20" s="265"/>
      <c r="T20" s="46"/>
    </row>
    <row r="21" spans="1:20">
      <c r="A21" s="131">
        <v>7</v>
      </c>
      <c r="G21" s="395"/>
      <c r="H21" s="395"/>
      <c r="I21" s="395"/>
      <c r="J21" s="395"/>
      <c r="K21" s="395"/>
      <c r="M21" s="395"/>
      <c r="O21" s="395"/>
      <c r="Q21" s="395"/>
      <c r="R21" s="395"/>
      <c r="S21" s="395"/>
      <c r="T21" s="46"/>
    </row>
    <row r="22" spans="1:20">
      <c r="A22" s="131">
        <v>8</v>
      </c>
      <c r="C22" s="48" t="s">
        <v>398</v>
      </c>
      <c r="G22" s="841">
        <f>SUM(G16:G20)</f>
        <v>17855887.019999996</v>
      </c>
      <c r="H22" s="841">
        <f>SUM(H16:H20)</f>
        <v>16134598.890000001</v>
      </c>
      <c r="I22" s="841">
        <f>SUM(I16:I20)</f>
        <v>16405569.539999999</v>
      </c>
      <c r="J22" s="841">
        <f>SUM(J16:J20)</f>
        <v>17836839.189999998</v>
      </c>
      <c r="K22" s="841">
        <f>SUM(K16:K20)</f>
        <v>14450391.810000001</v>
      </c>
      <c r="M22" s="841">
        <f>SUM(M16:M20)</f>
        <v>17265595.169600002</v>
      </c>
      <c r="O22" s="841">
        <f>SUM(O16:O20)</f>
        <v>17293504.822284039</v>
      </c>
      <c r="Q22" s="841">
        <f>SUM(Q16:Q20)</f>
        <v>17312572.000198219</v>
      </c>
      <c r="R22" s="841">
        <f>SUM(R16:R20)</f>
        <v>17327809.892607667</v>
      </c>
      <c r="S22" s="841">
        <f>SUM(S16:S20)</f>
        <v>17343043.165417116</v>
      </c>
      <c r="T22" s="46"/>
    </row>
    <row r="23" spans="1:20">
      <c r="A23" s="131">
        <v>9</v>
      </c>
      <c r="G23" s="46"/>
      <c r="H23" s="46"/>
      <c r="I23" s="46"/>
      <c r="J23" s="46"/>
      <c r="K23" s="46"/>
      <c r="M23" s="46"/>
      <c r="O23" s="46"/>
      <c r="Q23" s="46"/>
      <c r="R23" s="46"/>
      <c r="S23" s="46"/>
      <c r="T23" s="46"/>
    </row>
    <row r="24" spans="1:20">
      <c r="A24" s="131">
        <v>10</v>
      </c>
      <c r="C24" s="48" t="s">
        <v>158</v>
      </c>
      <c r="G24" s="46"/>
      <c r="H24" s="46"/>
      <c r="I24" s="46"/>
      <c r="J24" s="46"/>
      <c r="K24" s="46"/>
      <c r="M24" s="46"/>
      <c r="O24" s="46"/>
      <c r="Q24" s="46"/>
      <c r="R24" s="46"/>
      <c r="S24" s="46"/>
      <c r="T24" s="46"/>
    </row>
    <row r="25" spans="1:20">
      <c r="A25" s="131">
        <v>11</v>
      </c>
      <c r="C25" s="48" t="s">
        <v>125</v>
      </c>
      <c r="D25" s="131" t="s">
        <v>314</v>
      </c>
      <c r="G25" s="840">
        <f>I.2!G25</f>
        <v>158010.5</v>
      </c>
      <c r="H25" s="840">
        <f>I.2!H25</f>
        <v>159524.5</v>
      </c>
      <c r="I25" s="840">
        <f>I.2!I25</f>
        <v>160538.58333333334</v>
      </c>
      <c r="J25" s="840">
        <f>I.2!J25</f>
        <v>160765.66666666666</v>
      </c>
      <c r="K25" s="840">
        <f>I.2!K25</f>
        <v>160394.08333333334</v>
      </c>
      <c r="M25" s="840">
        <f>I.2!M25</f>
        <v>160460.25</v>
      </c>
      <c r="O25" s="840">
        <f>I.2!O25</f>
        <v>160460.25</v>
      </c>
      <c r="Q25" s="840">
        <f>I.2!Q25</f>
        <v>160460.25</v>
      </c>
      <c r="R25" s="840">
        <f>I.2!R25</f>
        <v>160460.25</v>
      </c>
      <c r="S25" s="840">
        <f>I.2!S25</f>
        <v>160460.25</v>
      </c>
      <c r="T25" s="46"/>
    </row>
    <row r="26" spans="1:20">
      <c r="A26" s="131">
        <v>12</v>
      </c>
      <c r="C26" s="48" t="s">
        <v>126</v>
      </c>
      <c r="D26" s="131"/>
      <c r="G26" s="840">
        <f>I.2!G26</f>
        <v>17719.166666666668</v>
      </c>
      <c r="H26" s="840">
        <f>I.2!H26</f>
        <v>18098.416666666668</v>
      </c>
      <c r="I26" s="840">
        <f>I.2!I26</f>
        <v>18160.333333333332</v>
      </c>
      <c r="J26" s="840">
        <f>I.2!J26</f>
        <v>18174.75</v>
      </c>
      <c r="K26" s="840">
        <f>I.2!K26</f>
        <v>18262</v>
      </c>
      <c r="M26" s="840">
        <f>I.2!M26</f>
        <v>18313.583333333332</v>
      </c>
      <c r="O26" s="840">
        <f>I.2!O26</f>
        <v>18401.083333333332</v>
      </c>
      <c r="Q26" s="840">
        <f>I.2!Q26</f>
        <v>18476.083333333336</v>
      </c>
      <c r="R26" s="840">
        <f>I.2!R26</f>
        <v>18526.083333333336</v>
      </c>
      <c r="S26" s="840">
        <f>I.2!S26</f>
        <v>18576.083333333336</v>
      </c>
      <c r="T26" s="46"/>
    </row>
    <row r="27" spans="1:20">
      <c r="A27" s="131">
        <v>13</v>
      </c>
      <c r="C27" s="48" t="s">
        <v>127</v>
      </c>
      <c r="D27" s="131"/>
      <c r="G27" s="840">
        <f>I.2!G27</f>
        <v>221.58333333333334</v>
      </c>
      <c r="H27" s="840">
        <f>I.2!H27</f>
        <v>224.08333333333334</v>
      </c>
      <c r="I27" s="840">
        <f>I.2!I27</f>
        <v>223.16666666666666</v>
      </c>
      <c r="J27" s="840">
        <f>I.2!J27</f>
        <v>216.66666666666666</v>
      </c>
      <c r="K27" s="840">
        <f>I.2!K27</f>
        <v>216.83333333333334</v>
      </c>
      <c r="M27" s="840">
        <f>I.2!M27</f>
        <v>216.41666666666666</v>
      </c>
      <c r="O27" s="840">
        <f>I.2!O27</f>
        <v>216.41666666666666</v>
      </c>
      <c r="Q27" s="840">
        <f>I.2!Q27</f>
        <v>216.41666666666669</v>
      </c>
      <c r="R27" s="840">
        <f>I.2!R27</f>
        <v>216.41666666666669</v>
      </c>
      <c r="S27" s="840">
        <f>I.2!S27</f>
        <v>216.41666666666669</v>
      </c>
      <c r="T27" s="46"/>
    </row>
    <row r="28" spans="1:20">
      <c r="A28" s="131">
        <v>14</v>
      </c>
      <c r="C28" s="48" t="s">
        <v>157</v>
      </c>
      <c r="D28" s="131"/>
      <c r="G28" s="840">
        <f>I.2!G28</f>
        <v>1536.5833333333333</v>
      </c>
      <c r="H28" s="840">
        <f>I.2!H28</f>
        <v>1533.3333333333333</v>
      </c>
      <c r="I28" s="840">
        <f>I.2!I28</f>
        <v>1529.1666666666667</v>
      </c>
      <c r="J28" s="840">
        <f>I.2!J28</f>
        <v>1519.9166666666667</v>
      </c>
      <c r="K28" s="840">
        <f>I.2!K28</f>
        <v>1508.3333333333333</v>
      </c>
      <c r="M28" s="840">
        <f>I.2!M28</f>
        <v>1501.5</v>
      </c>
      <c r="O28" s="840">
        <f>I.2!O28</f>
        <v>1501.5</v>
      </c>
      <c r="Q28" s="843">
        <f>I.2!Q28</f>
        <v>1501.5</v>
      </c>
      <c r="R28" s="843">
        <f>I.2!R28</f>
        <v>1501.5</v>
      </c>
      <c r="S28" s="843">
        <f>I.2!S28</f>
        <v>1501.5</v>
      </c>
      <c r="T28" s="46"/>
    </row>
    <row r="29" spans="1:20">
      <c r="A29" s="131">
        <v>15</v>
      </c>
      <c r="G29" s="395"/>
      <c r="H29" s="395"/>
      <c r="I29" s="395"/>
      <c r="J29" s="395"/>
      <c r="K29" s="395"/>
      <c r="M29" s="395"/>
      <c r="O29" s="395"/>
      <c r="Q29" s="395"/>
      <c r="R29" s="395"/>
      <c r="S29" s="395"/>
      <c r="T29" s="46"/>
    </row>
    <row r="30" spans="1:20">
      <c r="A30" s="131">
        <v>16</v>
      </c>
      <c r="C30" s="48" t="s">
        <v>91</v>
      </c>
      <c r="D30" s="131"/>
      <c r="G30" s="841">
        <f>SUM(G25:G29)</f>
        <v>177487.83333333334</v>
      </c>
      <c r="H30" s="841">
        <f>SUM(H25:H29)</f>
        <v>179380.33333333334</v>
      </c>
      <c r="I30" s="841">
        <f>SUM(I25:I29)</f>
        <v>180451.25</v>
      </c>
      <c r="J30" s="841">
        <f>SUM(J25:J29)</f>
        <v>180676.99999999997</v>
      </c>
      <c r="K30" s="841">
        <f>SUM(K25:K29)</f>
        <v>180381.25000000003</v>
      </c>
      <c r="M30" s="841">
        <f>SUM(M25:M29)</f>
        <v>180491.75</v>
      </c>
      <c r="O30" s="841">
        <f>SUM(O25:O29)</f>
        <v>180579.25</v>
      </c>
      <c r="Q30" s="841">
        <f>SUM(Q25:Q29)</f>
        <v>180654.25</v>
      </c>
      <c r="R30" s="841">
        <f>SUM(R25:R29)</f>
        <v>180704.25</v>
      </c>
      <c r="S30" s="841">
        <f>SUM(S25:S29)</f>
        <v>180754.25</v>
      </c>
      <c r="T30" s="46"/>
    </row>
    <row r="31" spans="1:20">
      <c r="A31" s="131">
        <v>17</v>
      </c>
      <c r="G31" s="46"/>
      <c r="H31" s="46"/>
      <c r="I31" s="46"/>
      <c r="J31" s="46"/>
      <c r="K31" s="46"/>
      <c r="M31" s="46"/>
      <c r="O31" s="46"/>
      <c r="Q31" s="46"/>
      <c r="R31" s="46"/>
      <c r="S31" s="46"/>
      <c r="T31" s="46"/>
    </row>
    <row r="32" spans="1:20">
      <c r="A32" s="131">
        <v>18</v>
      </c>
      <c r="C32" s="48" t="s">
        <v>332</v>
      </c>
      <c r="G32" s="46"/>
      <c r="H32" s="46"/>
      <c r="I32" s="46"/>
      <c r="J32" s="46"/>
      <c r="K32" s="46"/>
      <c r="M32" s="46"/>
      <c r="O32" s="46"/>
      <c r="Q32" s="46"/>
      <c r="R32" s="46"/>
      <c r="S32" s="46"/>
      <c r="T32" s="46"/>
    </row>
    <row r="33" spans="1:20">
      <c r="A33" s="131">
        <v>19</v>
      </c>
      <c r="C33" s="48" t="s">
        <v>125</v>
      </c>
      <c r="G33" s="841">
        <f t="shared" ref="G33:J36" si="0">(G16/G25)</f>
        <v>61.849458991649271</v>
      </c>
      <c r="H33" s="841">
        <f t="shared" si="0"/>
        <v>59.1961345122536</v>
      </c>
      <c r="I33" s="841">
        <f t="shared" si="0"/>
        <v>57.882285598010434</v>
      </c>
      <c r="J33" s="841">
        <f t="shared" si="0"/>
        <v>66.535153753807322</v>
      </c>
      <c r="K33" s="841">
        <f t="shared" ref="K33" si="1">(K16/K25)</f>
        <v>49.46708815630668</v>
      </c>
      <c r="M33" s="841">
        <f>(M16/M25)</f>
        <v>61.938035461118886</v>
      </c>
      <c r="O33" s="841">
        <f>(O16/O25)</f>
        <v>61.938036488585212</v>
      </c>
      <c r="Q33" s="841">
        <f t="shared" ref="Q33:R36" si="2">(Q16/Q25)</f>
        <v>61.938036488585233</v>
      </c>
      <c r="R33" s="841">
        <f t="shared" si="2"/>
        <v>61.938036488585233</v>
      </c>
      <c r="S33" s="841">
        <f t="shared" ref="S33" si="3">(S16/S25)</f>
        <v>61.938036488585233</v>
      </c>
      <c r="T33" s="46"/>
    </row>
    <row r="34" spans="1:20">
      <c r="A34" s="131">
        <v>20</v>
      </c>
      <c r="C34" s="48" t="s">
        <v>126</v>
      </c>
      <c r="G34" s="841">
        <f t="shared" si="0"/>
        <v>289.50411080280298</v>
      </c>
      <c r="H34" s="841">
        <f t="shared" si="0"/>
        <v>258.46953831136238</v>
      </c>
      <c r="I34" s="841">
        <f t="shared" si="0"/>
        <v>289.29831592665334</v>
      </c>
      <c r="J34" s="841">
        <f t="shared" si="0"/>
        <v>286.1074727300238</v>
      </c>
      <c r="K34" s="841">
        <f t="shared" ref="K34" si="4">(K17/K26)</f>
        <v>266.87805497754897</v>
      </c>
      <c r="M34" s="841">
        <f>(M17/M26)</f>
        <v>305.03200163084784</v>
      </c>
      <c r="O34" s="841">
        <f>(O17/O26)</f>
        <v>305.09825792955326</v>
      </c>
      <c r="Q34" s="841">
        <f t="shared" si="2"/>
        <v>304.89176441240937</v>
      </c>
      <c r="R34" s="841">
        <f t="shared" si="2"/>
        <v>304.89140298624864</v>
      </c>
      <c r="S34" s="841">
        <f t="shared" ref="S34" si="5">(S17/S26)</f>
        <v>304.8907948203796</v>
      </c>
      <c r="T34" s="46"/>
    </row>
    <row r="35" spans="1:20">
      <c r="A35" s="131">
        <v>21</v>
      </c>
      <c r="C35" s="48" t="s">
        <v>127</v>
      </c>
      <c r="G35" s="841">
        <f t="shared" si="0"/>
        <v>9013.1045054531769</v>
      </c>
      <c r="H35" s="841">
        <f t="shared" si="0"/>
        <v>5243.860498326515</v>
      </c>
      <c r="I35" s="841">
        <f t="shared" si="0"/>
        <v>4251.7748917102317</v>
      </c>
      <c r="J35" s="841">
        <f t="shared" si="0"/>
        <v>4839.7675846153852</v>
      </c>
      <c r="K35" s="841">
        <f t="shared" ref="K35" si="6">(K18/K27)</f>
        <v>3797.5908378170639</v>
      </c>
      <c r="M35" s="841">
        <f>(M18/M27)</f>
        <v>3813.8569931459383</v>
      </c>
      <c r="O35" s="841">
        <f>(O18/O27)</f>
        <v>3813.8569931459378</v>
      </c>
      <c r="Q35" s="841">
        <f t="shared" si="2"/>
        <v>3813.8569931459378</v>
      </c>
      <c r="R35" s="841">
        <f t="shared" si="2"/>
        <v>3813.8569931459378</v>
      </c>
      <c r="S35" s="841">
        <f t="shared" ref="S35" si="7">(S18/S27)</f>
        <v>3813.8569931459378</v>
      </c>
      <c r="T35" s="46"/>
    </row>
    <row r="36" spans="1:20">
      <c r="A36" s="131">
        <v>22</v>
      </c>
      <c r="C36" s="48" t="s">
        <v>157</v>
      </c>
      <c r="G36" s="841">
        <f t="shared" si="0"/>
        <v>622.22316828461419</v>
      </c>
      <c r="H36" s="841">
        <f t="shared" si="0"/>
        <v>546.79173260869572</v>
      </c>
      <c r="I36" s="841">
        <f t="shared" si="0"/>
        <v>595.50155640326977</v>
      </c>
      <c r="J36" s="841">
        <f t="shared" si="0"/>
        <v>586.69186249246127</v>
      </c>
      <c r="K36" s="841">
        <f t="shared" ref="K36" si="8">(K19/K28)</f>
        <v>542.97827403314909</v>
      </c>
      <c r="M36" s="841">
        <f>(M19/M28)</f>
        <v>609.65122624042624</v>
      </c>
      <c r="O36" s="841">
        <f>(O19/O28)</f>
        <v>609.65122624042624</v>
      </c>
      <c r="Q36" s="841">
        <f t="shared" si="2"/>
        <v>609.65122624042624</v>
      </c>
      <c r="R36" s="841">
        <f t="shared" si="2"/>
        <v>609.65122624042624</v>
      </c>
      <c r="S36" s="841">
        <f t="shared" ref="S36" si="9">(S19/S28)</f>
        <v>609.65122624042624</v>
      </c>
      <c r="T36" s="46"/>
    </row>
    <row r="37" spans="1:20">
      <c r="H37" s="46"/>
      <c r="I37" s="46"/>
      <c r="J37" s="46"/>
      <c r="K37" s="46"/>
      <c r="M37" s="46"/>
      <c r="T37" s="46"/>
    </row>
    <row r="38" spans="1:20">
      <c r="A38" s="48"/>
      <c r="C38" s="48"/>
      <c r="G38" s="46"/>
      <c r="H38" s="46"/>
      <c r="I38" s="46"/>
      <c r="J38" s="46"/>
      <c r="K38" s="46"/>
      <c r="M38" s="46"/>
      <c r="O38" s="46"/>
      <c r="Q38" s="46"/>
      <c r="R38" s="46"/>
      <c r="S38" s="46"/>
      <c r="T38" s="46"/>
    </row>
    <row r="39" spans="1:20">
      <c r="R39" s="46"/>
      <c r="S39" s="46"/>
      <c r="T39" s="46"/>
    </row>
    <row r="40" spans="1:20">
      <c r="R40" s="46"/>
      <c r="S40" s="46"/>
      <c r="T40" s="46"/>
    </row>
    <row r="42" spans="1:20">
      <c r="R42" s="46"/>
      <c r="S42" s="46"/>
      <c r="T42" s="46"/>
    </row>
    <row r="43" spans="1:20">
      <c r="R43" s="46"/>
      <c r="S43" s="46"/>
      <c r="T43" s="46"/>
    </row>
    <row r="47" spans="1:20">
      <c r="C47" s="45" t="s">
        <v>1537</v>
      </c>
    </row>
    <row r="48" spans="1:20">
      <c r="C48" t="s">
        <v>1687</v>
      </c>
      <c r="I48" s="46"/>
      <c r="J48" s="46"/>
      <c r="K48" s="46"/>
    </row>
    <row r="49" spans="3:11">
      <c r="C49" s="45" t="s">
        <v>1614</v>
      </c>
      <c r="I49" s="46"/>
      <c r="J49" s="46"/>
      <c r="K49" s="46"/>
    </row>
    <row r="50" spans="3:11">
      <c r="I50" s="46"/>
      <c r="J50" s="46"/>
      <c r="K50" s="46"/>
    </row>
    <row r="51" spans="3:11">
      <c r="I51" s="46"/>
      <c r="J51" s="46"/>
      <c r="K51" s="46"/>
    </row>
    <row r="52" spans="3:11">
      <c r="I52" s="46"/>
      <c r="J52" s="46"/>
      <c r="K52" s="46"/>
    </row>
    <row r="53" spans="3:11">
      <c r="I53" s="46"/>
      <c r="J53" s="46"/>
      <c r="K53" s="46"/>
    </row>
    <row r="54" spans="3:11">
      <c r="I54" s="46"/>
      <c r="J54" s="46"/>
      <c r="K54" s="46"/>
    </row>
    <row r="55" spans="3:11">
      <c r="I55" s="46"/>
      <c r="J55" s="46"/>
      <c r="K55" s="46"/>
    </row>
    <row r="56" spans="3:11">
      <c r="I56" s="46"/>
      <c r="J56" s="46"/>
      <c r="K56" s="46"/>
    </row>
    <row r="57" spans="3:11">
      <c r="I57" s="46"/>
      <c r="J57" s="46"/>
      <c r="K57" s="46"/>
    </row>
    <row r="58" spans="3:11">
      <c r="I58" s="46"/>
      <c r="J58" s="46"/>
      <c r="K58" s="46"/>
    </row>
    <row r="59" spans="3:11">
      <c r="I59" s="46"/>
      <c r="J59" s="46"/>
      <c r="K59" s="46"/>
    </row>
    <row r="60" spans="3:11">
      <c r="I60" s="46"/>
      <c r="J60" s="46"/>
      <c r="K60" s="46"/>
    </row>
    <row r="61" spans="3:11">
      <c r="I61" s="46"/>
      <c r="J61" s="46"/>
      <c r="K61" s="46"/>
    </row>
    <row r="62" spans="3:11">
      <c r="I62" s="46"/>
      <c r="J62" s="46"/>
      <c r="K62" s="46"/>
    </row>
    <row r="63" spans="3:11">
      <c r="I63" s="46"/>
      <c r="J63" s="46"/>
      <c r="K63" s="46"/>
    </row>
    <row r="64" spans="3:11">
      <c r="I64" s="46"/>
      <c r="J64" s="46"/>
      <c r="K64" s="46"/>
    </row>
    <row r="65" spans="9:11">
      <c r="I65" s="46"/>
      <c r="J65" s="46"/>
      <c r="K65" s="46"/>
    </row>
    <row r="66" spans="9:11">
      <c r="I66" s="46"/>
      <c r="J66" s="46"/>
      <c r="K66" s="46"/>
    </row>
    <row r="67" spans="9:11">
      <c r="I67" s="46"/>
      <c r="J67" s="46"/>
      <c r="K67" s="46"/>
    </row>
    <row r="68" spans="9:11">
      <c r="I68" s="46"/>
      <c r="J68" s="46"/>
      <c r="K68" s="46"/>
    </row>
    <row r="69" spans="9:11">
      <c r="I69" s="46"/>
      <c r="J69" s="46"/>
      <c r="K69" s="46"/>
    </row>
    <row r="70" spans="9:11">
      <c r="I70" s="46"/>
      <c r="J70" s="46"/>
      <c r="K70" s="46"/>
    </row>
    <row r="71" spans="9:11">
      <c r="I71" s="46"/>
      <c r="J71" s="46"/>
      <c r="K71" s="46"/>
    </row>
    <row r="72" spans="9:11">
      <c r="I72" s="46"/>
      <c r="J72" s="46"/>
      <c r="K72" s="46"/>
    </row>
    <row r="73" spans="9:11">
      <c r="I73" s="46"/>
      <c r="J73" s="46"/>
      <c r="K73" s="46"/>
    </row>
    <row r="74" spans="9:11">
      <c r="I74" s="46"/>
      <c r="J74" s="46"/>
      <c r="K74" s="46"/>
    </row>
  </sheetData>
  <mergeCells count="6">
    <mergeCell ref="Q11:S11"/>
    <mergeCell ref="A1:R1"/>
    <mergeCell ref="A2:R2"/>
    <mergeCell ref="A3:R3"/>
    <mergeCell ref="A4:R4"/>
    <mergeCell ref="A5:R5"/>
  </mergeCells>
  <phoneticPr fontId="20" type="noConversion"/>
  <pageMargins left="0.5" right="0.5" top="0.75" bottom="0.5" header="0.5" footer="0.5"/>
  <pageSetup scale="68" orientation="landscape" verticalDpi="300" r:id="rId1"/>
  <headerFooter alignWithMargins="0">
    <oddFooter>&amp;RSchedule &amp;A
Page &amp;P of &amp;N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V28"/>
  <sheetViews>
    <sheetView view="pageBreakPreview" zoomScale="80" zoomScaleNormal="100" zoomScaleSheetLayoutView="80" workbookViewId="0">
      <selection sqref="A1:M1"/>
    </sheetView>
  </sheetViews>
  <sheetFormatPr defaultColWidth="10.109375" defaultRowHeight="15"/>
  <cols>
    <col min="1" max="1" width="5" style="1" customWidth="1"/>
    <col min="2" max="2" width="4.5546875" style="1" customWidth="1"/>
    <col min="3" max="3" width="16.109375" style="1" customWidth="1"/>
    <col min="4" max="4" width="5" style="1" customWidth="1"/>
    <col min="5" max="5" width="11" style="1" customWidth="1"/>
    <col min="6" max="6" width="5" style="1" customWidth="1"/>
    <col min="7" max="7" width="14.88671875" style="1" customWidth="1"/>
    <col min="8" max="8" width="5" style="1" customWidth="1"/>
    <col min="9" max="9" width="10.109375" style="1"/>
    <col min="10" max="10" width="5" style="1" customWidth="1"/>
    <col min="11" max="11" width="10.109375" style="1"/>
    <col min="12" max="12" width="5" style="1" customWidth="1"/>
    <col min="13" max="13" width="10.109375" style="1"/>
    <col min="14" max="14" width="6.6640625" style="1" customWidth="1"/>
    <col min="15" max="16" width="8.6640625" style="1" bestFit="1" customWidth="1"/>
    <col min="17" max="17" width="7.6640625" style="1" bestFit="1" customWidth="1"/>
    <col min="18" max="18" width="2.44140625" style="1" customWidth="1"/>
    <col min="19" max="19" width="10.109375" style="1"/>
    <col min="20" max="20" width="2.44140625" style="1" customWidth="1"/>
    <col min="21" max="21" width="10.109375" style="1"/>
    <col min="22" max="22" width="6.6640625" style="1" customWidth="1"/>
    <col min="23" max="16384" width="10.109375" style="1"/>
  </cols>
  <sheetData>
    <row r="1" spans="1:22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</row>
    <row r="2" spans="1:22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</row>
    <row r="3" spans="1:22">
      <c r="A3" s="1072" t="s">
        <v>2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</row>
    <row r="4" spans="1:22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</row>
    <row r="5" spans="1:2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2">
      <c r="M6" s="1" t="s">
        <v>1327</v>
      </c>
    </row>
    <row r="7" spans="1:22">
      <c r="A7" s="4" t="s">
        <v>361</v>
      </c>
      <c r="M7" s="17" t="s">
        <v>747</v>
      </c>
    </row>
    <row r="8" spans="1:22">
      <c r="A8" s="48" t="s">
        <v>588</v>
      </c>
      <c r="M8" s="17" t="s">
        <v>822</v>
      </c>
    </row>
    <row r="9" spans="1:22">
      <c r="A9" s="5" t="s">
        <v>356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282" t="s">
        <v>1542</v>
      </c>
    </row>
    <row r="10" spans="1:22">
      <c r="L10" s="15"/>
      <c r="M10" s="15"/>
      <c r="N10" s="15"/>
      <c r="S10" s="15"/>
      <c r="T10" s="15"/>
      <c r="U10" s="15"/>
      <c r="V10" s="15"/>
    </row>
    <row r="11" spans="1:22">
      <c r="A11" s="2" t="s">
        <v>88</v>
      </c>
      <c r="E11" s="2" t="s">
        <v>90</v>
      </c>
      <c r="I11" s="2" t="s">
        <v>98</v>
      </c>
      <c r="M11" s="2" t="s">
        <v>339</v>
      </c>
    </row>
    <row r="12" spans="1:22">
      <c r="A12" s="9" t="s">
        <v>94</v>
      </c>
      <c r="B12" s="6"/>
      <c r="C12" s="5" t="s">
        <v>338</v>
      </c>
      <c r="D12" s="6"/>
      <c r="E12" s="9" t="s">
        <v>96</v>
      </c>
      <c r="F12" s="6"/>
      <c r="G12" s="9" t="s">
        <v>99</v>
      </c>
      <c r="H12" s="6"/>
      <c r="I12" s="9" t="s">
        <v>39</v>
      </c>
      <c r="J12" s="6"/>
      <c r="K12" s="9" t="s">
        <v>1115</v>
      </c>
      <c r="L12" s="6"/>
      <c r="M12" s="9" t="s">
        <v>0</v>
      </c>
    </row>
    <row r="13" spans="1:22">
      <c r="E13" s="2" t="s">
        <v>1042</v>
      </c>
      <c r="G13" s="2" t="s">
        <v>1043</v>
      </c>
      <c r="I13" s="2" t="s">
        <v>1044</v>
      </c>
      <c r="K13" s="2" t="s">
        <v>14</v>
      </c>
      <c r="M13" s="2" t="s">
        <v>36</v>
      </c>
    </row>
    <row r="14" spans="1:22">
      <c r="G14" s="2" t="s">
        <v>596</v>
      </c>
      <c r="I14" s="2" t="s">
        <v>143</v>
      </c>
      <c r="K14" s="2" t="s">
        <v>143</v>
      </c>
      <c r="M14" s="2" t="s">
        <v>143</v>
      </c>
    </row>
    <row r="16" spans="1:22">
      <c r="G16" s="10"/>
      <c r="K16" s="3"/>
      <c r="O16" s="10"/>
      <c r="S16" s="3"/>
    </row>
    <row r="17" spans="1:21" ht="15.75">
      <c r="A17" s="38">
        <v>1</v>
      </c>
      <c r="C17" s="108" t="s">
        <v>1389</v>
      </c>
      <c r="G17" s="10"/>
      <c r="I17" s="11"/>
      <c r="K17" s="3"/>
      <c r="M17" s="3"/>
      <c r="O17" s="10"/>
      <c r="Q17" s="11"/>
      <c r="S17" s="3"/>
      <c r="U17" s="3"/>
    </row>
    <row r="18" spans="1:21">
      <c r="A18" s="38">
        <f>+A17+1</f>
        <v>2</v>
      </c>
      <c r="G18" s="10"/>
      <c r="K18" s="3"/>
      <c r="O18" s="10"/>
      <c r="S18" s="3"/>
    </row>
    <row r="19" spans="1:21">
      <c r="A19" s="38">
        <f t="shared" ref="A19:A27" si="0">+A18+1</f>
        <v>3</v>
      </c>
      <c r="C19" s="4" t="s">
        <v>263</v>
      </c>
      <c r="E19" s="2" t="s">
        <v>267</v>
      </c>
      <c r="F19" s="10"/>
      <c r="G19" s="744">
        <f>+J.1!H17</f>
        <v>37866.953405017921</v>
      </c>
      <c r="H19" s="10"/>
      <c r="I19" s="372">
        <f>+G19/G27</f>
        <v>2.0415381710424765E-3</v>
      </c>
      <c r="J19" s="10"/>
      <c r="K19" s="954">
        <f>+J.1!L17</f>
        <v>0.17136080852890212</v>
      </c>
      <c r="L19" s="10"/>
      <c r="M19" s="955">
        <f>ROUND(I19*K19,4)</f>
        <v>2.9999999999999997E-4</v>
      </c>
      <c r="O19" s="10"/>
      <c r="Q19" s="10"/>
      <c r="S19" s="3"/>
      <c r="U19" s="3"/>
    </row>
    <row r="20" spans="1:21">
      <c r="A20" s="38">
        <f t="shared" si="0"/>
        <v>4</v>
      </c>
      <c r="E20" s="10"/>
      <c r="F20" s="10"/>
      <c r="G20" s="10"/>
      <c r="H20" s="10"/>
      <c r="I20" s="1034"/>
      <c r="J20" s="10"/>
      <c r="K20" s="33"/>
      <c r="L20" s="10"/>
      <c r="M20" s="33"/>
    </row>
    <row r="21" spans="1:21">
      <c r="A21" s="38">
        <f t="shared" si="0"/>
        <v>5</v>
      </c>
      <c r="C21" s="4" t="s">
        <v>264</v>
      </c>
      <c r="E21" s="2" t="s">
        <v>267</v>
      </c>
      <c r="F21" s="10"/>
      <c r="G21" s="695">
        <f>'J-3 B'!E41*0.001</f>
        <v>7213975.1521719238</v>
      </c>
      <c r="H21" s="10"/>
      <c r="I21" s="372">
        <f>ROUNDUP(+G21/$G$27,4)</f>
        <v>0.38900000000000001</v>
      </c>
      <c r="J21" s="10"/>
      <c r="K21" s="954">
        <f>+J.1!L19</f>
        <v>3.9699999999999999E-2</v>
      </c>
      <c r="L21" s="10"/>
      <c r="M21" s="955">
        <f>ROUND(I21*K21,4)</f>
        <v>1.54E-2</v>
      </c>
    </row>
    <row r="22" spans="1:21">
      <c r="A22" s="38">
        <f t="shared" si="0"/>
        <v>6</v>
      </c>
      <c r="E22" s="10"/>
      <c r="F22" s="10"/>
      <c r="G22" s="10"/>
      <c r="H22" s="10"/>
      <c r="I22" s="1034"/>
      <c r="J22" s="10"/>
      <c r="K22" s="33"/>
      <c r="L22" s="10"/>
      <c r="M22" s="33"/>
    </row>
    <row r="23" spans="1:21">
      <c r="A23" s="38">
        <f t="shared" si="0"/>
        <v>7</v>
      </c>
      <c r="C23" s="4" t="s">
        <v>265</v>
      </c>
      <c r="E23" s="2" t="s">
        <v>268</v>
      </c>
      <c r="F23" s="10"/>
      <c r="G23" s="695">
        <f>+J.1!H23</f>
        <v>0</v>
      </c>
      <c r="H23" s="10"/>
      <c r="I23" s="370">
        <f>+G23/G27</f>
        <v>0</v>
      </c>
      <c r="J23" s="10"/>
      <c r="K23" s="954">
        <f>+J.1!L23</f>
        <v>0</v>
      </c>
      <c r="L23" s="10"/>
      <c r="M23" s="955">
        <f>ROUND(I23*K23,4)</f>
        <v>0</v>
      </c>
    </row>
    <row r="24" spans="1:21">
      <c r="A24" s="38">
        <f t="shared" si="0"/>
        <v>8</v>
      </c>
      <c r="E24" s="10"/>
      <c r="F24" s="10"/>
      <c r="G24" s="10"/>
      <c r="H24" s="10"/>
      <c r="I24" s="1034"/>
      <c r="J24" s="10"/>
      <c r="K24" s="33"/>
      <c r="L24" s="10"/>
      <c r="M24" s="33"/>
    </row>
    <row r="25" spans="1:21">
      <c r="A25" s="38">
        <f t="shared" si="0"/>
        <v>9</v>
      </c>
      <c r="C25" s="4" t="s">
        <v>266</v>
      </c>
      <c r="E25" s="10"/>
      <c r="F25" s="10"/>
      <c r="G25" s="956">
        <f>+J.1!H25</f>
        <v>11296404.47738154</v>
      </c>
      <c r="H25" s="10"/>
      <c r="I25" s="1035">
        <f>ROUND(+G25/$G$27,4)</f>
        <v>0.60899999999999999</v>
      </c>
      <c r="J25" s="10"/>
      <c r="K25" s="954">
        <f>+J.1!L25</f>
        <v>0.1095</v>
      </c>
      <c r="L25" s="10"/>
      <c r="M25" s="958">
        <f>ROUND(I25*K25,4)</f>
        <v>6.6699999999999995E-2</v>
      </c>
    </row>
    <row r="26" spans="1:21">
      <c r="A26" s="38">
        <f t="shared" si="0"/>
        <v>10</v>
      </c>
      <c r="G26" s="10"/>
      <c r="K26" s="3"/>
    </row>
    <row r="27" spans="1:21" ht="15.75" thickBot="1">
      <c r="A27" s="38">
        <f t="shared" si="0"/>
        <v>11</v>
      </c>
      <c r="C27" s="4" t="s">
        <v>380</v>
      </c>
      <c r="G27" s="754">
        <f>SUM(G19:G25)</f>
        <v>18548246.582958482</v>
      </c>
      <c r="I27" s="959">
        <f>SUM(I19:I25)</f>
        <v>1.0000415381710424</v>
      </c>
      <c r="K27" s="11"/>
      <c r="M27" s="960">
        <f>(+M19+M21+M23+M25)</f>
        <v>8.2400000000000001E-2</v>
      </c>
    </row>
    <row r="28" spans="1:21" ht="15.75" thickTop="1"/>
  </sheetData>
  <mergeCells count="4">
    <mergeCell ref="A1:M1"/>
    <mergeCell ref="A2:M2"/>
    <mergeCell ref="A3:M3"/>
    <mergeCell ref="A4:M4"/>
  </mergeCells>
  <phoneticPr fontId="20" type="noConversion"/>
  <printOptions horizontalCentered="1"/>
  <pageMargins left="0.67" right="0.75" top="0.75" bottom="1.26" header="0.5" footer="0.5"/>
  <pageSetup scale="95" orientation="landscape" verticalDpi="300" r:id="rId1"/>
  <headerFooter alignWithMargins="0">
    <oddFooter>&amp;RSchedule &amp;A
Page &amp;P of &amp;N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tabColor rgb="FF92D050"/>
    <pageSetUpPr fitToPage="1"/>
  </sheetPr>
  <dimension ref="A1:X62"/>
  <sheetViews>
    <sheetView view="pageBreakPreview" topLeftCell="A19" zoomScale="80" zoomScaleNormal="100" zoomScaleSheetLayoutView="80" workbookViewId="0">
      <selection activeCell="H25" sqref="H25"/>
    </sheetView>
  </sheetViews>
  <sheetFormatPr defaultColWidth="10.109375" defaultRowHeight="15"/>
  <cols>
    <col min="1" max="1" width="3.77734375" customWidth="1"/>
    <col min="2" max="2" width="2.44140625" customWidth="1"/>
    <col min="3" max="3" width="13" customWidth="1"/>
    <col min="4" max="4" width="2.109375" customWidth="1"/>
    <col min="5" max="5" width="2.44140625" customWidth="1"/>
    <col min="6" max="6" width="6.77734375" customWidth="1"/>
    <col min="7" max="7" width="2.44140625" customWidth="1"/>
    <col min="8" max="8" width="14" customWidth="1"/>
    <col min="9" max="9" width="2.44140625" customWidth="1"/>
    <col min="10" max="10" width="8.33203125" customWidth="1"/>
    <col min="11" max="11" width="2.44140625" customWidth="1"/>
    <col min="12" max="12" width="8" customWidth="1"/>
    <col min="13" max="13" width="2.44140625" customWidth="1"/>
    <col min="14" max="14" width="8.6640625" customWidth="1"/>
    <col min="15" max="15" width="2.44140625" customWidth="1"/>
    <col min="16" max="16" width="13.6640625" customWidth="1"/>
    <col min="17" max="17" width="2.44140625" customWidth="1"/>
    <col min="18" max="18" width="11.33203125" customWidth="1"/>
    <col min="19" max="19" width="1.88671875" customWidth="1"/>
    <col min="20" max="20" width="9.33203125" customWidth="1"/>
    <col min="21" max="21" width="2.44140625" customWidth="1"/>
    <col min="22" max="22" width="8.44140625" customWidth="1"/>
    <col min="23" max="23" width="6.77734375" bestFit="1" customWidth="1"/>
    <col min="24" max="24" width="9.44140625" bestFit="1" customWidth="1"/>
  </cols>
  <sheetData>
    <row r="1" spans="1:23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</row>
    <row r="2" spans="1:23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</row>
    <row r="3" spans="1:23">
      <c r="A3" s="1053" t="s">
        <v>1388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  <c r="T3" s="1053"/>
      <c r="U3" s="1053"/>
      <c r="V3" s="1053"/>
    </row>
    <row r="4" spans="1:23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1057"/>
      <c r="T4" s="1057"/>
      <c r="U4" s="1057"/>
      <c r="V4" s="1057"/>
    </row>
    <row r="5" spans="1:23">
      <c r="A5" s="1057" t="str">
        <f>'Table of Contents'!A4:C4</f>
        <v>Forecasted Test Period:  Twelve Months Ended March 31, 2026</v>
      </c>
      <c r="B5" s="1057"/>
      <c r="C5" s="1057"/>
      <c r="D5" s="1057"/>
      <c r="E5" s="1057"/>
      <c r="F5" s="1057"/>
      <c r="G5" s="1057"/>
      <c r="H5" s="1057"/>
      <c r="I5" s="1057"/>
      <c r="J5" s="1057"/>
      <c r="K5" s="1057"/>
      <c r="L5" s="1057"/>
      <c r="M5" s="1057"/>
      <c r="N5" s="1057"/>
      <c r="O5" s="1057"/>
      <c r="P5" s="1057"/>
      <c r="Q5" s="1057"/>
      <c r="R5" s="1057"/>
      <c r="S5" s="1057"/>
      <c r="T5" s="1057"/>
      <c r="U5" s="1057"/>
      <c r="V5" s="1057"/>
    </row>
    <row r="6" spans="1:23">
      <c r="L6" s="57"/>
    </row>
    <row r="8" spans="1:23">
      <c r="A8" s="53" t="s">
        <v>192</v>
      </c>
      <c r="V8" s="476" t="s">
        <v>1327</v>
      </c>
    </row>
    <row r="9" spans="1:23">
      <c r="A9" s="53" t="s">
        <v>588</v>
      </c>
      <c r="T9" s="53"/>
      <c r="V9" s="314" t="s">
        <v>747</v>
      </c>
    </row>
    <row r="10" spans="1:23" ht="16.5" thickBot="1">
      <c r="A10" s="54" t="s">
        <v>356</v>
      </c>
      <c r="B10" s="55"/>
      <c r="C10" s="55"/>
      <c r="D10" s="55"/>
      <c r="E10" s="55"/>
      <c r="F10" s="55"/>
      <c r="G10" s="55"/>
      <c r="N10" s="520" t="s">
        <v>477</v>
      </c>
      <c r="O10" s="521"/>
      <c r="P10" s="521"/>
      <c r="T10" s="54"/>
      <c r="V10" s="704" t="str">
        <f>'J-1 Base'!$M$9</f>
        <v>Witness: Christian</v>
      </c>
    </row>
    <row r="11" spans="1:23" ht="15.75">
      <c r="H11" s="522" t="s">
        <v>315</v>
      </c>
      <c r="I11" s="523"/>
      <c r="J11" s="523"/>
      <c r="K11" s="523"/>
      <c r="L11" s="523"/>
      <c r="M11" s="523"/>
      <c r="N11" s="524"/>
      <c r="P11" s="522" t="s">
        <v>316</v>
      </c>
      <c r="Q11" s="523"/>
      <c r="R11" s="523"/>
      <c r="S11" s="523"/>
      <c r="T11" s="523"/>
      <c r="U11" s="523"/>
      <c r="V11" s="524"/>
      <c r="W11" s="15"/>
    </row>
    <row r="12" spans="1:23">
      <c r="A12" s="57" t="s">
        <v>88</v>
      </c>
      <c r="F12" s="57" t="s">
        <v>90</v>
      </c>
      <c r="H12" s="525"/>
      <c r="J12" s="57" t="s">
        <v>98</v>
      </c>
      <c r="N12" s="526" t="s">
        <v>339</v>
      </c>
      <c r="P12" s="525"/>
      <c r="R12" s="57" t="s">
        <v>98</v>
      </c>
      <c r="V12" s="526" t="s">
        <v>339</v>
      </c>
    </row>
    <row r="13" spans="1:23" ht="15.75" thickBot="1">
      <c r="A13" s="58" t="s">
        <v>94</v>
      </c>
      <c r="B13" s="55"/>
      <c r="C13" s="54" t="s">
        <v>338</v>
      </c>
      <c r="D13" s="55"/>
      <c r="E13" s="55"/>
      <c r="F13" s="58" t="s">
        <v>96</v>
      </c>
      <c r="G13" s="55"/>
      <c r="H13" s="527" t="s">
        <v>99</v>
      </c>
      <c r="I13" s="528"/>
      <c r="J13" s="529" t="s">
        <v>39</v>
      </c>
      <c r="K13" s="528"/>
      <c r="L13" s="529" t="s">
        <v>1115</v>
      </c>
      <c r="M13" s="528"/>
      <c r="N13" s="530" t="s">
        <v>0</v>
      </c>
      <c r="P13" s="527" t="s">
        <v>99</v>
      </c>
      <c r="Q13" s="528"/>
      <c r="R13" s="529" t="s">
        <v>39</v>
      </c>
      <c r="S13" s="528"/>
      <c r="T13" s="529" t="s">
        <v>1115</v>
      </c>
      <c r="U13" s="528"/>
      <c r="V13" s="530" t="s">
        <v>0</v>
      </c>
    </row>
    <row r="14" spans="1:23">
      <c r="F14" s="57" t="s">
        <v>1042</v>
      </c>
      <c r="H14" s="57" t="s">
        <v>1043</v>
      </c>
      <c r="J14" s="57" t="s">
        <v>1044</v>
      </c>
      <c r="L14" s="57" t="s">
        <v>14</v>
      </c>
      <c r="N14" s="57" t="s">
        <v>36</v>
      </c>
      <c r="P14" s="57" t="s">
        <v>313</v>
      </c>
      <c r="R14" s="57" t="s">
        <v>37</v>
      </c>
      <c r="T14" s="57" t="s">
        <v>594</v>
      </c>
      <c r="V14" s="57" t="s">
        <v>595</v>
      </c>
    </row>
    <row r="15" spans="1:23">
      <c r="H15" s="57" t="s">
        <v>596</v>
      </c>
      <c r="J15" s="57" t="s">
        <v>143</v>
      </c>
      <c r="L15" s="57" t="s">
        <v>143</v>
      </c>
      <c r="N15" s="57" t="s">
        <v>143</v>
      </c>
      <c r="P15" s="57" t="s">
        <v>596</v>
      </c>
      <c r="R15" s="57" t="s">
        <v>143</v>
      </c>
      <c r="T15" s="57" t="s">
        <v>143</v>
      </c>
      <c r="V15" s="57" t="s">
        <v>143</v>
      </c>
    </row>
    <row r="17" spans="1:24">
      <c r="A17" s="57" t="s">
        <v>357</v>
      </c>
      <c r="C17" s="53" t="s">
        <v>263</v>
      </c>
      <c r="F17" s="60"/>
      <c r="G17" s="60"/>
      <c r="H17" s="695">
        <f>+'J-2 B'!F20</f>
        <v>37866.953405017921</v>
      </c>
      <c r="I17" s="60"/>
      <c r="J17" s="372">
        <f>ROUND(H17/$H$29,4)</f>
        <v>2E-3</v>
      </c>
      <c r="K17" s="60"/>
      <c r="L17" s="961">
        <f>+'J-2 B'!L20</f>
        <v>0.17136080852890212</v>
      </c>
      <c r="M17" s="60"/>
      <c r="N17" s="962">
        <f>+J17*L17</f>
        <v>3.4272161705780425E-4</v>
      </c>
      <c r="O17" s="60"/>
      <c r="P17" s="695">
        <f>+'J-2 F'!F20</f>
        <v>37866.953405017921</v>
      </c>
      <c r="Q17" s="60"/>
      <c r="R17" s="372">
        <f>ROUND(P17/$P$29,4)</f>
        <v>1.9E-3</v>
      </c>
      <c r="S17" s="60"/>
      <c r="T17" s="961">
        <f>ROUND(+'J-2 F'!L20,4)</f>
        <v>0.1714</v>
      </c>
      <c r="U17" s="61"/>
      <c r="V17" s="962">
        <f>ROUND(R17*T17,4)</f>
        <v>2.9999999999999997E-4</v>
      </c>
      <c r="W17" s="243"/>
      <c r="X17" s="243"/>
    </row>
    <row r="18" spans="1:24">
      <c r="A18" s="37">
        <f>+A17+1</f>
        <v>2</v>
      </c>
      <c r="F18" s="60"/>
      <c r="G18" s="60"/>
      <c r="H18" s="60"/>
      <c r="I18" s="60"/>
      <c r="J18" s="60"/>
      <c r="K18" s="60"/>
      <c r="L18" s="531"/>
      <c r="M18" s="60"/>
      <c r="N18" s="531"/>
      <c r="O18" s="60"/>
      <c r="P18" s="60"/>
      <c r="Q18" s="60"/>
      <c r="R18" s="61"/>
      <c r="S18" s="60"/>
      <c r="T18" s="531"/>
      <c r="U18" s="61"/>
      <c r="V18" s="531"/>
      <c r="W18" s="243"/>
    </row>
    <row r="19" spans="1:24">
      <c r="A19" s="37">
        <f t="shared" ref="A19:A29" si="0">+A18+1</f>
        <v>3</v>
      </c>
      <c r="C19" s="53" t="s">
        <v>264</v>
      </c>
      <c r="F19" s="60"/>
      <c r="G19" s="60"/>
      <c r="H19" s="701">
        <f>'J-1 Base'!G21</f>
        <v>7213975.1521719238</v>
      </c>
      <c r="I19" s="60"/>
      <c r="J19" s="963">
        <f>ROUND(H19/$H$29,5)</f>
        <v>0.38893</v>
      </c>
      <c r="K19" s="60"/>
      <c r="L19" s="961">
        <f>ROUND('J-3 B'!K41,4)</f>
        <v>3.9699999999999999E-2</v>
      </c>
      <c r="M19" s="60"/>
      <c r="N19" s="964">
        <f>+J19*L19</f>
        <v>1.5440521E-2</v>
      </c>
      <c r="O19" s="60"/>
      <c r="P19" s="701">
        <f>+'J-3 F'!E41*0.001</f>
        <v>7790898.2290950017</v>
      </c>
      <c r="Q19" s="60"/>
      <c r="R19" s="963">
        <f>ROUND(P19/$P$29,4)</f>
        <v>0.38929999999999998</v>
      </c>
      <c r="S19" s="60"/>
      <c r="T19" s="961">
        <f>ROUND('J-3 F'!K41,4)</f>
        <v>4.1099999999999998E-2</v>
      </c>
      <c r="U19" s="61"/>
      <c r="V19" s="964">
        <f>+R19*T19</f>
        <v>1.6000229999999997E-2</v>
      </c>
      <c r="W19" s="243"/>
      <c r="X19" s="243"/>
    </row>
    <row r="20" spans="1:24">
      <c r="A20" s="37">
        <f t="shared" si="0"/>
        <v>4</v>
      </c>
      <c r="F20" s="60"/>
      <c r="G20" s="60"/>
      <c r="H20" s="60"/>
      <c r="I20" s="60"/>
      <c r="J20" s="60"/>
      <c r="K20" s="60"/>
      <c r="L20" s="531"/>
      <c r="M20" s="60"/>
      <c r="N20" s="531"/>
      <c r="O20" s="60"/>
      <c r="P20" s="60"/>
      <c r="Q20" s="60"/>
      <c r="R20" s="60"/>
      <c r="S20" s="60"/>
      <c r="T20" s="531"/>
      <c r="U20" s="61"/>
      <c r="V20" s="531"/>
      <c r="W20" s="243"/>
    </row>
    <row r="21" spans="1:24">
      <c r="A21" s="37">
        <f t="shared" si="0"/>
        <v>5</v>
      </c>
      <c r="C21" s="53" t="s">
        <v>379</v>
      </c>
      <c r="F21" s="60"/>
      <c r="G21" s="60"/>
      <c r="H21" s="359">
        <f>H17+H19</f>
        <v>7251842.1055769417</v>
      </c>
      <c r="I21" s="60"/>
      <c r="J21" s="372">
        <f>J17+J19</f>
        <v>0.39093</v>
      </c>
      <c r="K21" s="60"/>
      <c r="L21" s="531"/>
      <c r="M21" s="60"/>
      <c r="N21" s="962">
        <f>N17+N19</f>
        <v>1.5783242617057804E-2</v>
      </c>
      <c r="O21" s="60"/>
      <c r="P21" s="359">
        <f>P17+P19</f>
        <v>7828765.1825000197</v>
      </c>
      <c r="Q21" s="60"/>
      <c r="R21" s="372">
        <f>R17+R19</f>
        <v>0.39119999999999999</v>
      </c>
      <c r="S21" s="60"/>
      <c r="T21" s="531"/>
      <c r="U21" s="61"/>
      <c r="V21" s="962">
        <f>V17+V19</f>
        <v>1.6300229999999999E-2</v>
      </c>
      <c r="W21" s="243"/>
      <c r="X21" s="60"/>
    </row>
    <row r="22" spans="1:24">
      <c r="A22" s="37">
        <f t="shared" si="0"/>
        <v>6</v>
      </c>
      <c r="F22" s="60"/>
      <c r="G22" s="60"/>
      <c r="H22" s="60"/>
      <c r="I22" s="60"/>
      <c r="J22" s="60"/>
      <c r="K22" s="60"/>
      <c r="L22" s="531"/>
      <c r="M22" s="60"/>
      <c r="N22" s="531"/>
      <c r="O22" s="60"/>
      <c r="P22" s="60"/>
      <c r="Q22" s="60"/>
      <c r="R22" s="60"/>
      <c r="S22" s="60"/>
      <c r="T22" s="531"/>
      <c r="U22" s="61"/>
      <c r="V22" s="531"/>
      <c r="W22" s="243"/>
    </row>
    <row r="23" spans="1:24">
      <c r="A23" s="37">
        <f t="shared" si="0"/>
        <v>7</v>
      </c>
      <c r="C23" s="53" t="s">
        <v>265</v>
      </c>
      <c r="F23" s="60"/>
      <c r="G23" s="60"/>
      <c r="H23" s="60">
        <v>0</v>
      </c>
      <c r="I23" s="60"/>
      <c r="J23" s="372">
        <f>ROUND(H23/$H$29,4)</f>
        <v>0</v>
      </c>
      <c r="K23" s="60"/>
      <c r="L23" s="531">
        <v>0</v>
      </c>
      <c r="M23" s="60"/>
      <c r="N23" s="962">
        <f>+J23*L23</f>
        <v>0</v>
      </c>
      <c r="O23" s="60"/>
      <c r="P23" s="60">
        <v>0</v>
      </c>
      <c r="Q23" s="60"/>
      <c r="R23" s="372">
        <f>ROUND(P23/$P$29,4)</f>
        <v>0</v>
      </c>
      <c r="S23" s="60"/>
      <c r="T23" s="531">
        <v>0</v>
      </c>
      <c r="U23" s="61"/>
      <c r="V23" s="962">
        <f>ROUND(R23*T23,4)</f>
        <v>0</v>
      </c>
      <c r="W23" s="243"/>
    </row>
    <row r="24" spans="1:24">
      <c r="A24" s="37">
        <f t="shared" si="0"/>
        <v>8</v>
      </c>
      <c r="H24" s="60"/>
      <c r="L24" s="531"/>
      <c r="N24" s="243"/>
      <c r="P24" s="60"/>
      <c r="T24" s="531"/>
      <c r="U24" s="532"/>
      <c r="V24" s="243"/>
      <c r="W24" s="243"/>
    </row>
    <row r="25" spans="1:24" ht="15.75">
      <c r="A25" s="37">
        <f t="shared" si="0"/>
        <v>9</v>
      </c>
      <c r="C25" s="53" t="s">
        <v>266</v>
      </c>
      <c r="H25" s="937">
        <v>11296404.47738154</v>
      </c>
      <c r="J25" s="372">
        <f>ROUND(H25/$H$29,5)</f>
        <v>0.60902999999999996</v>
      </c>
      <c r="L25" s="961">
        <f>Allocation!E27</f>
        <v>0.1095</v>
      </c>
      <c r="N25" s="962">
        <f>+J25*L25</f>
        <v>6.6688785E-2</v>
      </c>
      <c r="P25" s="937">
        <v>12183077.097279999</v>
      </c>
      <c r="R25" s="372">
        <f>+ROUND(P25/P29,5)</f>
        <v>0.60879000000000005</v>
      </c>
      <c r="T25" s="962">
        <f>L25</f>
        <v>0.1095</v>
      </c>
      <c r="U25" s="532"/>
      <c r="V25" s="962">
        <f>ROUND(R25*T25,4)</f>
        <v>6.6699999999999995E-2</v>
      </c>
      <c r="W25" s="615"/>
      <c r="X25" s="243"/>
    </row>
    <row r="26" spans="1:24">
      <c r="A26" s="37">
        <f t="shared" si="0"/>
        <v>10</v>
      </c>
      <c r="H26" s="60"/>
      <c r="L26" s="531"/>
      <c r="N26" s="243"/>
      <c r="P26" s="60"/>
      <c r="T26" s="531"/>
      <c r="U26" s="532"/>
      <c r="V26" s="243"/>
      <c r="W26" s="243"/>
    </row>
    <row r="27" spans="1:24">
      <c r="A27" s="37">
        <f t="shared" si="0"/>
        <v>11</v>
      </c>
      <c r="C27" s="53" t="s">
        <v>412</v>
      </c>
      <c r="H27" s="62">
        <v>0</v>
      </c>
      <c r="J27" s="957">
        <f>ROUND(H27/$H$29,4)</f>
        <v>0</v>
      </c>
      <c r="L27" s="531">
        <v>0</v>
      </c>
      <c r="N27" s="964">
        <f>+J27*L27</f>
        <v>0</v>
      </c>
      <c r="P27" s="62">
        <v>0</v>
      </c>
      <c r="R27" s="957">
        <f>ROUND(P27/$H$29,4)</f>
        <v>0</v>
      </c>
      <c r="T27" s="531">
        <v>0</v>
      </c>
      <c r="U27" s="532"/>
      <c r="V27" s="965">
        <f>ROUND(R27*T27,4)</f>
        <v>0</v>
      </c>
      <c r="W27" s="243"/>
    </row>
    <row r="28" spans="1:24">
      <c r="A28" s="37">
        <f t="shared" si="0"/>
        <v>12</v>
      </c>
      <c r="H28" s="60"/>
      <c r="L28" s="531"/>
      <c r="P28" s="60"/>
      <c r="T28" s="61"/>
      <c r="U28" s="532"/>
      <c r="V28" s="532"/>
      <c r="W28" s="532"/>
    </row>
    <row r="29" spans="1:24" ht="15.75" thickBot="1">
      <c r="A29" s="37">
        <f t="shared" si="0"/>
        <v>13</v>
      </c>
      <c r="C29" s="53" t="s">
        <v>380</v>
      </c>
      <c r="H29" s="966">
        <f>H21+H25+H27</f>
        <v>18548246.582958482</v>
      </c>
      <c r="J29" s="967">
        <f>SUM(J21:J27)</f>
        <v>0.99995999999999996</v>
      </c>
      <c r="L29" s="75"/>
      <c r="N29" s="959">
        <f>SUM(N21:N27)</f>
        <v>8.2472027617057797E-2</v>
      </c>
      <c r="P29" s="966">
        <f>SUM(P21:P27)</f>
        <v>20011842.279780019</v>
      </c>
      <c r="R29" s="967">
        <f>SUM(R21:R27)</f>
        <v>0.99999000000000005</v>
      </c>
      <c r="T29" s="61"/>
      <c r="U29" s="532"/>
      <c r="V29" s="959">
        <f>SUM(V21:V27)</f>
        <v>8.3000229999999994E-2</v>
      </c>
      <c r="W29" s="243"/>
      <c r="X29" s="64"/>
    </row>
    <row r="30" spans="1:24" ht="15.75" thickTop="1">
      <c r="H30" s="60"/>
      <c r="P30" s="60"/>
      <c r="T30" s="532"/>
      <c r="U30" s="532"/>
      <c r="V30" s="532"/>
    </row>
    <row r="35" spans="1:22" ht="16.5" thickBot="1">
      <c r="A35" s="36"/>
      <c r="B35" s="36"/>
      <c r="C35" s="36"/>
      <c r="D35" s="36"/>
      <c r="E35" s="36"/>
      <c r="F35" s="36"/>
      <c r="G35" s="36"/>
      <c r="N35" s="520" t="s">
        <v>478</v>
      </c>
      <c r="O35" s="521"/>
      <c r="P35" s="521"/>
    </row>
    <row r="36" spans="1:22" ht="15.75">
      <c r="H36" s="522" t="s">
        <v>315</v>
      </c>
      <c r="I36" s="523"/>
      <c r="J36" s="523"/>
      <c r="K36" s="523"/>
      <c r="L36" s="523"/>
      <c r="M36" s="523"/>
      <c r="N36" s="524"/>
      <c r="P36" s="522" t="s">
        <v>316</v>
      </c>
      <c r="Q36" s="523"/>
      <c r="R36" s="523"/>
      <c r="S36" s="523"/>
      <c r="T36" s="523"/>
      <c r="U36" s="523"/>
      <c r="V36" s="524"/>
    </row>
    <row r="37" spans="1:22">
      <c r="A37" s="57" t="s">
        <v>88</v>
      </c>
      <c r="F37" s="57" t="s">
        <v>90</v>
      </c>
      <c r="H37" s="525"/>
      <c r="J37" s="57" t="s">
        <v>98</v>
      </c>
      <c r="N37" s="526" t="s">
        <v>339</v>
      </c>
      <c r="P37" s="525"/>
      <c r="R37" s="57" t="s">
        <v>98</v>
      </c>
      <c r="V37" s="526" t="s">
        <v>339</v>
      </c>
    </row>
    <row r="38" spans="1:22" ht="15.75" thickBot="1">
      <c r="A38" s="58" t="s">
        <v>94</v>
      </c>
      <c r="B38" s="55"/>
      <c r="C38" s="54" t="s">
        <v>338</v>
      </c>
      <c r="D38" s="55"/>
      <c r="E38" s="55"/>
      <c r="F38" s="58" t="s">
        <v>96</v>
      </c>
      <c r="G38" s="55"/>
      <c r="H38" s="527" t="s">
        <v>99</v>
      </c>
      <c r="I38" s="528"/>
      <c r="J38" s="529" t="s">
        <v>39</v>
      </c>
      <c r="K38" s="528"/>
      <c r="L38" s="529" t="s">
        <v>1115</v>
      </c>
      <c r="M38" s="528"/>
      <c r="N38" s="530" t="s">
        <v>0</v>
      </c>
      <c r="P38" s="527" t="s">
        <v>99</v>
      </c>
      <c r="Q38" s="528"/>
      <c r="R38" s="529" t="s">
        <v>39</v>
      </c>
      <c r="S38" s="528"/>
      <c r="T38" s="529" t="s">
        <v>1115</v>
      </c>
      <c r="U38" s="528"/>
      <c r="V38" s="530" t="s">
        <v>0</v>
      </c>
    </row>
    <row r="39" spans="1:22">
      <c r="F39" s="57" t="s">
        <v>1042</v>
      </c>
      <c r="H39" s="57" t="s">
        <v>1043</v>
      </c>
      <c r="J39" s="57" t="s">
        <v>1044</v>
      </c>
      <c r="L39" s="57" t="s">
        <v>14</v>
      </c>
      <c r="N39" s="57" t="s">
        <v>36</v>
      </c>
      <c r="P39" s="57" t="s">
        <v>313</v>
      </c>
      <c r="R39" s="57" t="s">
        <v>37</v>
      </c>
      <c r="T39" s="57" t="s">
        <v>594</v>
      </c>
      <c r="V39" s="57" t="s">
        <v>595</v>
      </c>
    </row>
    <row r="40" spans="1:22">
      <c r="H40" s="57" t="s">
        <v>596</v>
      </c>
      <c r="J40" s="57" t="s">
        <v>143</v>
      </c>
      <c r="L40" s="57" t="s">
        <v>143</v>
      </c>
      <c r="N40" s="57" t="s">
        <v>143</v>
      </c>
      <c r="P40" s="57" t="s">
        <v>596</v>
      </c>
      <c r="R40" s="57" t="s">
        <v>143</v>
      </c>
      <c r="T40" s="57" t="s">
        <v>143</v>
      </c>
      <c r="V40" s="57" t="s">
        <v>143</v>
      </c>
    </row>
    <row r="42" spans="1:22">
      <c r="A42" s="57">
        <f>+A29+1</f>
        <v>14</v>
      </c>
      <c r="C42" s="53" t="s">
        <v>263</v>
      </c>
      <c r="F42" s="60"/>
      <c r="G42" s="60"/>
      <c r="H42" s="695">
        <f>+'J-2 B'!F20</f>
        <v>37866.953405017921</v>
      </c>
      <c r="I42" s="60"/>
      <c r="J42" s="372">
        <f>ROUND(H42/$H$54,4)</f>
        <v>2E-3</v>
      </c>
      <c r="K42" s="60"/>
      <c r="L42" s="961">
        <f>+'J-2 B'!L20</f>
        <v>0.17136080852890212</v>
      </c>
      <c r="M42" s="60"/>
      <c r="N42" s="962">
        <f>+J42*L42</f>
        <v>3.4272161705780425E-4</v>
      </c>
      <c r="O42" s="60"/>
      <c r="P42" s="695">
        <f>+'J-2 F'!F20</f>
        <v>37866.953405017921</v>
      </c>
      <c r="Q42" s="60"/>
      <c r="R42" s="372">
        <f>ROUND(P42/$P$54,4)</f>
        <v>1.9E-3</v>
      </c>
      <c r="S42" s="60"/>
      <c r="T42" s="961">
        <f>ROUND(+'J-2 F'!L20,4)</f>
        <v>0.1714</v>
      </c>
      <c r="U42" s="61"/>
      <c r="V42" s="962">
        <f>ROUND(R42*T42,4)</f>
        <v>2.9999999999999997E-4</v>
      </c>
    </row>
    <row r="43" spans="1:22">
      <c r="A43" s="37">
        <f>+A42+1</f>
        <v>15</v>
      </c>
      <c r="F43" s="60"/>
      <c r="G43" s="60"/>
      <c r="H43" s="60"/>
      <c r="I43" s="60"/>
      <c r="J43" s="60"/>
      <c r="K43" s="60"/>
      <c r="L43" s="531"/>
      <c r="M43" s="60"/>
      <c r="N43" s="531"/>
      <c r="O43" s="60"/>
      <c r="P43" s="60"/>
      <c r="Q43" s="60"/>
      <c r="R43" s="61"/>
      <c r="S43" s="60"/>
      <c r="T43" s="531"/>
      <c r="U43" s="61"/>
      <c r="V43" s="531"/>
    </row>
    <row r="44" spans="1:22">
      <c r="A44" s="37">
        <f>+A43+1</f>
        <v>16</v>
      </c>
      <c r="C44" s="53" t="s">
        <v>264</v>
      </c>
      <c r="F44" s="60"/>
      <c r="G44" s="60"/>
      <c r="H44" s="747">
        <f>H19</f>
        <v>7213975.1521719238</v>
      </c>
      <c r="I44" s="60"/>
      <c r="J44" s="963">
        <f>ROUND(H44/$H$54,5)</f>
        <v>0.38893</v>
      </c>
      <c r="K44" s="60"/>
      <c r="L44" s="961">
        <f>ROUND('J-3 B'!K41,4)</f>
        <v>3.9699999999999999E-2</v>
      </c>
      <c r="M44" s="60"/>
      <c r="N44" s="964">
        <f>+J44*L44</f>
        <v>1.5440521E-2</v>
      </c>
      <c r="O44" s="60"/>
      <c r="P44" s="701">
        <f>+'J-3 F'!E41*0.001</f>
        <v>7790898.2290950017</v>
      </c>
      <c r="Q44" s="60"/>
      <c r="R44" s="963">
        <f>ROUND(P44/$P$54,4)</f>
        <v>0.38929999999999998</v>
      </c>
      <c r="S44" s="60"/>
      <c r="T44" s="961">
        <f>ROUND('J-3 F'!K41,4)</f>
        <v>4.1099999999999998E-2</v>
      </c>
      <c r="U44" s="61"/>
      <c r="V44" s="965">
        <f>ROUND(R44*T44,4)</f>
        <v>1.6E-2</v>
      </c>
    </row>
    <row r="45" spans="1:22">
      <c r="A45" s="37">
        <f t="shared" ref="A45:A54" si="1">+A44+1</f>
        <v>17</v>
      </c>
      <c r="F45" s="60"/>
      <c r="G45" s="60"/>
      <c r="H45" s="60"/>
      <c r="I45" s="60"/>
      <c r="J45" s="60"/>
      <c r="K45" s="60"/>
      <c r="L45" s="531"/>
      <c r="M45" s="60"/>
      <c r="N45" s="531"/>
      <c r="O45" s="60"/>
      <c r="P45" s="60"/>
      <c r="Q45" s="60"/>
      <c r="R45" s="60"/>
      <c r="S45" s="60"/>
      <c r="T45" s="531"/>
      <c r="U45" s="61"/>
      <c r="V45" s="531"/>
    </row>
    <row r="46" spans="1:22">
      <c r="A46" s="37">
        <f t="shared" si="1"/>
        <v>18</v>
      </c>
      <c r="C46" s="53" t="s">
        <v>379</v>
      </c>
      <c r="F46" s="60"/>
      <c r="G46" s="60"/>
      <c r="H46" s="359">
        <f>H42+H44</f>
        <v>7251842.1055769417</v>
      </c>
      <c r="I46" s="60"/>
      <c r="J46" s="372">
        <f>J42+J44</f>
        <v>0.39093</v>
      </c>
      <c r="K46" s="60"/>
      <c r="L46" s="531"/>
      <c r="M46" s="60"/>
      <c r="N46" s="962">
        <f>N42+N44</f>
        <v>1.5783242617057804E-2</v>
      </c>
      <c r="O46" s="60"/>
      <c r="P46" s="359">
        <f>P42+P44</f>
        <v>7828765.1825000197</v>
      </c>
      <c r="Q46" s="60"/>
      <c r="R46" s="372">
        <f>R42+R44</f>
        <v>0.39119999999999999</v>
      </c>
      <c r="S46" s="60"/>
      <c r="T46" s="531"/>
      <c r="U46" s="61"/>
      <c r="V46" s="962">
        <f>V42+V44</f>
        <v>1.6300000000000002E-2</v>
      </c>
    </row>
    <row r="47" spans="1:22">
      <c r="A47" s="37">
        <f t="shared" si="1"/>
        <v>19</v>
      </c>
      <c r="F47" s="60"/>
      <c r="G47" s="60"/>
      <c r="H47" s="60"/>
      <c r="I47" s="60"/>
      <c r="J47" s="60"/>
      <c r="K47" s="60"/>
      <c r="L47" s="531"/>
      <c r="M47" s="60"/>
      <c r="N47" s="531"/>
      <c r="O47" s="60"/>
      <c r="P47" s="60"/>
      <c r="Q47" s="60"/>
      <c r="R47" s="60"/>
      <c r="S47" s="60"/>
      <c r="T47" s="531"/>
      <c r="U47" s="61"/>
      <c r="V47" s="531"/>
    </row>
    <row r="48" spans="1:22">
      <c r="A48" s="37">
        <f t="shared" si="1"/>
        <v>20</v>
      </c>
      <c r="C48" s="53" t="s">
        <v>265</v>
      </c>
      <c r="F48" s="60"/>
      <c r="G48" s="60"/>
      <c r="H48" s="60">
        <v>0</v>
      </c>
      <c r="I48" s="60"/>
      <c r="J48" s="372">
        <f>ROUND(H48/$H$54,4)</f>
        <v>0</v>
      </c>
      <c r="K48" s="60"/>
      <c r="L48" s="531">
        <v>0</v>
      </c>
      <c r="M48" s="60"/>
      <c r="N48" s="962">
        <f>+J48*L48</f>
        <v>0</v>
      </c>
      <c r="O48" s="60"/>
      <c r="P48" s="60">
        <v>0</v>
      </c>
      <c r="Q48" s="60"/>
      <c r="R48" s="372">
        <f>ROUND(P48/$P$54,4)</f>
        <v>0</v>
      </c>
      <c r="S48" s="60"/>
      <c r="T48" s="531">
        <v>0</v>
      </c>
      <c r="U48" s="61"/>
      <c r="V48" s="962">
        <f>ROUND(R48*T48,4)</f>
        <v>0</v>
      </c>
    </row>
    <row r="49" spans="1:22">
      <c r="A49" s="37">
        <f t="shared" si="1"/>
        <v>21</v>
      </c>
      <c r="H49" s="60"/>
      <c r="L49" s="531"/>
      <c r="N49" s="243"/>
      <c r="P49" s="60"/>
      <c r="T49" s="531"/>
      <c r="U49" s="532"/>
      <c r="V49" s="243"/>
    </row>
    <row r="50" spans="1:22">
      <c r="A50" s="37">
        <f t="shared" si="1"/>
        <v>22</v>
      </c>
      <c r="C50" s="53" t="s">
        <v>266</v>
      </c>
      <c r="H50" s="359">
        <f>H25</f>
        <v>11296404.47738154</v>
      </c>
      <c r="J50" s="372">
        <f>ROUND(H50/$H$54,5)</f>
        <v>0.60902999999999996</v>
      </c>
      <c r="L50" s="962">
        <f>+N50/J50</f>
        <v>5.0572249718228941E-2</v>
      </c>
      <c r="N50" s="962">
        <f>+N54-N46</f>
        <v>3.0800017245892972E-2</v>
      </c>
      <c r="P50" s="359">
        <f>P25</f>
        <v>12183077.097279999</v>
      </c>
      <c r="R50" s="372">
        <f>+ROUND(P50/P54,5)</f>
        <v>0.60879000000000005</v>
      </c>
      <c r="T50" s="962">
        <f>+V50/R50</f>
        <v>4.1886364756319898E-2</v>
      </c>
      <c r="U50" s="532"/>
      <c r="V50" s="962">
        <f>+V54-V46</f>
        <v>2.5499999999999995E-2</v>
      </c>
    </row>
    <row r="51" spans="1:22">
      <c r="A51" s="37">
        <f t="shared" si="1"/>
        <v>23</v>
      </c>
      <c r="H51" s="60"/>
      <c r="L51" s="531"/>
      <c r="N51" s="243"/>
      <c r="P51" s="60"/>
      <c r="T51" s="531"/>
      <c r="U51" s="532"/>
      <c r="V51" s="243"/>
    </row>
    <row r="52" spans="1:22">
      <c r="A52" s="37">
        <f t="shared" si="1"/>
        <v>24</v>
      </c>
      <c r="C52" s="53" t="s">
        <v>412</v>
      </c>
      <c r="H52" s="62">
        <v>0</v>
      </c>
      <c r="J52" s="957">
        <f>ROUND(H52/$H$29,4)</f>
        <v>0</v>
      </c>
      <c r="L52" s="531">
        <v>0</v>
      </c>
      <c r="N52" s="964">
        <f>+J52*L52</f>
        <v>0</v>
      </c>
      <c r="P52" s="62">
        <v>0</v>
      </c>
      <c r="R52" s="957">
        <f>ROUND(P52/$H$54,4)</f>
        <v>0</v>
      </c>
      <c r="T52" s="531">
        <v>0</v>
      </c>
      <c r="U52" s="532"/>
      <c r="V52" s="965">
        <f>ROUND(R52*T52,4)</f>
        <v>0</v>
      </c>
    </row>
    <row r="53" spans="1:22">
      <c r="A53" s="37">
        <f t="shared" si="1"/>
        <v>25</v>
      </c>
      <c r="H53" s="60"/>
      <c r="L53" s="531"/>
      <c r="P53" s="60"/>
      <c r="T53" s="61"/>
      <c r="U53" s="532"/>
      <c r="V53" s="532"/>
    </row>
    <row r="54" spans="1:22" ht="15.75" thickBot="1">
      <c r="A54" s="37">
        <f t="shared" si="1"/>
        <v>26</v>
      </c>
      <c r="C54" s="53" t="s">
        <v>380</v>
      </c>
      <c r="H54" s="966">
        <f>H46+H50+H52</f>
        <v>18548246.582958482</v>
      </c>
      <c r="J54" s="967">
        <f>SUM(J46:J52)</f>
        <v>0.99995999999999996</v>
      </c>
      <c r="L54" s="75"/>
      <c r="N54" s="968">
        <f>+C.2!D33/'B.1 B'!F27</f>
        <v>4.6583259862950775E-2</v>
      </c>
      <c r="P54" s="966">
        <f>SUM(P46:P52)</f>
        <v>20011842.279780019</v>
      </c>
      <c r="R54" s="967">
        <f>SUM(R46:R52)</f>
        <v>0.99999000000000005</v>
      </c>
      <c r="T54" s="61"/>
      <c r="U54" s="532"/>
      <c r="V54" s="968">
        <f>+A.1!G20</f>
        <v>4.1799999999999997E-2</v>
      </c>
    </row>
    <row r="55" spans="1:22" ht="15.75" thickTop="1">
      <c r="H55" s="60"/>
      <c r="P55" s="60"/>
      <c r="T55" s="532"/>
      <c r="U55" s="532"/>
      <c r="V55" s="532"/>
    </row>
    <row r="56" spans="1:22"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22">
      <c r="F57" s="60"/>
      <c r="G57" s="60"/>
      <c r="H57" s="60"/>
      <c r="I57" s="60"/>
      <c r="J57" s="61"/>
      <c r="K57" s="60"/>
      <c r="L57" s="75"/>
      <c r="M57" s="60"/>
      <c r="N57" s="75"/>
      <c r="O57" s="60"/>
      <c r="P57" s="60"/>
    </row>
    <row r="58" spans="1:22">
      <c r="F58" s="60"/>
      <c r="G58" s="60"/>
      <c r="H58" s="60"/>
      <c r="I58" s="60"/>
      <c r="J58" s="60"/>
      <c r="K58" s="60"/>
      <c r="L58" s="75"/>
      <c r="M58" s="60"/>
      <c r="N58" s="60"/>
      <c r="O58" s="60"/>
      <c r="P58" s="60"/>
    </row>
    <row r="59" spans="1:22">
      <c r="F59" s="60"/>
      <c r="G59" s="60"/>
      <c r="H59" s="60"/>
      <c r="I59" s="60"/>
      <c r="J59" s="61"/>
      <c r="K59" s="60"/>
      <c r="L59" s="75"/>
      <c r="M59" s="60"/>
      <c r="N59" s="75"/>
      <c r="O59" s="60"/>
      <c r="P59" s="60"/>
    </row>
    <row r="60" spans="1:22">
      <c r="F60" s="60"/>
      <c r="G60" s="60"/>
      <c r="H60" s="60"/>
      <c r="I60" s="60"/>
      <c r="J60" s="60"/>
      <c r="K60" s="60"/>
      <c r="L60" s="75"/>
      <c r="M60" s="60"/>
      <c r="N60" s="60"/>
      <c r="O60" s="60"/>
      <c r="P60" s="60"/>
    </row>
    <row r="61" spans="1:22">
      <c r="F61" s="60"/>
      <c r="G61" s="60"/>
      <c r="H61" s="60"/>
      <c r="I61" s="60"/>
      <c r="J61" s="61"/>
      <c r="K61" s="60"/>
      <c r="L61" s="75"/>
      <c r="M61" s="60"/>
      <c r="N61" s="75"/>
      <c r="O61" s="60"/>
      <c r="P61" s="60"/>
    </row>
    <row r="62" spans="1:22">
      <c r="F62" s="60"/>
      <c r="G62" s="60"/>
      <c r="H62" s="60"/>
      <c r="I62" s="60"/>
      <c r="J62" s="60"/>
      <c r="K62" s="60"/>
      <c r="L62" s="60"/>
      <c r="M62" s="60"/>
      <c r="N62" s="60"/>
      <c r="O62" s="60"/>
    </row>
  </sheetData>
  <mergeCells count="5">
    <mergeCell ref="A5:V5"/>
    <mergeCell ref="A1:V1"/>
    <mergeCell ref="A2:V2"/>
    <mergeCell ref="A3:V3"/>
    <mergeCell ref="A4:V4"/>
  </mergeCells>
  <phoneticPr fontId="20" type="noConversion"/>
  <printOptions horizontalCentered="1"/>
  <pageMargins left="0.74" right="0.43" top="0.91" bottom="1" header="0.5" footer="0.5"/>
  <pageSetup scale="59" orientation="portrait" verticalDpi="300" r:id="rId1"/>
  <headerFooter alignWithMargins="0">
    <oddFooter>&amp;RSchedule &amp;A
Page &amp;P of &amp;N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92D050"/>
    <pageSetUpPr fitToPage="1"/>
  </sheetPr>
  <dimension ref="A1:Q33"/>
  <sheetViews>
    <sheetView view="pageBreakPreview" zoomScale="80" zoomScaleNormal="100" zoomScaleSheetLayoutView="80" workbookViewId="0">
      <selection sqref="A1:L1"/>
    </sheetView>
  </sheetViews>
  <sheetFormatPr defaultColWidth="10.109375" defaultRowHeight="15"/>
  <cols>
    <col min="1" max="1" width="6.5546875" style="1" customWidth="1"/>
    <col min="2" max="2" width="3.33203125" style="1" customWidth="1"/>
    <col min="3" max="3" width="16.109375" style="1" customWidth="1"/>
    <col min="4" max="4" width="11" style="1" customWidth="1"/>
    <col min="5" max="5" width="5.88671875" style="1" customWidth="1"/>
    <col min="6" max="6" width="13.109375" style="1" bestFit="1" customWidth="1"/>
    <col min="7" max="7" width="5" style="1" customWidth="1"/>
    <col min="8" max="8" width="10.109375" style="1"/>
    <col min="9" max="9" width="5" style="1" customWidth="1"/>
    <col min="10" max="10" width="10.109375" style="1" customWidth="1"/>
    <col min="11" max="11" width="6.33203125" style="1" customWidth="1"/>
    <col min="12" max="12" width="11.88671875" style="1" customWidth="1"/>
    <col min="13" max="16384" width="10.109375" style="1"/>
  </cols>
  <sheetData>
    <row r="1" spans="1:17">
      <c r="A1" s="1075" t="str">
        <f>'Table of Contents'!A1:C1</f>
        <v>Atmos Energy Corporation, Kentucky/Mid-States Division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</row>
    <row r="2" spans="1:17">
      <c r="A2" s="1075" t="str">
        <f>'Table of Contents'!A2:C2</f>
        <v xml:space="preserve">Kentucky Jurisdiction Case No. 2024-00276 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</row>
    <row r="3" spans="1:17">
      <c r="A3" s="1054" t="s">
        <v>499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</row>
    <row r="4" spans="1:17">
      <c r="A4" s="1054" t="s">
        <v>1592</v>
      </c>
      <c r="B4" s="1054"/>
      <c r="C4" s="1054"/>
      <c r="D4" s="1054"/>
      <c r="E4" s="1054"/>
      <c r="F4" s="1054"/>
      <c r="G4" s="1054"/>
      <c r="H4" s="1054"/>
      <c r="I4" s="1054"/>
      <c r="J4" s="1054"/>
      <c r="K4" s="1054"/>
      <c r="L4" s="1054"/>
    </row>
    <row r="5" spans="1:17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</row>
    <row r="6" spans="1:17">
      <c r="L6" s="84" t="s">
        <v>1327</v>
      </c>
    </row>
    <row r="7" spans="1:17">
      <c r="A7" s="699" t="str">
        <f>'J-1 Base'!A7</f>
        <v>Data:__X___Base Period______Forecasted Period</v>
      </c>
      <c r="L7" s="17" t="s">
        <v>47</v>
      </c>
    </row>
    <row r="8" spans="1:17">
      <c r="A8" s="699" t="str">
        <f>'J-1 Base'!A8</f>
        <v>Type of Filing:___X____Original________Updated ________Revised</v>
      </c>
      <c r="L8" s="17" t="s">
        <v>822</v>
      </c>
    </row>
    <row r="9" spans="1:17">
      <c r="A9" s="717" t="str">
        <f>'J-1 Base'!A9</f>
        <v>Workpaper Reference No(s).____________________</v>
      </c>
      <c r="B9" s="6"/>
      <c r="C9" s="6"/>
      <c r="D9" s="6"/>
      <c r="E9" s="6"/>
      <c r="F9" s="6"/>
      <c r="G9" s="6"/>
      <c r="H9" s="6"/>
      <c r="I9" s="6"/>
      <c r="J9" s="6"/>
      <c r="K9" s="28"/>
      <c r="L9" s="704" t="str">
        <f>'J-1 Base'!M9</f>
        <v>Witness: Christian</v>
      </c>
    </row>
    <row r="10" spans="1:17">
      <c r="H10" s="38">
        <v>-1</v>
      </c>
      <c r="J10" s="2" t="s">
        <v>341</v>
      </c>
      <c r="L10" s="2" t="s">
        <v>1102</v>
      </c>
    </row>
    <row r="11" spans="1:17">
      <c r="A11" s="2" t="s">
        <v>88</v>
      </c>
      <c r="F11" s="2" t="s">
        <v>99</v>
      </c>
      <c r="H11" s="2" t="s">
        <v>260</v>
      </c>
      <c r="J11" s="2" t="s">
        <v>342</v>
      </c>
      <c r="L11" s="2" t="s">
        <v>260</v>
      </c>
    </row>
    <row r="12" spans="1:17">
      <c r="A12" s="9" t="s">
        <v>94</v>
      </c>
      <c r="B12" s="6"/>
      <c r="C12" s="9" t="s">
        <v>343</v>
      </c>
      <c r="D12" s="6"/>
      <c r="E12" s="6"/>
      <c r="F12" s="9" t="s">
        <v>340</v>
      </c>
      <c r="G12" s="6"/>
      <c r="H12" s="9" t="s">
        <v>543</v>
      </c>
      <c r="I12" s="6"/>
      <c r="J12" s="9" t="s">
        <v>0</v>
      </c>
      <c r="K12" s="6"/>
      <c r="L12" s="9" t="s">
        <v>543</v>
      </c>
    </row>
    <row r="13" spans="1:17">
      <c r="C13" s="2" t="s">
        <v>1042</v>
      </c>
      <c r="F13" s="2" t="s">
        <v>1043</v>
      </c>
      <c r="H13" s="2" t="s">
        <v>1044</v>
      </c>
      <c r="J13" s="2" t="s">
        <v>14</v>
      </c>
      <c r="L13" s="2" t="s">
        <v>162</v>
      </c>
    </row>
    <row r="14" spans="1:17">
      <c r="F14" s="2" t="s">
        <v>596</v>
      </c>
      <c r="J14" s="2" t="s">
        <v>596</v>
      </c>
    </row>
    <row r="16" spans="1:17" ht="15.75">
      <c r="A16" s="2" t="s">
        <v>357</v>
      </c>
      <c r="C16" s="4" t="s">
        <v>867</v>
      </c>
      <c r="F16" s="969">
        <v>37866.953405017921</v>
      </c>
      <c r="G16" s="44"/>
      <c r="H16" s="970">
        <v>5.5082645185825813E-2</v>
      </c>
      <c r="I16" s="3"/>
      <c r="J16" s="739">
        <f>F16*H16</f>
        <v>2085.8119586768007</v>
      </c>
      <c r="K16" s="10"/>
      <c r="L16" s="10"/>
      <c r="M16" s="614"/>
      <c r="N16" s="431"/>
      <c r="O16" s="10"/>
      <c r="P16" s="10"/>
      <c r="Q16" s="10"/>
    </row>
    <row r="17" spans="1:17">
      <c r="A17" s="38">
        <f>+A16+1</f>
        <v>2</v>
      </c>
    </row>
    <row r="18" spans="1:17">
      <c r="A18" s="38">
        <f t="shared" ref="A18:A20" si="0">+A17+1</f>
        <v>3</v>
      </c>
      <c r="C18" s="4" t="s">
        <v>1477</v>
      </c>
      <c r="F18" s="29"/>
      <c r="G18" s="10"/>
      <c r="H18" s="10"/>
      <c r="I18" s="3"/>
      <c r="J18" s="969">
        <v>4403.0997933333338</v>
      </c>
      <c r="K18" s="10"/>
      <c r="L18" s="10"/>
      <c r="M18" s="10"/>
      <c r="N18" s="431"/>
      <c r="O18" s="10"/>
      <c r="P18" s="10"/>
      <c r="Q18" s="10"/>
    </row>
    <row r="19" spans="1:17">
      <c r="A19" s="38">
        <f t="shared" si="0"/>
        <v>4</v>
      </c>
      <c r="F19" s="10"/>
      <c r="G19" s="10"/>
      <c r="H19" s="11"/>
      <c r="I19" s="10"/>
      <c r="J19" s="10"/>
      <c r="K19" s="10"/>
      <c r="L19" s="10"/>
      <c r="M19" s="10"/>
      <c r="N19" s="10"/>
      <c r="O19" s="10"/>
      <c r="P19" s="10"/>
      <c r="Q19" s="10"/>
    </row>
    <row r="20" spans="1:17">
      <c r="A20" s="38">
        <f t="shared" si="0"/>
        <v>5</v>
      </c>
      <c r="C20" s="4" t="s">
        <v>868</v>
      </c>
      <c r="F20" s="691">
        <f>SUM(F16:F18)</f>
        <v>37866.953405017921</v>
      </c>
      <c r="G20" s="10"/>
      <c r="H20" s="10"/>
      <c r="I20" s="3"/>
      <c r="J20" s="691">
        <f>SUM(J16:J18)</f>
        <v>6488.9117520101345</v>
      </c>
      <c r="K20" s="10"/>
      <c r="L20" s="372">
        <f>(J20/F20)</f>
        <v>0.17136080852890212</v>
      </c>
      <c r="M20" s="10"/>
      <c r="N20" s="10"/>
      <c r="O20" s="10"/>
      <c r="P20" s="10"/>
      <c r="Q20" s="10"/>
    </row>
    <row r="21" spans="1:17">
      <c r="F21" s="10"/>
      <c r="G21" s="10"/>
      <c r="H21" s="11"/>
      <c r="I21" s="3"/>
      <c r="J21" s="3"/>
      <c r="K21" s="10"/>
      <c r="L21" s="10"/>
      <c r="M21" s="10"/>
      <c r="N21" s="10"/>
      <c r="O21" s="10"/>
      <c r="P21" s="10"/>
      <c r="Q21" s="10"/>
    </row>
    <row r="22" spans="1:17">
      <c r="F22" s="10"/>
      <c r="G22" s="10"/>
      <c r="H22" s="11"/>
      <c r="I22" s="3"/>
      <c r="J22" s="3"/>
      <c r="K22" s="10"/>
      <c r="L22" s="10"/>
      <c r="M22" s="10"/>
      <c r="N22" s="10"/>
      <c r="O22" s="10"/>
      <c r="P22" s="10"/>
      <c r="Q22" s="10"/>
    </row>
    <row r="23" spans="1:17">
      <c r="F23" s="10"/>
      <c r="G23" s="10"/>
      <c r="H23" s="11"/>
      <c r="I23" s="3"/>
      <c r="J23" s="3"/>
      <c r="K23" s="10"/>
      <c r="L23" s="10"/>
      <c r="M23" s="10"/>
      <c r="N23" s="10"/>
      <c r="O23" s="10"/>
      <c r="P23" s="10"/>
      <c r="Q23" s="10"/>
    </row>
    <row r="24" spans="1:17" ht="15.75">
      <c r="B24" s="65"/>
      <c r="G24" s="10"/>
      <c r="I24" s="3"/>
    </row>
    <row r="25" spans="1:17">
      <c r="C25" s="4" t="s">
        <v>498</v>
      </c>
      <c r="G25" s="10"/>
      <c r="H25" s="11"/>
      <c r="I25" s="3"/>
      <c r="J25" s="3"/>
    </row>
    <row r="26" spans="1:17">
      <c r="C26" s="4"/>
      <c r="G26" s="10"/>
      <c r="H26" s="11"/>
      <c r="I26" s="3"/>
      <c r="J26" s="3"/>
    </row>
    <row r="27" spans="1:17">
      <c r="C27" s="48" t="s">
        <v>1593</v>
      </c>
      <c r="D27"/>
      <c r="E27"/>
      <c r="F27"/>
      <c r="G27"/>
      <c r="H27"/>
      <c r="I27"/>
      <c r="J27"/>
      <c r="K27"/>
    </row>
    <row r="28" spans="1:17">
      <c r="C28" s="94"/>
      <c r="D28"/>
      <c r="E28"/>
      <c r="F28"/>
      <c r="G28"/>
      <c r="H28"/>
      <c r="I28"/>
      <c r="J28"/>
      <c r="K28"/>
    </row>
    <row r="29" spans="1:17">
      <c r="C29" s="66"/>
      <c r="D29"/>
      <c r="E29"/>
      <c r="F29"/>
      <c r="G29"/>
      <c r="H29"/>
      <c r="I29"/>
      <c r="J29"/>
      <c r="K29"/>
    </row>
    <row r="30" spans="1:17">
      <c r="C30" s="66"/>
      <c r="D30"/>
      <c r="E30"/>
      <c r="F30"/>
      <c r="G30" s="60"/>
      <c r="H30"/>
      <c r="I30" s="75"/>
      <c r="J30"/>
      <c r="K30"/>
    </row>
    <row r="31" spans="1:17">
      <c r="C31"/>
      <c r="D31"/>
      <c r="E31"/>
      <c r="F31"/>
      <c r="G31" s="60"/>
      <c r="H31" s="60"/>
      <c r="I31" s="75"/>
      <c r="J31" s="75"/>
      <c r="K31"/>
    </row>
    <row r="32" spans="1:17">
      <c r="C32" s="66"/>
      <c r="D32"/>
      <c r="E32"/>
      <c r="F32"/>
      <c r="G32" s="60"/>
      <c r="H32"/>
      <c r="I32"/>
      <c r="J32"/>
      <c r="K32"/>
    </row>
    <row r="33" spans="3:11">
      <c r="C33" s="66"/>
      <c r="D33"/>
      <c r="E33"/>
      <c r="F33"/>
      <c r="G33"/>
      <c r="H33"/>
      <c r="I33"/>
      <c r="J33"/>
      <c r="K33"/>
    </row>
  </sheetData>
  <mergeCells count="4">
    <mergeCell ref="A1:L1"/>
    <mergeCell ref="A2:L2"/>
    <mergeCell ref="A3:L3"/>
    <mergeCell ref="A4:L4"/>
  </mergeCells>
  <phoneticPr fontId="20" type="noConversion"/>
  <printOptions horizontalCentered="1"/>
  <pageMargins left="0.75" right="0.75" top="0.82" bottom="1" header="0.5" footer="0.5"/>
  <pageSetup scale="97" orientation="landscape" verticalDpi="300" r:id="rId1"/>
  <headerFooter alignWithMargins="0">
    <oddFooter>&amp;RSchedule &amp;A
Page &amp;P of &amp;N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92D050"/>
    <pageSetUpPr fitToPage="1"/>
  </sheetPr>
  <dimension ref="A1:P49"/>
  <sheetViews>
    <sheetView view="pageBreakPreview" zoomScale="80" zoomScaleNormal="100" zoomScaleSheetLayoutView="80" workbookViewId="0">
      <selection sqref="A1:K1"/>
    </sheetView>
  </sheetViews>
  <sheetFormatPr defaultColWidth="8.5546875" defaultRowHeight="15"/>
  <cols>
    <col min="1" max="1" width="4.21875" customWidth="1"/>
    <col min="2" max="2" width="1.88671875" customWidth="1"/>
    <col min="3" max="3" width="52.21875" bestFit="1" customWidth="1"/>
    <col min="4" max="4" width="3" customWidth="1"/>
    <col min="5" max="5" width="17.109375" customWidth="1"/>
    <col min="6" max="6" width="2.77734375" customWidth="1"/>
    <col min="7" max="7" width="7.5546875" customWidth="1"/>
    <col min="8" max="8" width="2.33203125" customWidth="1"/>
    <col min="9" max="9" width="14.77734375" customWidth="1"/>
    <col min="10" max="10" width="2" customWidth="1"/>
    <col min="11" max="11" width="9.21875" customWidth="1"/>
    <col min="13" max="13" width="9.44140625" customWidth="1"/>
    <col min="14" max="14" width="11.44140625" bestFit="1" customWidth="1"/>
    <col min="16" max="16" width="11.109375" customWidth="1"/>
  </cols>
  <sheetData>
    <row r="1" spans="1:12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</row>
    <row r="2" spans="1:12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</row>
    <row r="3" spans="1:12">
      <c r="A3" s="1053" t="s">
        <v>1045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</row>
    <row r="4" spans="1:12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</row>
    <row r="6" spans="1:12">
      <c r="A6" s="53" t="s">
        <v>361</v>
      </c>
      <c r="K6" s="476" t="s">
        <v>1327</v>
      </c>
    </row>
    <row r="7" spans="1:12">
      <c r="A7" s="48" t="s">
        <v>588</v>
      </c>
      <c r="K7" s="314" t="s">
        <v>46</v>
      </c>
    </row>
    <row r="8" spans="1:12">
      <c r="A8" s="54" t="s">
        <v>356</v>
      </c>
      <c r="B8" s="55"/>
      <c r="C8" s="55"/>
      <c r="D8" s="55"/>
      <c r="E8" s="55"/>
      <c r="F8" s="55"/>
      <c r="G8" s="55"/>
      <c r="H8" s="55"/>
      <c r="I8" s="55"/>
      <c r="J8" s="36"/>
      <c r="K8" s="704" t="str">
        <f>'J-1 Base'!$M$9</f>
        <v>Witness: Christian</v>
      </c>
    </row>
    <row r="9" spans="1:12">
      <c r="A9" s="53"/>
      <c r="K9" s="314"/>
    </row>
    <row r="10" spans="1:12">
      <c r="E10" s="37" t="s">
        <v>823</v>
      </c>
      <c r="I10" s="57" t="s">
        <v>341</v>
      </c>
      <c r="K10" s="57" t="s">
        <v>1102</v>
      </c>
    </row>
    <row r="11" spans="1:12">
      <c r="A11" s="57" t="s">
        <v>88</v>
      </c>
      <c r="E11" s="57" t="s">
        <v>99</v>
      </c>
      <c r="G11" s="57" t="s">
        <v>260</v>
      </c>
      <c r="I11" s="57" t="s">
        <v>342</v>
      </c>
      <c r="K11" s="57" t="s">
        <v>260</v>
      </c>
    </row>
    <row r="12" spans="1:12">
      <c r="A12" s="58" t="s">
        <v>94</v>
      </c>
      <c r="B12" s="55"/>
      <c r="C12" s="58" t="s">
        <v>343</v>
      </c>
      <c r="D12" s="55"/>
      <c r="E12" s="58" t="s">
        <v>340</v>
      </c>
      <c r="F12" s="55"/>
      <c r="G12" s="58" t="s">
        <v>543</v>
      </c>
      <c r="H12" s="55"/>
      <c r="I12" s="58" t="s">
        <v>0</v>
      </c>
      <c r="J12" s="55"/>
      <c r="K12" s="58" t="s">
        <v>543</v>
      </c>
    </row>
    <row r="13" spans="1:12">
      <c r="C13" s="57" t="s">
        <v>1042</v>
      </c>
      <c r="E13" s="57" t="s">
        <v>1043</v>
      </c>
      <c r="G13" s="57" t="s">
        <v>1044</v>
      </c>
      <c r="I13" s="57" t="s">
        <v>14</v>
      </c>
      <c r="K13" s="57" t="s">
        <v>162</v>
      </c>
    </row>
    <row r="14" spans="1:12">
      <c r="E14" s="57"/>
      <c r="I14" s="57"/>
    </row>
    <row r="16" spans="1:12" ht="15.75">
      <c r="A16" s="57">
        <v>1</v>
      </c>
      <c r="C16" s="53" t="s">
        <v>1390</v>
      </c>
      <c r="E16" s="969">
        <v>150000000</v>
      </c>
      <c r="F16" s="60"/>
      <c r="G16" s="971">
        <v>6.7500000000000004E-2</v>
      </c>
      <c r="H16" s="75"/>
      <c r="I16" s="859">
        <f>(E16*G16)</f>
        <v>10125000</v>
      </c>
      <c r="J16" s="60"/>
      <c r="K16" s="60"/>
      <c r="L16" s="614"/>
    </row>
    <row r="17" spans="1:12">
      <c r="A17" s="605">
        <f t="shared" ref="A17:A41" si="0">A16+1</f>
        <v>2</v>
      </c>
      <c r="C17" s="53" t="s">
        <v>1391</v>
      </c>
      <c r="E17" s="850">
        <v>10000000</v>
      </c>
      <c r="F17" s="60"/>
      <c r="G17" s="971">
        <v>6.6699999999999995E-2</v>
      </c>
      <c r="H17" s="75"/>
      <c r="I17" s="859">
        <f t="shared" ref="I17:I32" si="1">(E17*G17)</f>
        <v>667000</v>
      </c>
    </row>
    <row r="18" spans="1:12">
      <c r="A18" s="605">
        <f t="shared" si="0"/>
        <v>3</v>
      </c>
      <c r="C18" s="53" t="s">
        <v>1392</v>
      </c>
      <c r="E18" s="850">
        <v>200000000</v>
      </c>
      <c r="F18" s="60"/>
      <c r="G18" s="971">
        <v>5.9499999999999997E-2</v>
      </c>
      <c r="H18" s="60"/>
      <c r="I18" s="859">
        <f t="shared" si="1"/>
        <v>11900000</v>
      </c>
      <c r="J18" s="60"/>
      <c r="K18" s="60"/>
      <c r="L18" s="60"/>
    </row>
    <row r="19" spans="1:12">
      <c r="A19" s="605">
        <f t="shared" si="0"/>
        <v>4</v>
      </c>
      <c r="C19" s="53" t="s">
        <v>1520</v>
      </c>
      <c r="E19" s="850">
        <v>600000000</v>
      </c>
      <c r="F19" s="60"/>
      <c r="G19" s="971">
        <v>4.2999999999999997E-2</v>
      </c>
      <c r="H19" s="75"/>
      <c r="I19" s="859">
        <f t="shared" si="1"/>
        <v>25799999.999999996</v>
      </c>
      <c r="J19" s="60"/>
      <c r="K19" s="61"/>
      <c r="L19" s="60"/>
    </row>
    <row r="20" spans="1:12">
      <c r="A20" s="605">
        <f t="shared" si="0"/>
        <v>5</v>
      </c>
      <c r="C20" s="53" t="s">
        <v>1393</v>
      </c>
      <c r="E20" s="850">
        <v>400000000</v>
      </c>
      <c r="F20" s="60"/>
      <c r="G20" s="971">
        <v>5.5E-2</v>
      </c>
      <c r="H20" s="75"/>
      <c r="I20" s="859">
        <f t="shared" si="1"/>
        <v>22000000</v>
      </c>
      <c r="J20" s="60"/>
      <c r="K20" s="61"/>
      <c r="L20" s="60"/>
    </row>
    <row r="21" spans="1:12">
      <c r="A21" s="605">
        <f t="shared" si="0"/>
        <v>6</v>
      </c>
      <c r="C21" s="53" t="s">
        <v>1394</v>
      </c>
      <c r="E21" s="850">
        <v>500000000</v>
      </c>
      <c r="F21" s="60"/>
      <c r="G21" s="971">
        <v>4.1500000000000002E-2</v>
      </c>
      <c r="H21" s="75"/>
      <c r="I21" s="859">
        <f t="shared" si="1"/>
        <v>20750000</v>
      </c>
      <c r="J21" s="60"/>
      <c r="K21" s="61"/>
      <c r="L21" s="60"/>
    </row>
    <row r="22" spans="1:12">
      <c r="A22" s="605">
        <f t="shared" si="0"/>
        <v>7</v>
      </c>
      <c r="C22" s="53" t="s">
        <v>1521</v>
      </c>
      <c r="E22" s="850">
        <v>750000000</v>
      </c>
      <c r="F22" s="60"/>
      <c r="G22" s="971">
        <v>4.1250000000000002E-2</v>
      </c>
      <c r="H22" s="75"/>
      <c r="I22" s="859">
        <f t="shared" si="1"/>
        <v>30937500</v>
      </c>
      <c r="J22" s="60"/>
      <c r="K22" s="61"/>
      <c r="L22" s="60"/>
    </row>
    <row r="23" spans="1:12">
      <c r="A23" s="605">
        <f t="shared" si="0"/>
        <v>8</v>
      </c>
      <c r="C23" s="53" t="s">
        <v>1522</v>
      </c>
      <c r="E23" s="850">
        <v>500000000</v>
      </c>
      <c r="F23" s="60"/>
      <c r="G23" s="971">
        <v>0.03</v>
      </c>
      <c r="H23" s="75"/>
      <c r="I23" s="859">
        <f t="shared" si="1"/>
        <v>15000000</v>
      </c>
      <c r="J23" s="60"/>
      <c r="K23" s="61"/>
      <c r="L23" s="60"/>
    </row>
    <row r="24" spans="1:12">
      <c r="A24" s="605">
        <f t="shared" si="0"/>
        <v>9</v>
      </c>
      <c r="C24" s="53" t="s">
        <v>1523</v>
      </c>
      <c r="E24" s="850">
        <v>450000000</v>
      </c>
      <c r="F24" s="60"/>
      <c r="G24" s="971">
        <v>4.1250000000000002E-2</v>
      </c>
      <c r="H24" s="75"/>
      <c r="I24" s="859">
        <f t="shared" si="1"/>
        <v>18562500</v>
      </c>
      <c r="J24" s="60"/>
      <c r="K24" s="60"/>
      <c r="L24" s="60"/>
    </row>
    <row r="25" spans="1:12">
      <c r="A25" s="605">
        <f t="shared" si="0"/>
        <v>10</v>
      </c>
      <c r="C25" s="53" t="s">
        <v>1524</v>
      </c>
      <c r="E25" s="850">
        <v>500000000</v>
      </c>
      <c r="F25" s="60"/>
      <c r="G25" s="971">
        <v>2.6249999999999999E-2</v>
      </c>
      <c r="H25" s="75"/>
      <c r="I25" s="859">
        <f t="shared" si="1"/>
        <v>13125000</v>
      </c>
    </row>
    <row r="26" spans="1:12">
      <c r="A26" s="605">
        <f t="shared" si="0"/>
        <v>11</v>
      </c>
      <c r="C26" s="53" t="s">
        <v>1525</v>
      </c>
      <c r="E26" s="850">
        <v>500000000</v>
      </c>
      <c r="F26" s="60"/>
      <c r="G26" s="971">
        <v>3.3750000000000002E-2</v>
      </c>
      <c r="H26" s="75"/>
      <c r="I26" s="859">
        <f t="shared" si="1"/>
        <v>16875000</v>
      </c>
    </row>
    <row r="27" spans="1:12">
      <c r="A27" s="605">
        <f t="shared" si="0"/>
        <v>12</v>
      </c>
      <c r="C27" s="53" t="s">
        <v>1526</v>
      </c>
      <c r="E27" s="850">
        <v>600000000</v>
      </c>
      <c r="F27" s="60"/>
      <c r="G27" s="971">
        <v>1.4999999999999999E-2</v>
      </c>
      <c r="H27" s="75"/>
      <c r="I27" s="859">
        <f t="shared" si="1"/>
        <v>9000000</v>
      </c>
    </row>
    <row r="28" spans="1:12">
      <c r="A28" s="605">
        <f t="shared" si="0"/>
        <v>13</v>
      </c>
      <c r="C28" t="s">
        <v>1594</v>
      </c>
      <c r="E28" s="850">
        <v>600000000</v>
      </c>
      <c r="F28" s="60"/>
      <c r="G28" s="971">
        <v>2.8500000000000001E-2</v>
      </c>
      <c r="H28" s="75"/>
      <c r="I28" s="859">
        <f t="shared" si="1"/>
        <v>17100000</v>
      </c>
    </row>
    <row r="29" spans="1:12">
      <c r="A29" s="605">
        <f t="shared" si="0"/>
        <v>14</v>
      </c>
      <c r="C29" s="53" t="s">
        <v>1595</v>
      </c>
      <c r="E29" s="850">
        <v>300000000</v>
      </c>
      <c r="F29" s="60"/>
      <c r="G29" s="971">
        <v>5.45E-2</v>
      </c>
      <c r="H29" s="75"/>
      <c r="I29" s="859">
        <f t="shared" si="1"/>
        <v>16350000</v>
      </c>
    </row>
    <row r="30" spans="1:12">
      <c r="A30" s="605">
        <f t="shared" si="0"/>
        <v>15</v>
      </c>
      <c r="C30" s="53" t="s">
        <v>1596</v>
      </c>
      <c r="E30" s="850">
        <v>500000000</v>
      </c>
      <c r="F30" s="60"/>
      <c r="G30" s="971">
        <v>5.7500000000000002E-2</v>
      </c>
      <c r="H30" s="75"/>
      <c r="I30" s="859">
        <f t="shared" si="1"/>
        <v>28750000</v>
      </c>
    </row>
    <row r="31" spans="1:12">
      <c r="A31" s="605">
        <f t="shared" si="0"/>
        <v>16</v>
      </c>
      <c r="C31" s="53" t="s">
        <v>1597</v>
      </c>
      <c r="E31" s="850">
        <v>301923076.92307693</v>
      </c>
      <c r="F31" s="60"/>
      <c r="G31" s="971">
        <v>5.8999999999999997E-2</v>
      </c>
      <c r="H31" s="75"/>
      <c r="I31" s="859">
        <f t="shared" si="1"/>
        <v>17813461.538461536</v>
      </c>
    </row>
    <row r="32" spans="1:12">
      <c r="A32" s="605">
        <f t="shared" si="0"/>
        <v>17</v>
      </c>
      <c r="C32" s="53" t="s">
        <v>1598</v>
      </c>
      <c r="E32" s="850">
        <v>346153846.15384614</v>
      </c>
      <c r="F32" s="60"/>
      <c r="G32" s="971">
        <v>6.2E-2</v>
      </c>
      <c r="H32" s="75"/>
      <c r="I32" s="995">
        <f t="shared" si="1"/>
        <v>21461538.46153846</v>
      </c>
    </row>
    <row r="33" spans="1:16">
      <c r="A33" s="605">
        <f t="shared" si="0"/>
        <v>18</v>
      </c>
      <c r="C33" s="53" t="s">
        <v>91</v>
      </c>
      <c r="E33" s="972">
        <f>SUM(E16:E32)</f>
        <v>7208076923.0769224</v>
      </c>
      <c r="F33" s="60"/>
      <c r="G33" s="519"/>
      <c r="I33" s="973">
        <f>SUM(I16:I32)</f>
        <v>296217000</v>
      </c>
    </row>
    <row r="34" spans="1:16">
      <c r="A34" s="605">
        <f t="shared" si="0"/>
        <v>19</v>
      </c>
      <c r="C34" s="53"/>
      <c r="E34" s="235"/>
      <c r="F34" s="60"/>
      <c r="G34" s="519"/>
      <c r="I34" s="60"/>
      <c r="M34" s="60"/>
      <c r="N34" s="60"/>
      <c r="O34" s="519"/>
      <c r="P34" s="60"/>
    </row>
    <row r="35" spans="1:16">
      <c r="A35" s="605">
        <f t="shared" si="0"/>
        <v>20</v>
      </c>
      <c r="C35" s="53" t="s">
        <v>1244</v>
      </c>
      <c r="E35" s="235"/>
      <c r="F35" s="60"/>
      <c r="G35" s="519"/>
      <c r="I35" s="996">
        <v>-10128889.626952311</v>
      </c>
      <c r="O35" s="519"/>
    </row>
    <row r="36" spans="1:16">
      <c r="A36" s="605">
        <f t="shared" si="0"/>
        <v>21</v>
      </c>
      <c r="C36" s="53" t="s">
        <v>1245</v>
      </c>
      <c r="E36" s="996">
        <v>5898229.0950011332</v>
      </c>
      <c r="G36" s="61"/>
      <c r="I36" s="46"/>
      <c r="M36" s="60"/>
      <c r="N36" s="60"/>
      <c r="O36" s="519"/>
      <c r="P36" s="60"/>
    </row>
    <row r="37" spans="1:16">
      <c r="A37" s="605">
        <f t="shared" si="0"/>
        <v>22</v>
      </c>
      <c r="C37" s="53" t="s">
        <v>1476</v>
      </c>
      <c r="E37" s="996">
        <v>0</v>
      </c>
      <c r="G37" s="501"/>
      <c r="I37" s="60"/>
      <c r="M37" s="60"/>
      <c r="N37" s="60"/>
      <c r="O37" s="519"/>
      <c r="P37" s="60"/>
    </row>
    <row r="38" spans="1:16">
      <c r="A38" s="605">
        <f t="shared" si="0"/>
        <v>23</v>
      </c>
      <c r="C38" s="53"/>
      <c r="E38" s="46"/>
      <c r="G38" s="501"/>
      <c r="I38" s="60"/>
      <c r="M38" s="60"/>
      <c r="N38" s="60"/>
      <c r="O38" s="519"/>
      <c r="P38" s="60"/>
    </row>
    <row r="39" spans="1:16">
      <c r="A39" s="605">
        <f t="shared" si="0"/>
        <v>24</v>
      </c>
      <c r="C39" s="53"/>
      <c r="E39" s="46"/>
      <c r="G39" s="61"/>
      <c r="I39" s="60"/>
      <c r="M39" s="60"/>
      <c r="N39" s="60"/>
      <c r="O39" s="519"/>
      <c r="P39" s="60"/>
    </row>
    <row r="40" spans="1:16">
      <c r="A40" s="605">
        <f t="shared" si="0"/>
        <v>25</v>
      </c>
      <c r="E40" s="246"/>
      <c r="M40" s="60"/>
      <c r="N40" s="60"/>
      <c r="O40" s="519"/>
      <c r="P40" s="60"/>
    </row>
    <row r="41" spans="1:16" ht="16.5" thickBot="1">
      <c r="A41" s="605">
        <f t="shared" si="0"/>
        <v>26</v>
      </c>
      <c r="C41" s="53" t="s">
        <v>1137</v>
      </c>
      <c r="E41" s="974">
        <f>+E33+E36+E37</f>
        <v>7213975152.1719236</v>
      </c>
      <c r="I41" s="948">
        <f>+I33+I35</f>
        <v>286088110.37304771</v>
      </c>
      <c r="K41" s="975">
        <f>+I41/E41</f>
        <v>3.9657484859358667E-2</v>
      </c>
      <c r="O41" s="519"/>
    </row>
    <row r="42" spans="1:16" ht="15.75" thickTop="1">
      <c r="E42" s="60"/>
      <c r="O42" s="519"/>
    </row>
    <row r="44" spans="1:16">
      <c r="A44" s="57"/>
      <c r="C44" s="53"/>
    </row>
    <row r="45" spans="1:16">
      <c r="C45" s="53" t="s">
        <v>314</v>
      </c>
      <c r="E45" s="60"/>
    </row>
    <row r="46" spans="1:16">
      <c r="E46" s="60"/>
    </row>
    <row r="47" spans="1:16">
      <c r="E47" s="60"/>
      <c r="F47" s="60"/>
      <c r="G47" s="501"/>
      <c r="H47" s="75"/>
      <c r="I47" s="60"/>
      <c r="J47" s="60"/>
      <c r="K47" s="60"/>
      <c r="L47" s="60"/>
    </row>
    <row r="48" spans="1:16">
      <c r="E48" s="60"/>
    </row>
    <row r="49" spans="5:12">
      <c r="E49" s="60"/>
      <c r="F49" s="60"/>
      <c r="G49" s="60"/>
      <c r="H49" s="75"/>
      <c r="I49" s="60"/>
      <c r="J49" s="60"/>
      <c r="K49" s="60"/>
      <c r="L49" s="60"/>
    </row>
  </sheetData>
  <mergeCells count="4">
    <mergeCell ref="A1:K1"/>
    <mergeCell ref="A2:K2"/>
    <mergeCell ref="A3:K3"/>
    <mergeCell ref="A4:K4"/>
  </mergeCells>
  <phoneticPr fontId="20" type="noConversion"/>
  <printOptions horizontalCentered="1"/>
  <pageMargins left="0.75" right="0.42" top="1.24" bottom="1" header="0.5" footer="0.5"/>
  <pageSetup scale="66" orientation="portrait" verticalDpi="300" r:id="rId1"/>
  <headerFooter alignWithMargins="0">
    <oddFooter>&amp;RSchedule &amp;A
Page &amp;P of &amp;N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92D050"/>
    <pageSetUpPr fitToPage="1"/>
  </sheetPr>
  <dimension ref="A1:S17"/>
  <sheetViews>
    <sheetView view="pageBreakPreview" zoomScale="80" zoomScaleNormal="100" zoomScaleSheetLayoutView="80" workbookViewId="0"/>
  </sheetViews>
  <sheetFormatPr defaultColWidth="10.109375" defaultRowHeight="15"/>
  <cols>
    <col min="1" max="1" width="5.77734375" style="1" customWidth="1"/>
    <col min="2" max="2" width="3.33203125" style="1" customWidth="1"/>
    <col min="3" max="3" width="14.44140625" style="1" customWidth="1"/>
    <col min="4" max="4" width="3.33203125" style="1" customWidth="1"/>
    <col min="5" max="5" width="6.6640625" style="1" customWidth="1"/>
    <col min="6" max="6" width="3.33203125" style="1" customWidth="1"/>
    <col min="7" max="7" width="11.88671875" style="1" customWidth="1"/>
    <col min="8" max="8" width="3.33203125" style="1" customWidth="1"/>
    <col min="9" max="9" width="13.5546875" style="1" customWidth="1"/>
    <col min="10" max="10" width="1.5546875" style="1" customWidth="1"/>
    <col min="11" max="11" width="8" style="1" customWidth="1"/>
    <col min="12" max="12" width="3.33203125" style="1" customWidth="1"/>
    <col min="13" max="13" width="11" style="1" customWidth="1"/>
    <col min="14" max="14" width="3.33203125" style="1" customWidth="1"/>
    <col min="15" max="15" width="11" style="1" customWidth="1"/>
    <col min="16" max="16" width="3.33203125" style="1" customWidth="1"/>
    <col min="17" max="17" width="12.6640625" style="1" customWidth="1"/>
    <col min="18" max="18" width="2.33203125" style="1" customWidth="1"/>
    <col min="19" max="19" width="12.6640625" style="1" customWidth="1"/>
    <col min="20" max="26" width="10.109375" style="1"/>
    <col min="27" max="27" width="12.6640625" style="1" customWidth="1"/>
    <col min="28" max="16384" width="10.109375" style="1"/>
  </cols>
  <sheetData>
    <row r="1" spans="1:19">
      <c r="J1" s="686" t="str">
        <f>'Table of Contents'!A1</f>
        <v>Atmos Energy Corporation, Kentucky/Mid-States Division</v>
      </c>
    </row>
    <row r="2" spans="1:19">
      <c r="J2" s="686" t="str">
        <f>'Table of Contents'!A2</f>
        <v xml:space="preserve">Kentucky Jurisdiction Case No. 2024-00276 </v>
      </c>
    </row>
    <row r="3" spans="1:19">
      <c r="A3" s="14"/>
      <c r="J3" s="2" t="s">
        <v>1</v>
      </c>
    </row>
    <row r="4" spans="1:19">
      <c r="A4" s="14"/>
      <c r="J4" s="2"/>
    </row>
    <row r="5" spans="1:19">
      <c r="Q5" s="84"/>
      <c r="S5" s="84" t="s">
        <v>1327</v>
      </c>
    </row>
    <row r="6" spans="1:19">
      <c r="A6" s="4" t="s">
        <v>538</v>
      </c>
      <c r="Q6" s="4"/>
      <c r="S6" s="17" t="s">
        <v>45</v>
      </c>
    </row>
    <row r="7" spans="1:19">
      <c r="A7" s="4" t="s">
        <v>1080</v>
      </c>
      <c r="Q7" s="4"/>
      <c r="S7" s="17" t="s">
        <v>822</v>
      </c>
    </row>
    <row r="8" spans="1:19">
      <c r="A8" s="5" t="s">
        <v>356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704" t="str">
        <f>'J-1 Base'!$M$9</f>
        <v>Witness: Christian</v>
      </c>
    </row>
    <row r="10" spans="1:19">
      <c r="I10" s="2" t="s">
        <v>345</v>
      </c>
      <c r="M10" s="2" t="s">
        <v>348</v>
      </c>
    </row>
    <row r="11" spans="1:19">
      <c r="A11" s="2" t="s">
        <v>88</v>
      </c>
      <c r="C11" s="2" t="s">
        <v>376</v>
      </c>
      <c r="E11" s="2" t="s">
        <v>33</v>
      </c>
      <c r="G11" s="2" t="s">
        <v>99</v>
      </c>
      <c r="I11" s="2" t="s">
        <v>346</v>
      </c>
      <c r="K11" s="2" t="s">
        <v>343</v>
      </c>
      <c r="M11" s="2" t="s">
        <v>349</v>
      </c>
      <c r="O11" s="2" t="s">
        <v>351</v>
      </c>
      <c r="Q11" s="2" t="s">
        <v>1115</v>
      </c>
      <c r="S11" s="2" t="s">
        <v>354</v>
      </c>
    </row>
    <row r="12" spans="1:19">
      <c r="A12" s="2" t="s">
        <v>94</v>
      </c>
      <c r="C12" s="2" t="s">
        <v>472</v>
      </c>
      <c r="E12" s="2" t="s">
        <v>344</v>
      </c>
      <c r="G12" s="2" t="s">
        <v>340</v>
      </c>
      <c r="I12" s="2" t="s">
        <v>347</v>
      </c>
      <c r="K12" s="2" t="s">
        <v>261</v>
      </c>
      <c r="L12" s="15"/>
      <c r="M12" s="2" t="s">
        <v>350</v>
      </c>
      <c r="O12" s="2" t="s">
        <v>352</v>
      </c>
      <c r="Q12" s="2" t="s">
        <v>353</v>
      </c>
      <c r="S12" s="2" t="s">
        <v>355</v>
      </c>
    </row>
    <row r="13" spans="1:19">
      <c r="A13" s="6"/>
      <c r="B13" s="6"/>
      <c r="C13" s="6"/>
      <c r="D13" s="6"/>
      <c r="E13" s="9" t="s">
        <v>1042</v>
      </c>
      <c r="F13" s="6"/>
      <c r="G13" s="9" t="s">
        <v>1043</v>
      </c>
      <c r="H13" s="6"/>
      <c r="I13" s="9" t="s">
        <v>1044</v>
      </c>
      <c r="J13" s="6"/>
      <c r="K13" s="9" t="s">
        <v>14</v>
      </c>
      <c r="L13" s="6"/>
      <c r="M13" s="9" t="s">
        <v>36</v>
      </c>
      <c r="N13" s="6"/>
      <c r="O13" s="9" t="s">
        <v>497</v>
      </c>
      <c r="P13" s="6"/>
      <c r="Q13" s="9" t="s">
        <v>37</v>
      </c>
      <c r="R13" s="6"/>
      <c r="S13" s="9" t="s">
        <v>586</v>
      </c>
    </row>
    <row r="15" spans="1:19">
      <c r="F15" s="10"/>
      <c r="G15" s="10"/>
      <c r="H15" s="11"/>
      <c r="I15" s="3"/>
      <c r="J15" s="3"/>
      <c r="K15" s="2" t="s">
        <v>372</v>
      </c>
      <c r="L15" s="10"/>
      <c r="M15" s="10"/>
      <c r="N15" s="10"/>
      <c r="O15" s="10"/>
      <c r="P15" s="10"/>
      <c r="Q15" s="10"/>
    </row>
    <row r="16" spans="1:19">
      <c r="F16" s="10"/>
      <c r="G16" s="10"/>
      <c r="H16" s="10"/>
      <c r="I16" s="3"/>
      <c r="J16" s="10"/>
      <c r="K16" s="10"/>
      <c r="L16" s="10"/>
      <c r="M16" s="10"/>
      <c r="N16" s="10"/>
      <c r="O16" s="10"/>
      <c r="P16" s="10"/>
      <c r="Q16" s="10"/>
    </row>
    <row r="17" spans="6:17">
      <c r="F17" s="10"/>
      <c r="G17" s="10"/>
      <c r="H17" s="11"/>
      <c r="I17" s="3"/>
      <c r="J17" s="3"/>
      <c r="K17" s="10"/>
      <c r="L17" s="10"/>
      <c r="M17" s="10"/>
      <c r="N17" s="10"/>
      <c r="O17" s="10"/>
      <c r="P17" s="10"/>
      <c r="Q17" s="10"/>
    </row>
  </sheetData>
  <phoneticPr fontId="20" type="noConversion"/>
  <printOptions horizontalCentered="1"/>
  <pageMargins left="0.66" right="0.71" top="0.91" bottom="1" header="0.5" footer="0.5"/>
  <pageSetup scale="76" orientation="landscape" verticalDpi="300" r:id="rId1"/>
  <headerFooter alignWithMargins="0">
    <oddFooter>&amp;RSchedule &amp;A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R275"/>
  <sheetViews>
    <sheetView view="pageBreakPreview" topLeftCell="A240" zoomScale="80" zoomScaleNormal="100" zoomScaleSheetLayoutView="80" workbookViewId="0">
      <selection activeCell="F276" sqref="F276"/>
    </sheetView>
  </sheetViews>
  <sheetFormatPr defaultColWidth="8.88671875" defaultRowHeight="15"/>
  <cols>
    <col min="1" max="1" width="4.88671875" customWidth="1"/>
    <col min="2" max="2" width="6.88671875" customWidth="1"/>
    <col min="3" max="3" width="37" customWidth="1"/>
    <col min="4" max="4" width="18.33203125" customWidth="1"/>
    <col min="5" max="5" width="12.5546875" bestFit="1" customWidth="1"/>
    <col min="6" max="6" width="15.6640625" customWidth="1"/>
    <col min="7" max="7" width="12.77734375" style="37" customWidth="1"/>
    <col min="8" max="8" width="12.6640625" style="37" customWidth="1"/>
    <col min="9" max="9" width="15.21875" customWidth="1"/>
    <col min="10" max="10" width="3.21875" customWidth="1"/>
    <col min="11" max="11" width="15.6640625" customWidth="1"/>
    <col min="12" max="12" width="12.6640625" style="37" customWidth="1"/>
    <col min="13" max="13" width="9.77734375" style="37" bestFit="1" customWidth="1"/>
    <col min="14" max="14" width="14.21875" customWidth="1"/>
    <col min="15" max="15" width="5.44140625" customWidth="1"/>
    <col min="16" max="17" width="12" bestFit="1" customWidth="1"/>
  </cols>
  <sheetData>
    <row r="1" spans="1:17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</row>
    <row r="2" spans="1:17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</row>
    <row r="3" spans="1:17">
      <c r="A3" s="1060" t="s">
        <v>470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</row>
    <row r="4" spans="1:17" ht="15.75">
      <c r="A4" s="1062" t="str">
        <f>'B.1 B'!A4</f>
        <v>Base Period: Twelve Months Ended December 31, 2024</v>
      </c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1:17">
      <c r="A5" s="25"/>
      <c r="B5" s="25"/>
      <c r="C5" s="25"/>
      <c r="D5" s="25"/>
      <c r="E5" s="332"/>
      <c r="G5" s="38"/>
      <c r="H5" s="38"/>
      <c r="J5" s="1"/>
      <c r="K5" s="25"/>
    </row>
    <row r="6" spans="1:17" ht="15.75">
      <c r="A6" s="699" t="str">
        <f>'B.1 B'!A6</f>
        <v>Data:__X___Base Period______Forecasted Period</v>
      </c>
      <c r="B6" s="1"/>
      <c r="C6" s="1"/>
      <c r="D6" s="1"/>
      <c r="E6" s="330"/>
      <c r="F6" s="330"/>
      <c r="G6" s="38"/>
      <c r="K6" s="1"/>
      <c r="N6" s="476" t="s">
        <v>1331</v>
      </c>
    </row>
    <row r="7" spans="1:17">
      <c r="A7" s="699" t="str">
        <f>'B.1 B'!A7</f>
        <v>Type of Filing:___X____Original________Updated ________Revised</v>
      </c>
      <c r="B7" s="4"/>
      <c r="C7" s="1"/>
      <c r="D7" s="1"/>
      <c r="E7" s="1"/>
      <c r="F7" s="1"/>
      <c r="G7" s="38"/>
      <c r="I7" s="4"/>
      <c r="J7" s="4"/>
      <c r="K7" s="1"/>
      <c r="N7" s="17" t="s">
        <v>973</v>
      </c>
    </row>
    <row r="8" spans="1:17">
      <c r="A8" s="699" t="str">
        <f>'B.1 B'!A8</f>
        <v>Workpaper Reference No(s).</v>
      </c>
      <c r="B8" s="1"/>
      <c r="C8" s="1"/>
      <c r="D8" s="1"/>
      <c r="E8" s="1"/>
      <c r="F8" s="1"/>
      <c r="G8" s="38"/>
      <c r="I8" s="4"/>
      <c r="J8" s="4"/>
      <c r="K8" s="1"/>
      <c r="N8" s="635" t="s">
        <v>1646</v>
      </c>
    </row>
    <row r="9" spans="1:17">
      <c r="A9" s="538"/>
      <c r="B9" s="42"/>
      <c r="C9" s="227"/>
      <c r="D9" s="135"/>
      <c r="E9" s="42"/>
      <c r="F9" s="42"/>
      <c r="G9" s="196"/>
      <c r="H9" s="197"/>
      <c r="I9" s="539"/>
      <c r="J9" s="4"/>
      <c r="K9" s="135"/>
      <c r="L9" s="469"/>
      <c r="M9" s="469"/>
      <c r="N9" s="540"/>
    </row>
    <row r="10" spans="1:17" ht="15.75">
      <c r="A10" s="541"/>
      <c r="B10" s="1"/>
      <c r="C10" s="554"/>
      <c r="D10" s="331">
        <v>45657</v>
      </c>
      <c r="E10" s="1"/>
      <c r="F10" s="1"/>
      <c r="G10" s="38" t="s">
        <v>12</v>
      </c>
      <c r="H10" s="2" t="s">
        <v>10</v>
      </c>
      <c r="I10" s="542"/>
      <c r="J10" s="4"/>
      <c r="K10" s="543"/>
      <c r="L10" s="38" t="s">
        <v>12</v>
      </c>
      <c r="M10" s="2" t="s">
        <v>10</v>
      </c>
      <c r="N10" s="542"/>
    </row>
    <row r="11" spans="1:17" ht="15.75">
      <c r="A11" s="541" t="s">
        <v>88</v>
      </c>
      <c r="B11" s="2" t="s">
        <v>259</v>
      </c>
      <c r="C11" s="190" t="s">
        <v>208</v>
      </c>
      <c r="D11" s="37" t="s">
        <v>1255</v>
      </c>
      <c r="E11" s="2"/>
      <c r="F11" s="2" t="s">
        <v>9</v>
      </c>
      <c r="G11" s="2" t="s">
        <v>13</v>
      </c>
      <c r="H11" s="2" t="s">
        <v>567</v>
      </c>
      <c r="I11" s="190" t="s">
        <v>11</v>
      </c>
      <c r="J11" s="2"/>
      <c r="K11" s="544" t="s">
        <v>43</v>
      </c>
      <c r="L11" s="2" t="s">
        <v>13</v>
      </c>
      <c r="M11" s="2" t="s">
        <v>567</v>
      </c>
      <c r="N11" s="190" t="s">
        <v>11</v>
      </c>
    </row>
    <row r="12" spans="1:17">
      <c r="A12" s="191" t="s">
        <v>94</v>
      </c>
      <c r="B12" s="27" t="s">
        <v>94</v>
      </c>
      <c r="C12" s="192" t="s">
        <v>287</v>
      </c>
      <c r="D12" s="191" t="s">
        <v>100</v>
      </c>
      <c r="E12" s="27" t="s">
        <v>951</v>
      </c>
      <c r="F12" s="27" t="s">
        <v>100</v>
      </c>
      <c r="G12" s="27" t="s">
        <v>600</v>
      </c>
      <c r="H12" s="27" t="s">
        <v>600</v>
      </c>
      <c r="I12" s="192" t="s">
        <v>99</v>
      </c>
      <c r="J12" s="2"/>
      <c r="K12" s="191" t="s">
        <v>93</v>
      </c>
      <c r="L12" s="27" t="s">
        <v>600</v>
      </c>
      <c r="M12" s="27" t="s">
        <v>600</v>
      </c>
      <c r="N12" s="192" t="s">
        <v>99</v>
      </c>
      <c r="P12" s="57"/>
      <c r="Q12" s="57"/>
    </row>
    <row r="13" spans="1:17">
      <c r="A13" s="2"/>
      <c r="B13" s="2"/>
      <c r="C13" s="2"/>
      <c r="D13" s="2" t="s">
        <v>721</v>
      </c>
      <c r="E13" s="2" t="s">
        <v>722</v>
      </c>
      <c r="F13" s="2" t="s">
        <v>728</v>
      </c>
      <c r="G13" s="2" t="s">
        <v>723</v>
      </c>
      <c r="H13" s="2" t="s">
        <v>724</v>
      </c>
      <c r="I13" s="2" t="s">
        <v>729</v>
      </c>
      <c r="J13" s="2"/>
      <c r="K13" s="2" t="s">
        <v>725</v>
      </c>
      <c r="L13" s="2" t="s">
        <v>726</v>
      </c>
      <c r="M13" s="2" t="s">
        <v>727</v>
      </c>
      <c r="N13" s="2" t="s">
        <v>730</v>
      </c>
    </row>
    <row r="14" spans="1:17" ht="15.75">
      <c r="B14" s="59" t="s">
        <v>5</v>
      </c>
    </row>
    <row r="15" spans="1:17">
      <c r="A15" s="104">
        <v>1</v>
      </c>
      <c r="B15" s="30"/>
      <c r="C15" s="16" t="s">
        <v>288</v>
      </c>
    </row>
    <row r="16" spans="1:17">
      <c r="A16" s="605">
        <f>A15+1</f>
        <v>2</v>
      </c>
      <c r="B16" s="561">
        <v>30100</v>
      </c>
      <c r="C16" s="98" t="s">
        <v>282</v>
      </c>
      <c r="D16" s="706">
        <v>8329.7199999999993</v>
      </c>
      <c r="E16" s="264">
        <v>0</v>
      </c>
      <c r="F16" s="707">
        <f>D16+E16</f>
        <v>8329.7199999999993</v>
      </c>
      <c r="G16" s="195">
        <v>1</v>
      </c>
      <c r="H16" s="708">
        <f>$G$16</f>
        <v>1</v>
      </c>
      <c r="I16" s="707">
        <f>F16*G16*H16</f>
        <v>8329.7199999999993</v>
      </c>
      <c r="J16" s="247"/>
      <c r="K16" s="706">
        <v>8329.7199999999993</v>
      </c>
      <c r="L16" s="708">
        <f t="shared" ref="L16:M17" si="0">$G$16</f>
        <v>1</v>
      </c>
      <c r="M16" s="708">
        <f t="shared" si="0"/>
        <v>1</v>
      </c>
      <c r="N16" s="707">
        <f>K16*L16*M16</f>
        <v>8329.7199999999993</v>
      </c>
    </row>
    <row r="17" spans="1:14">
      <c r="A17" s="605">
        <f t="shared" ref="A17:A83" si="1">A16+1</f>
        <v>3</v>
      </c>
      <c r="B17" s="561">
        <v>30200</v>
      </c>
      <c r="C17" s="98" t="s">
        <v>147</v>
      </c>
      <c r="D17" s="709">
        <v>119852.69</v>
      </c>
      <c r="E17" s="338">
        <v>0</v>
      </c>
      <c r="F17" s="345">
        <f>D17+E17</f>
        <v>119852.69</v>
      </c>
      <c r="G17" s="708">
        <f>$G$16</f>
        <v>1</v>
      </c>
      <c r="H17" s="708">
        <f>$G$16</f>
        <v>1</v>
      </c>
      <c r="I17" s="345">
        <f>F17*G17*H17</f>
        <v>119852.69</v>
      </c>
      <c r="K17" s="709">
        <v>119852.68999999996</v>
      </c>
      <c r="L17" s="708">
        <f t="shared" si="0"/>
        <v>1</v>
      </c>
      <c r="M17" s="708">
        <f t="shared" si="0"/>
        <v>1</v>
      </c>
      <c r="N17" s="345">
        <f>K17*L17*M17</f>
        <v>119852.68999999996</v>
      </c>
    </row>
    <row r="18" spans="1:14">
      <c r="A18" s="605">
        <f t="shared" si="1"/>
        <v>4</v>
      </c>
      <c r="B18" s="618"/>
      <c r="C18" s="98"/>
      <c r="D18" s="339"/>
      <c r="E18" s="339"/>
      <c r="F18" s="339"/>
      <c r="G18" s="195"/>
      <c r="H18" s="195"/>
      <c r="I18" s="339"/>
      <c r="K18" s="339"/>
      <c r="N18" s="339"/>
    </row>
    <row r="19" spans="1:14">
      <c r="A19" s="605">
        <f t="shared" si="1"/>
        <v>5</v>
      </c>
      <c r="B19" s="618"/>
      <c r="C19" s="98" t="s">
        <v>289</v>
      </c>
      <c r="D19" s="707">
        <f>SUM(D16:D17)</f>
        <v>128182.41</v>
      </c>
      <c r="E19" s="707">
        <f>SUM(E16:E17)</f>
        <v>0</v>
      </c>
      <c r="F19" s="707">
        <f>SUM(F16:F17)</f>
        <v>128182.41</v>
      </c>
      <c r="G19" s="555"/>
      <c r="H19" s="555"/>
      <c r="I19" s="707">
        <f>SUM(I16:I17)</f>
        <v>128182.41</v>
      </c>
      <c r="K19" s="707">
        <f>SUM(K16:K17)</f>
        <v>128182.40999999996</v>
      </c>
      <c r="N19" s="707">
        <f>SUM(N16:N17)</f>
        <v>128182.40999999996</v>
      </c>
    </row>
    <row r="20" spans="1:14">
      <c r="A20" s="605">
        <f t="shared" si="1"/>
        <v>6</v>
      </c>
      <c r="B20" s="618"/>
      <c r="C20" s="30"/>
      <c r="G20" s="195"/>
      <c r="H20" s="195"/>
    </row>
    <row r="21" spans="1:14">
      <c r="A21" s="605">
        <f t="shared" si="1"/>
        <v>7</v>
      </c>
      <c r="B21" s="618"/>
      <c r="C21" s="16" t="s">
        <v>148</v>
      </c>
      <c r="G21" s="195"/>
      <c r="H21" s="195"/>
    </row>
    <row r="22" spans="1:14">
      <c r="A22" s="605">
        <f t="shared" si="1"/>
        <v>8</v>
      </c>
      <c r="B22" s="561">
        <v>32540</v>
      </c>
      <c r="C22" s="98" t="s">
        <v>155</v>
      </c>
      <c r="D22" s="706">
        <v>0</v>
      </c>
      <c r="E22" s="264">
        <v>0</v>
      </c>
      <c r="F22" s="707">
        <f t="shared" ref="F22:F24" si="2">D22+E22</f>
        <v>0</v>
      </c>
      <c r="G22" s="708">
        <f t="shared" ref="G22:H44" si="3">$G$16</f>
        <v>1</v>
      </c>
      <c r="H22" s="708">
        <f t="shared" si="3"/>
        <v>1</v>
      </c>
      <c r="I22" s="707">
        <f t="shared" ref="I22:I24" si="4">F22*G22*H22</f>
        <v>0</v>
      </c>
      <c r="K22" s="706">
        <v>0</v>
      </c>
      <c r="L22" s="708">
        <f t="shared" ref="L22:M24" si="5">$G$16</f>
        <v>1</v>
      </c>
      <c r="M22" s="708">
        <f t="shared" si="5"/>
        <v>1</v>
      </c>
      <c r="N22" s="707">
        <f t="shared" ref="N22:N24" si="6">K22*L22*M22</f>
        <v>0</v>
      </c>
    </row>
    <row r="23" spans="1:14">
      <c r="A23" s="605">
        <f t="shared" si="1"/>
        <v>9</v>
      </c>
      <c r="B23" s="561">
        <v>33202</v>
      </c>
      <c r="C23" s="98" t="s">
        <v>569</v>
      </c>
      <c r="D23" s="709">
        <v>0</v>
      </c>
      <c r="E23" s="338">
        <v>0</v>
      </c>
      <c r="F23" s="345">
        <f t="shared" si="2"/>
        <v>0</v>
      </c>
      <c r="G23" s="708">
        <f t="shared" si="3"/>
        <v>1</v>
      </c>
      <c r="H23" s="708">
        <f t="shared" si="3"/>
        <v>1</v>
      </c>
      <c r="I23" s="345">
        <f t="shared" si="4"/>
        <v>0</v>
      </c>
      <c r="K23" s="709">
        <v>0</v>
      </c>
      <c r="L23" s="708">
        <f t="shared" si="5"/>
        <v>1</v>
      </c>
      <c r="M23" s="708">
        <f t="shared" si="5"/>
        <v>1</v>
      </c>
      <c r="N23" s="345">
        <f t="shared" si="6"/>
        <v>0</v>
      </c>
    </row>
    <row r="24" spans="1:14">
      <c r="A24" s="605">
        <f t="shared" si="1"/>
        <v>10</v>
      </c>
      <c r="B24" s="561">
        <v>33400</v>
      </c>
      <c r="C24" s="98" t="s">
        <v>1078</v>
      </c>
      <c r="D24" s="709">
        <v>0</v>
      </c>
      <c r="E24" s="338">
        <v>0</v>
      </c>
      <c r="F24" s="345">
        <f t="shared" si="2"/>
        <v>0</v>
      </c>
      <c r="G24" s="708">
        <f t="shared" si="3"/>
        <v>1</v>
      </c>
      <c r="H24" s="708">
        <f t="shared" si="3"/>
        <v>1</v>
      </c>
      <c r="I24" s="345">
        <f t="shared" si="4"/>
        <v>0</v>
      </c>
      <c r="K24" s="709">
        <v>0</v>
      </c>
      <c r="L24" s="708">
        <f t="shared" si="5"/>
        <v>1</v>
      </c>
      <c r="M24" s="708">
        <f t="shared" si="5"/>
        <v>1</v>
      </c>
      <c r="N24" s="345">
        <f t="shared" si="6"/>
        <v>0</v>
      </c>
    </row>
    <row r="25" spans="1:14">
      <c r="A25" s="605">
        <f t="shared" si="1"/>
        <v>11</v>
      </c>
      <c r="B25" s="618"/>
      <c r="C25" s="30"/>
      <c r="D25" s="339"/>
      <c r="E25" s="339"/>
      <c r="F25" s="339"/>
      <c r="G25" s="195"/>
      <c r="H25" s="195"/>
      <c r="I25" s="339"/>
      <c r="K25" s="339"/>
      <c r="N25" s="339"/>
    </row>
    <row r="26" spans="1:14">
      <c r="A26" s="605">
        <f t="shared" si="1"/>
        <v>12</v>
      </c>
      <c r="B26" s="618"/>
      <c r="C26" s="30" t="s">
        <v>269</v>
      </c>
      <c r="D26" s="707">
        <f>SUM(D22:D25)</f>
        <v>0</v>
      </c>
      <c r="E26" s="707">
        <f>SUM(E22:E25)</f>
        <v>0</v>
      </c>
      <c r="F26" s="707">
        <f>SUM(F22:F25)</f>
        <v>0</v>
      </c>
      <c r="G26" s="195"/>
      <c r="H26" s="195"/>
      <c r="I26" s="707">
        <f>SUM(I22:I25)</f>
        <v>0</v>
      </c>
      <c r="K26" s="707">
        <f>SUM(K22:K25)</f>
        <v>0</v>
      </c>
      <c r="N26" s="707">
        <f>SUM(N22:N25)</f>
        <v>0</v>
      </c>
    </row>
    <row r="27" spans="1:14">
      <c r="A27" s="605">
        <f t="shared" si="1"/>
        <v>13</v>
      </c>
      <c r="B27" s="618"/>
      <c r="C27" s="98"/>
      <c r="G27" s="195"/>
      <c r="H27" s="195"/>
    </row>
    <row r="28" spans="1:14">
      <c r="A28" s="605">
        <f t="shared" si="1"/>
        <v>14</v>
      </c>
      <c r="B28" s="618"/>
      <c r="C28" s="16" t="s">
        <v>270</v>
      </c>
      <c r="G28" s="195"/>
      <c r="H28" s="195"/>
    </row>
    <row r="29" spans="1:14">
      <c r="A29" s="605">
        <f t="shared" si="1"/>
        <v>15</v>
      </c>
      <c r="B29" s="561">
        <v>35010</v>
      </c>
      <c r="C29" s="98" t="s">
        <v>283</v>
      </c>
      <c r="D29" s="706">
        <v>261126.69</v>
      </c>
      <c r="E29" s="264">
        <v>0</v>
      </c>
      <c r="F29" s="707">
        <f>D29+E29</f>
        <v>261126.69</v>
      </c>
      <c r="G29" s="708">
        <f t="shared" si="3"/>
        <v>1</v>
      </c>
      <c r="H29" s="708">
        <f t="shared" si="3"/>
        <v>1</v>
      </c>
      <c r="I29" s="707">
        <f>F29*G29*H29</f>
        <v>261126.69</v>
      </c>
      <c r="K29" s="706">
        <v>261126.68999999997</v>
      </c>
      <c r="L29" s="708">
        <f t="shared" ref="L29:M45" si="7">$G$16</f>
        <v>1</v>
      </c>
      <c r="M29" s="708">
        <f t="shared" si="7"/>
        <v>1</v>
      </c>
      <c r="N29" s="707">
        <f>K29*L29*M29</f>
        <v>261126.68999999997</v>
      </c>
    </row>
    <row r="30" spans="1:14">
      <c r="A30" s="605">
        <f t="shared" si="1"/>
        <v>16</v>
      </c>
      <c r="B30" s="561">
        <v>35020</v>
      </c>
      <c r="C30" s="98" t="s">
        <v>762</v>
      </c>
      <c r="D30" s="709">
        <v>4681.58</v>
      </c>
      <c r="E30" s="338">
        <v>0</v>
      </c>
      <c r="F30" s="345">
        <f>D30+E30</f>
        <v>4681.58</v>
      </c>
      <c r="G30" s="708">
        <f t="shared" si="3"/>
        <v>1</v>
      </c>
      <c r="H30" s="708">
        <f t="shared" si="3"/>
        <v>1</v>
      </c>
      <c r="I30" s="345">
        <f t="shared" ref="I30:I45" si="8">F30*G30*H30</f>
        <v>4681.58</v>
      </c>
      <c r="K30" s="709">
        <v>4681.5800000000008</v>
      </c>
      <c r="L30" s="708">
        <f t="shared" si="7"/>
        <v>1</v>
      </c>
      <c r="M30" s="708">
        <f t="shared" si="7"/>
        <v>1</v>
      </c>
      <c r="N30" s="345">
        <f t="shared" ref="N30:N45" si="9">K30*L30*M30</f>
        <v>4681.5800000000008</v>
      </c>
    </row>
    <row r="31" spans="1:14">
      <c r="A31" s="605">
        <f t="shared" si="1"/>
        <v>17</v>
      </c>
      <c r="B31" s="561">
        <v>35100</v>
      </c>
      <c r="C31" s="98" t="s">
        <v>933</v>
      </c>
      <c r="D31" s="709">
        <v>17916.189999999999</v>
      </c>
      <c r="E31" s="338">
        <v>0</v>
      </c>
      <c r="F31" s="345">
        <f t="shared" ref="F31:F45" si="10">D31+E31</f>
        <v>17916.189999999999</v>
      </c>
      <c r="G31" s="708">
        <f t="shared" si="3"/>
        <v>1</v>
      </c>
      <c r="H31" s="708">
        <f t="shared" si="3"/>
        <v>1</v>
      </c>
      <c r="I31" s="345">
        <f t="shared" si="8"/>
        <v>17916.189999999999</v>
      </c>
      <c r="K31" s="709">
        <v>17916.189999999999</v>
      </c>
      <c r="L31" s="708">
        <f t="shared" si="7"/>
        <v>1</v>
      </c>
      <c r="M31" s="708">
        <f t="shared" si="7"/>
        <v>1</v>
      </c>
      <c r="N31" s="345">
        <f t="shared" si="9"/>
        <v>17916.189999999999</v>
      </c>
    </row>
    <row r="32" spans="1:14">
      <c r="A32" s="605">
        <f t="shared" si="1"/>
        <v>18</v>
      </c>
      <c r="B32" s="561">
        <v>35102</v>
      </c>
      <c r="C32" s="98" t="s">
        <v>271</v>
      </c>
      <c r="D32" s="709">
        <v>223508.12000000002</v>
      </c>
      <c r="E32" s="338">
        <v>0</v>
      </c>
      <c r="F32" s="345">
        <f t="shared" si="10"/>
        <v>223508.12000000002</v>
      </c>
      <c r="G32" s="708">
        <f t="shared" si="3"/>
        <v>1</v>
      </c>
      <c r="H32" s="708">
        <f t="shared" si="3"/>
        <v>1</v>
      </c>
      <c r="I32" s="345">
        <f t="shared" si="8"/>
        <v>223508.12000000002</v>
      </c>
      <c r="K32" s="709">
        <v>201893.7138461539</v>
      </c>
      <c r="L32" s="708">
        <f t="shared" si="7"/>
        <v>1</v>
      </c>
      <c r="M32" s="708">
        <f t="shared" si="7"/>
        <v>1</v>
      </c>
      <c r="N32" s="345">
        <f t="shared" si="9"/>
        <v>201893.7138461539</v>
      </c>
    </row>
    <row r="33" spans="1:15">
      <c r="A33" s="605">
        <f t="shared" si="1"/>
        <v>19</v>
      </c>
      <c r="B33" s="561">
        <v>35103</v>
      </c>
      <c r="C33" s="98" t="s">
        <v>558</v>
      </c>
      <c r="D33" s="709">
        <v>23138.38</v>
      </c>
      <c r="E33" s="338">
        <v>0</v>
      </c>
      <c r="F33" s="345">
        <f t="shared" si="10"/>
        <v>23138.38</v>
      </c>
      <c r="G33" s="708">
        <f t="shared" si="3"/>
        <v>1</v>
      </c>
      <c r="H33" s="708">
        <f t="shared" si="3"/>
        <v>1</v>
      </c>
      <c r="I33" s="345">
        <f t="shared" si="8"/>
        <v>23138.38</v>
      </c>
      <c r="K33" s="709">
        <v>23138.38</v>
      </c>
      <c r="L33" s="708">
        <f t="shared" si="7"/>
        <v>1</v>
      </c>
      <c r="M33" s="708">
        <f t="shared" si="7"/>
        <v>1</v>
      </c>
      <c r="N33" s="345">
        <f t="shared" si="9"/>
        <v>23138.38</v>
      </c>
    </row>
    <row r="34" spans="1:15">
      <c r="A34" s="605">
        <f t="shared" si="1"/>
        <v>20</v>
      </c>
      <c r="B34" s="561">
        <v>35104</v>
      </c>
      <c r="C34" s="98" t="s">
        <v>559</v>
      </c>
      <c r="D34" s="709">
        <v>137442.53</v>
      </c>
      <c r="E34" s="338">
        <v>0</v>
      </c>
      <c r="F34" s="345">
        <f t="shared" si="10"/>
        <v>137442.53</v>
      </c>
      <c r="G34" s="708">
        <f t="shared" si="3"/>
        <v>1</v>
      </c>
      <c r="H34" s="708">
        <f t="shared" si="3"/>
        <v>1</v>
      </c>
      <c r="I34" s="345">
        <f t="shared" si="8"/>
        <v>137442.53</v>
      </c>
      <c r="K34" s="709">
        <v>137442.53</v>
      </c>
      <c r="L34" s="708">
        <f t="shared" si="7"/>
        <v>1</v>
      </c>
      <c r="M34" s="708">
        <f t="shared" si="7"/>
        <v>1</v>
      </c>
      <c r="N34" s="345">
        <f t="shared" si="9"/>
        <v>137442.53</v>
      </c>
    </row>
    <row r="35" spans="1:15">
      <c r="A35" s="605">
        <f t="shared" si="1"/>
        <v>21</v>
      </c>
      <c r="B35" s="561">
        <v>35200</v>
      </c>
      <c r="C35" s="98" t="s">
        <v>419</v>
      </c>
      <c r="D35" s="709">
        <v>10922678.709999999</v>
      </c>
      <c r="E35" s="338">
        <v>0</v>
      </c>
      <c r="F35" s="345">
        <f t="shared" si="10"/>
        <v>10922678.709999999</v>
      </c>
      <c r="G35" s="708">
        <f t="shared" si="3"/>
        <v>1</v>
      </c>
      <c r="H35" s="708">
        <f t="shared" si="3"/>
        <v>1</v>
      </c>
      <c r="I35" s="345">
        <f t="shared" si="8"/>
        <v>10922678.709999999</v>
      </c>
      <c r="K35" s="709">
        <v>9800109.2346153818</v>
      </c>
      <c r="L35" s="708">
        <f t="shared" si="7"/>
        <v>1</v>
      </c>
      <c r="M35" s="708">
        <f t="shared" si="7"/>
        <v>1</v>
      </c>
      <c r="N35" s="345">
        <f t="shared" si="9"/>
        <v>9800109.2346153818</v>
      </c>
    </row>
    <row r="36" spans="1:15">
      <c r="A36" s="605">
        <f t="shared" si="1"/>
        <v>22</v>
      </c>
      <c r="B36" s="561">
        <v>35201</v>
      </c>
      <c r="C36" s="98" t="s">
        <v>560</v>
      </c>
      <c r="D36" s="709">
        <v>1699998.54</v>
      </c>
      <c r="E36" s="338">
        <v>0</v>
      </c>
      <c r="F36" s="345">
        <f t="shared" si="10"/>
        <v>1699998.54</v>
      </c>
      <c r="G36" s="708">
        <f t="shared" si="3"/>
        <v>1</v>
      </c>
      <c r="H36" s="708">
        <f t="shared" si="3"/>
        <v>1</v>
      </c>
      <c r="I36" s="345">
        <f t="shared" si="8"/>
        <v>1699998.54</v>
      </c>
      <c r="K36" s="709">
        <v>1699998.5399999993</v>
      </c>
      <c r="L36" s="708">
        <f t="shared" si="7"/>
        <v>1</v>
      </c>
      <c r="M36" s="708">
        <f t="shared" si="7"/>
        <v>1</v>
      </c>
      <c r="N36" s="345">
        <f t="shared" si="9"/>
        <v>1699998.5399999993</v>
      </c>
    </row>
    <row r="37" spans="1:15">
      <c r="A37" s="605">
        <f t="shared" si="1"/>
        <v>23</v>
      </c>
      <c r="B37" s="561">
        <v>35202</v>
      </c>
      <c r="C37" s="98" t="s">
        <v>561</v>
      </c>
      <c r="D37" s="709">
        <v>667359.07999999996</v>
      </c>
      <c r="E37" s="338">
        <v>0</v>
      </c>
      <c r="F37" s="345">
        <f t="shared" si="10"/>
        <v>667359.07999999996</v>
      </c>
      <c r="G37" s="708">
        <f t="shared" si="3"/>
        <v>1</v>
      </c>
      <c r="H37" s="708">
        <f t="shared" si="3"/>
        <v>1</v>
      </c>
      <c r="I37" s="345">
        <f t="shared" si="8"/>
        <v>667359.07999999996</v>
      </c>
      <c r="K37" s="709">
        <v>667359.08153846161</v>
      </c>
      <c r="L37" s="708">
        <f t="shared" si="7"/>
        <v>1</v>
      </c>
      <c r="M37" s="708">
        <f t="shared" si="7"/>
        <v>1</v>
      </c>
      <c r="N37" s="345">
        <f t="shared" si="9"/>
        <v>667359.08153846161</v>
      </c>
    </row>
    <row r="38" spans="1:15">
      <c r="A38" s="605">
        <f t="shared" si="1"/>
        <v>24</v>
      </c>
      <c r="B38" s="561">
        <v>35203</v>
      </c>
      <c r="C38" s="98" t="s">
        <v>334</v>
      </c>
      <c r="D38" s="709">
        <v>1694832.96</v>
      </c>
      <c r="E38" s="338">
        <v>0</v>
      </c>
      <c r="F38" s="345">
        <f t="shared" si="10"/>
        <v>1694832.96</v>
      </c>
      <c r="G38" s="708">
        <f t="shared" si="3"/>
        <v>1</v>
      </c>
      <c r="H38" s="708">
        <f t="shared" si="3"/>
        <v>1</v>
      </c>
      <c r="I38" s="345">
        <f t="shared" si="8"/>
        <v>1694832.96</v>
      </c>
      <c r="K38" s="709">
        <v>1694832.9600000007</v>
      </c>
      <c r="L38" s="708">
        <f t="shared" si="7"/>
        <v>1</v>
      </c>
      <c r="M38" s="708">
        <f t="shared" si="7"/>
        <v>1</v>
      </c>
      <c r="N38" s="345">
        <f t="shared" si="9"/>
        <v>1694832.9600000007</v>
      </c>
    </row>
    <row r="39" spans="1:15">
      <c r="A39" s="605">
        <f t="shared" si="1"/>
        <v>25</v>
      </c>
      <c r="B39" s="561">
        <v>35210</v>
      </c>
      <c r="C39" s="98" t="s">
        <v>562</v>
      </c>
      <c r="D39" s="709">
        <v>178530.09</v>
      </c>
      <c r="E39" s="338">
        <v>0</v>
      </c>
      <c r="F39" s="345">
        <f t="shared" si="10"/>
        <v>178530.09</v>
      </c>
      <c r="G39" s="708">
        <f t="shared" si="3"/>
        <v>1</v>
      </c>
      <c r="H39" s="708">
        <f t="shared" si="3"/>
        <v>1</v>
      </c>
      <c r="I39" s="345">
        <f t="shared" si="8"/>
        <v>178530.09</v>
      </c>
      <c r="K39" s="709">
        <v>178530.09000000003</v>
      </c>
      <c r="L39" s="708">
        <f t="shared" si="7"/>
        <v>1</v>
      </c>
      <c r="M39" s="708">
        <f t="shared" si="7"/>
        <v>1</v>
      </c>
      <c r="N39" s="345">
        <f t="shared" si="9"/>
        <v>178530.09000000003</v>
      </c>
    </row>
    <row r="40" spans="1:15">
      <c r="A40" s="605">
        <f t="shared" si="1"/>
        <v>26</v>
      </c>
      <c r="B40" s="561">
        <v>35211</v>
      </c>
      <c r="C40" s="98" t="s">
        <v>563</v>
      </c>
      <c r="D40" s="709">
        <v>54614.270000000004</v>
      </c>
      <c r="E40" s="338">
        <v>0</v>
      </c>
      <c r="F40" s="345">
        <f t="shared" si="10"/>
        <v>54614.270000000004</v>
      </c>
      <c r="G40" s="708">
        <f t="shared" si="3"/>
        <v>1</v>
      </c>
      <c r="H40" s="708">
        <f t="shared" si="3"/>
        <v>1</v>
      </c>
      <c r="I40" s="345">
        <f t="shared" si="8"/>
        <v>54614.270000000004</v>
      </c>
      <c r="K40" s="709">
        <v>54614.270000000011</v>
      </c>
      <c r="L40" s="708">
        <f t="shared" si="7"/>
        <v>1</v>
      </c>
      <c r="M40" s="708">
        <f t="shared" si="7"/>
        <v>1</v>
      </c>
      <c r="N40" s="345">
        <f t="shared" si="9"/>
        <v>54614.270000000011</v>
      </c>
    </row>
    <row r="41" spans="1:15">
      <c r="A41" s="605">
        <f t="shared" si="1"/>
        <v>27</v>
      </c>
      <c r="B41" s="561">
        <v>35301</v>
      </c>
      <c r="C41" s="30" t="s">
        <v>156</v>
      </c>
      <c r="D41" s="709">
        <v>175350.37</v>
      </c>
      <c r="E41" s="338">
        <v>0</v>
      </c>
      <c r="F41" s="345">
        <f t="shared" si="10"/>
        <v>175350.37</v>
      </c>
      <c r="G41" s="708">
        <f t="shared" si="3"/>
        <v>1</v>
      </c>
      <c r="H41" s="708">
        <f t="shared" si="3"/>
        <v>1</v>
      </c>
      <c r="I41" s="345">
        <f t="shared" si="8"/>
        <v>175350.37</v>
      </c>
      <c r="K41" s="709">
        <v>175350.37000000005</v>
      </c>
      <c r="L41" s="708">
        <f t="shared" si="7"/>
        <v>1</v>
      </c>
      <c r="M41" s="708">
        <f t="shared" si="7"/>
        <v>1</v>
      </c>
      <c r="N41" s="345">
        <f t="shared" si="9"/>
        <v>175350.37000000005</v>
      </c>
    </row>
    <row r="42" spans="1:15">
      <c r="A42" s="605">
        <f t="shared" si="1"/>
        <v>28</v>
      </c>
      <c r="B42" s="561">
        <v>35302</v>
      </c>
      <c r="C42" s="98" t="s">
        <v>569</v>
      </c>
      <c r="D42" s="709">
        <v>209318.9</v>
      </c>
      <c r="E42" s="338">
        <v>0</v>
      </c>
      <c r="F42" s="345">
        <f t="shared" si="10"/>
        <v>209318.9</v>
      </c>
      <c r="G42" s="708">
        <f t="shared" si="3"/>
        <v>1</v>
      </c>
      <c r="H42" s="708">
        <f t="shared" si="3"/>
        <v>1</v>
      </c>
      <c r="I42" s="345">
        <f t="shared" si="8"/>
        <v>209318.9</v>
      </c>
      <c r="K42" s="709">
        <v>209318.89999999994</v>
      </c>
      <c r="L42" s="708">
        <f t="shared" si="7"/>
        <v>1</v>
      </c>
      <c r="M42" s="708">
        <f t="shared" si="7"/>
        <v>1</v>
      </c>
      <c r="N42" s="345">
        <f t="shared" si="9"/>
        <v>209318.89999999994</v>
      </c>
    </row>
    <row r="43" spans="1:15">
      <c r="A43" s="605">
        <f t="shared" si="1"/>
        <v>29</v>
      </c>
      <c r="B43" s="561">
        <v>35400</v>
      </c>
      <c r="C43" s="98" t="s">
        <v>564</v>
      </c>
      <c r="D43" s="709">
        <v>18065905.100000001</v>
      </c>
      <c r="E43" s="338">
        <v>0</v>
      </c>
      <c r="F43" s="345">
        <f t="shared" si="10"/>
        <v>18065905.100000001</v>
      </c>
      <c r="G43" s="708">
        <f t="shared" si="3"/>
        <v>1</v>
      </c>
      <c r="H43" s="708">
        <f t="shared" si="3"/>
        <v>1</v>
      </c>
      <c r="I43" s="345">
        <f t="shared" si="8"/>
        <v>18065905.100000001</v>
      </c>
      <c r="K43" s="709">
        <v>9788006.8961538449</v>
      </c>
      <c r="L43" s="708">
        <f t="shared" si="7"/>
        <v>1</v>
      </c>
      <c r="M43" s="708">
        <f t="shared" si="7"/>
        <v>1</v>
      </c>
      <c r="N43" s="345">
        <f t="shared" si="9"/>
        <v>9788006.8961538449</v>
      </c>
    </row>
    <row r="44" spans="1:15">
      <c r="A44" s="605">
        <f t="shared" si="1"/>
        <v>30</v>
      </c>
      <c r="B44" s="561">
        <v>35500</v>
      </c>
      <c r="C44" s="98" t="s">
        <v>956</v>
      </c>
      <c r="D44" s="709">
        <v>273084.38</v>
      </c>
      <c r="E44" s="338">
        <v>0</v>
      </c>
      <c r="F44" s="345">
        <f t="shared" si="10"/>
        <v>273084.38</v>
      </c>
      <c r="G44" s="708">
        <f t="shared" si="3"/>
        <v>1</v>
      </c>
      <c r="H44" s="708">
        <f t="shared" si="3"/>
        <v>1</v>
      </c>
      <c r="I44" s="345">
        <f t="shared" si="8"/>
        <v>273084.38</v>
      </c>
      <c r="K44" s="709">
        <v>273084.37999999995</v>
      </c>
      <c r="L44" s="708">
        <f t="shared" si="7"/>
        <v>1</v>
      </c>
      <c r="M44" s="708">
        <f t="shared" si="7"/>
        <v>1</v>
      </c>
      <c r="N44" s="345">
        <f t="shared" si="9"/>
        <v>273084.37999999995</v>
      </c>
    </row>
    <row r="45" spans="1:15">
      <c r="A45" s="605">
        <f t="shared" si="1"/>
        <v>31</v>
      </c>
      <c r="B45" s="561">
        <v>35600</v>
      </c>
      <c r="C45" s="98" t="s">
        <v>1001</v>
      </c>
      <c r="D45" s="709">
        <v>1327497.8599999999</v>
      </c>
      <c r="E45" s="556">
        <v>0</v>
      </c>
      <c r="F45" s="710">
        <f t="shared" si="10"/>
        <v>1327497.8599999999</v>
      </c>
      <c r="G45" s="708">
        <f t="shared" ref="G45:H79" si="11">$G$16</f>
        <v>1</v>
      </c>
      <c r="H45" s="708">
        <f t="shared" si="11"/>
        <v>1</v>
      </c>
      <c r="I45" s="711">
        <f t="shared" si="8"/>
        <v>1327497.8599999999</v>
      </c>
      <c r="K45" s="709">
        <v>1327497.8599999996</v>
      </c>
      <c r="L45" s="708">
        <f t="shared" si="7"/>
        <v>1</v>
      </c>
      <c r="M45" s="708">
        <f t="shared" si="7"/>
        <v>1</v>
      </c>
      <c r="N45" s="711">
        <f t="shared" si="9"/>
        <v>1327497.8599999996</v>
      </c>
    </row>
    <row r="46" spans="1:15">
      <c r="A46" s="605">
        <f t="shared" si="1"/>
        <v>32</v>
      </c>
      <c r="B46" s="618"/>
      <c r="C46" s="98"/>
      <c r="D46" s="339"/>
      <c r="E46" s="339"/>
      <c r="F46" s="339"/>
      <c r="G46" s="195"/>
      <c r="H46" s="195"/>
      <c r="I46" s="391"/>
      <c r="K46" s="339"/>
      <c r="N46" s="339"/>
    </row>
    <row r="47" spans="1:15">
      <c r="A47" s="605">
        <f t="shared" si="1"/>
        <v>33</v>
      </c>
      <c r="B47" s="618"/>
      <c r="C47" s="98" t="s">
        <v>207</v>
      </c>
      <c r="D47" s="707">
        <f>SUM(D29:D46)</f>
        <v>35936983.75</v>
      </c>
      <c r="E47" s="707">
        <f>SUM(E29:E46)</f>
        <v>0</v>
      </c>
      <c r="F47" s="707">
        <f>SUM(F29:F46)</f>
        <v>35936983.75</v>
      </c>
      <c r="G47" s="195"/>
      <c r="H47" s="195"/>
      <c r="I47" s="707">
        <f>SUM(I29:I46)</f>
        <v>35936983.75</v>
      </c>
      <c r="K47" s="707">
        <f>SUM(K29:K46)</f>
        <v>26514901.666153837</v>
      </c>
      <c r="N47" s="707">
        <f>SUM(N29:N46)</f>
        <v>26514901.666153837</v>
      </c>
      <c r="O47" s="329"/>
    </row>
    <row r="48" spans="1:15">
      <c r="A48" s="605">
        <f t="shared" si="1"/>
        <v>34</v>
      </c>
      <c r="B48" s="618"/>
      <c r="C48" s="98"/>
      <c r="G48" s="195"/>
      <c r="H48" s="195"/>
      <c r="I48" s="209"/>
    </row>
    <row r="49" spans="1:14">
      <c r="A49" s="605">
        <f t="shared" si="1"/>
        <v>35</v>
      </c>
      <c r="B49" s="618"/>
      <c r="C49" s="16" t="s">
        <v>957</v>
      </c>
      <c r="G49" s="195"/>
      <c r="H49" s="195"/>
      <c r="I49" s="209"/>
    </row>
    <row r="50" spans="1:14">
      <c r="A50" s="605">
        <f t="shared" si="1"/>
        <v>36</v>
      </c>
      <c r="B50" s="561">
        <v>36510</v>
      </c>
      <c r="C50" s="98" t="s">
        <v>283</v>
      </c>
      <c r="D50" s="706">
        <v>26970.37</v>
      </c>
      <c r="E50" s="264">
        <v>0</v>
      </c>
      <c r="F50" s="707">
        <f>D50+E50</f>
        <v>26970.37</v>
      </c>
      <c r="G50" s="708">
        <f t="shared" si="11"/>
        <v>1</v>
      </c>
      <c r="H50" s="708">
        <f t="shared" si="11"/>
        <v>1</v>
      </c>
      <c r="I50" s="707">
        <f>F50*G50*H50</f>
        <v>26970.37</v>
      </c>
      <c r="K50" s="706">
        <v>26970.37</v>
      </c>
      <c r="L50" s="708">
        <f t="shared" ref="L50:M58" si="12">$G$16</f>
        <v>1</v>
      </c>
      <c r="M50" s="708">
        <f t="shared" si="12"/>
        <v>1</v>
      </c>
      <c r="N50" s="707">
        <f>K50*L50*M50</f>
        <v>26970.37</v>
      </c>
    </row>
    <row r="51" spans="1:14">
      <c r="A51" s="605">
        <f t="shared" si="1"/>
        <v>37</v>
      </c>
      <c r="B51" s="561">
        <v>36520</v>
      </c>
      <c r="C51" s="98" t="s">
        <v>762</v>
      </c>
      <c r="D51" s="709">
        <v>867772</v>
      </c>
      <c r="E51" s="338">
        <v>0</v>
      </c>
      <c r="F51" s="345">
        <f>D51+E51</f>
        <v>867772</v>
      </c>
      <c r="G51" s="708">
        <f t="shared" si="11"/>
        <v>1</v>
      </c>
      <c r="H51" s="708">
        <f t="shared" si="11"/>
        <v>1</v>
      </c>
      <c r="I51" s="345">
        <f t="shared" ref="I51:I58" si="13">F51*G51*H51</f>
        <v>867772</v>
      </c>
      <c r="K51" s="709">
        <v>867772</v>
      </c>
      <c r="L51" s="708">
        <f t="shared" si="12"/>
        <v>1</v>
      </c>
      <c r="M51" s="708">
        <f t="shared" si="12"/>
        <v>1</v>
      </c>
      <c r="N51" s="345">
        <f t="shared" ref="N51:N58" si="14">K51*L51*M51</f>
        <v>867772</v>
      </c>
    </row>
    <row r="52" spans="1:14">
      <c r="A52" s="605">
        <f t="shared" si="1"/>
        <v>38</v>
      </c>
      <c r="B52" s="561">
        <v>36602</v>
      </c>
      <c r="C52" s="98" t="s">
        <v>825</v>
      </c>
      <c r="D52" s="709">
        <v>397833.22</v>
      </c>
      <c r="E52" s="338">
        <v>0</v>
      </c>
      <c r="F52" s="345">
        <f t="shared" ref="F52:F58" si="15">D52+E52</f>
        <v>397833.22</v>
      </c>
      <c r="G52" s="708">
        <f t="shared" si="11"/>
        <v>1</v>
      </c>
      <c r="H52" s="708">
        <f t="shared" si="11"/>
        <v>1</v>
      </c>
      <c r="I52" s="345">
        <f t="shared" si="13"/>
        <v>397833.22</v>
      </c>
      <c r="K52" s="709">
        <v>169794.83538461538</v>
      </c>
      <c r="L52" s="708">
        <f t="shared" si="12"/>
        <v>1</v>
      </c>
      <c r="M52" s="708">
        <f t="shared" si="12"/>
        <v>1</v>
      </c>
      <c r="N52" s="345">
        <f t="shared" si="14"/>
        <v>169794.83538461538</v>
      </c>
    </row>
    <row r="53" spans="1:14">
      <c r="A53" s="605">
        <f t="shared" si="1"/>
        <v>39</v>
      </c>
      <c r="B53" s="561">
        <v>36603</v>
      </c>
      <c r="C53" s="98" t="s">
        <v>958</v>
      </c>
      <c r="D53" s="709">
        <v>60826.29</v>
      </c>
      <c r="E53" s="338">
        <v>0</v>
      </c>
      <c r="F53" s="345">
        <f t="shared" si="15"/>
        <v>60826.29</v>
      </c>
      <c r="G53" s="708">
        <f t="shared" si="11"/>
        <v>1</v>
      </c>
      <c r="H53" s="708">
        <f t="shared" si="11"/>
        <v>1</v>
      </c>
      <c r="I53" s="345">
        <f t="shared" si="13"/>
        <v>60826.29</v>
      </c>
      <c r="K53" s="709">
        <v>60826.290000000008</v>
      </c>
      <c r="L53" s="708">
        <f t="shared" si="12"/>
        <v>1</v>
      </c>
      <c r="M53" s="708">
        <f t="shared" si="12"/>
        <v>1</v>
      </c>
      <c r="N53" s="345">
        <f t="shared" si="14"/>
        <v>60826.290000000008</v>
      </c>
    </row>
    <row r="54" spans="1:14">
      <c r="A54" s="605">
        <f t="shared" si="1"/>
        <v>40</v>
      </c>
      <c r="B54" s="561">
        <v>36700</v>
      </c>
      <c r="C54" s="98" t="s">
        <v>813</v>
      </c>
      <c r="D54" s="709">
        <v>47232.93</v>
      </c>
      <c r="E54" s="338">
        <v>0</v>
      </c>
      <c r="F54" s="345">
        <f t="shared" si="15"/>
        <v>47232.93</v>
      </c>
      <c r="G54" s="708">
        <f t="shared" si="11"/>
        <v>1</v>
      </c>
      <c r="H54" s="708">
        <f t="shared" si="11"/>
        <v>1</v>
      </c>
      <c r="I54" s="345">
        <f t="shared" si="13"/>
        <v>47232.93</v>
      </c>
      <c r="K54" s="709">
        <v>47232.930000000008</v>
      </c>
      <c r="L54" s="708">
        <f t="shared" si="12"/>
        <v>1</v>
      </c>
      <c r="M54" s="708">
        <f t="shared" si="12"/>
        <v>1</v>
      </c>
      <c r="N54" s="345">
        <f t="shared" si="14"/>
        <v>47232.930000000008</v>
      </c>
    </row>
    <row r="55" spans="1:14">
      <c r="A55" s="605">
        <f t="shared" si="1"/>
        <v>41</v>
      </c>
      <c r="B55" s="561">
        <v>36701</v>
      </c>
      <c r="C55" s="98" t="s">
        <v>15</v>
      </c>
      <c r="D55" s="709">
        <v>27826920.920000002</v>
      </c>
      <c r="E55" s="338">
        <v>0</v>
      </c>
      <c r="F55" s="345">
        <f t="shared" si="15"/>
        <v>27826920.920000002</v>
      </c>
      <c r="G55" s="708">
        <f t="shared" si="11"/>
        <v>1</v>
      </c>
      <c r="H55" s="708">
        <f t="shared" si="11"/>
        <v>1</v>
      </c>
      <c r="I55" s="345">
        <f t="shared" si="13"/>
        <v>27826920.920000002</v>
      </c>
      <c r="K55" s="709">
        <v>27826920.920000013</v>
      </c>
      <c r="L55" s="708">
        <f t="shared" si="12"/>
        <v>1</v>
      </c>
      <c r="M55" s="708">
        <f t="shared" si="12"/>
        <v>1</v>
      </c>
      <c r="N55" s="345">
        <f t="shared" si="14"/>
        <v>27826920.920000013</v>
      </c>
    </row>
    <row r="56" spans="1:14">
      <c r="A56" s="605">
        <f t="shared" si="1"/>
        <v>42</v>
      </c>
      <c r="B56" s="561">
        <v>36703</v>
      </c>
      <c r="C56" s="98" t="s">
        <v>1494</v>
      </c>
      <c r="D56" s="709">
        <v>11134.11</v>
      </c>
      <c r="E56" s="338">
        <v>0</v>
      </c>
      <c r="F56" s="345">
        <f t="shared" ref="F56" si="16">D56+E56</f>
        <v>11134.11</v>
      </c>
      <c r="G56" s="708">
        <f t="shared" si="11"/>
        <v>1</v>
      </c>
      <c r="H56" s="708">
        <f t="shared" si="11"/>
        <v>1</v>
      </c>
      <c r="I56" s="345">
        <f t="shared" ref="I56" si="17">F56*G56*H56</f>
        <v>11134.11</v>
      </c>
      <c r="K56" s="709">
        <v>11134.109999999999</v>
      </c>
      <c r="L56" s="708">
        <f t="shared" si="12"/>
        <v>1</v>
      </c>
      <c r="M56" s="708">
        <f t="shared" si="12"/>
        <v>1</v>
      </c>
      <c r="N56" s="345">
        <f t="shared" ref="N56" si="18">K56*L56*M56</f>
        <v>11134.109999999999</v>
      </c>
    </row>
    <row r="57" spans="1:14">
      <c r="A57" s="605">
        <f t="shared" si="1"/>
        <v>43</v>
      </c>
      <c r="B57" s="561">
        <v>36900</v>
      </c>
      <c r="C57" s="98" t="s">
        <v>959</v>
      </c>
      <c r="D57" s="709">
        <v>1999587.3900000001</v>
      </c>
      <c r="E57" s="338">
        <v>0</v>
      </c>
      <c r="F57" s="345">
        <f t="shared" si="15"/>
        <v>1999587.3900000001</v>
      </c>
      <c r="G57" s="708">
        <f t="shared" si="11"/>
        <v>1</v>
      </c>
      <c r="H57" s="708">
        <f t="shared" si="11"/>
        <v>1</v>
      </c>
      <c r="I57" s="345">
        <f t="shared" si="13"/>
        <v>1999587.3900000001</v>
      </c>
      <c r="K57" s="709">
        <v>1999587.3900000004</v>
      </c>
      <c r="L57" s="708">
        <f t="shared" si="12"/>
        <v>1</v>
      </c>
      <c r="M57" s="708">
        <f t="shared" si="12"/>
        <v>1</v>
      </c>
      <c r="N57" s="345">
        <f t="shared" si="14"/>
        <v>1999587.3900000004</v>
      </c>
    </row>
    <row r="58" spans="1:14">
      <c r="A58" s="605">
        <f t="shared" si="1"/>
        <v>44</v>
      </c>
      <c r="B58" s="561">
        <v>36901</v>
      </c>
      <c r="C58" s="98" t="s">
        <v>959</v>
      </c>
      <c r="D58" s="709">
        <v>2269499.29</v>
      </c>
      <c r="E58" s="556">
        <v>0</v>
      </c>
      <c r="F58" s="710">
        <f t="shared" si="15"/>
        <v>2269499.29</v>
      </c>
      <c r="G58" s="708">
        <f t="shared" si="11"/>
        <v>1</v>
      </c>
      <c r="H58" s="708">
        <f t="shared" si="11"/>
        <v>1</v>
      </c>
      <c r="I58" s="711">
        <f t="shared" si="13"/>
        <v>2269499.29</v>
      </c>
      <c r="K58" s="709">
        <v>2269499.2899999996</v>
      </c>
      <c r="L58" s="708">
        <f t="shared" si="12"/>
        <v>1</v>
      </c>
      <c r="M58" s="708">
        <f t="shared" si="12"/>
        <v>1</v>
      </c>
      <c r="N58" s="711">
        <f t="shared" si="14"/>
        <v>2269499.2899999996</v>
      </c>
    </row>
    <row r="59" spans="1:14">
      <c r="A59" s="605">
        <f t="shared" si="1"/>
        <v>45</v>
      </c>
      <c r="B59" s="618"/>
      <c r="C59" s="98"/>
      <c r="D59" s="339"/>
      <c r="E59" s="339"/>
      <c r="F59" s="339"/>
      <c r="G59" s="195"/>
      <c r="H59" s="195"/>
      <c r="I59" s="391"/>
      <c r="K59" s="391"/>
      <c r="N59" s="339"/>
    </row>
    <row r="60" spans="1:14">
      <c r="A60" s="605">
        <f t="shared" si="1"/>
        <v>46</v>
      </c>
      <c r="B60" s="618"/>
      <c r="C60" s="98" t="s">
        <v>1276</v>
      </c>
      <c r="D60" s="707">
        <f>SUM(D50:D59)</f>
        <v>33507776.52</v>
      </c>
      <c r="E60" s="707">
        <f>SUM(E50:E59)</f>
        <v>0</v>
      </c>
      <c r="F60" s="707">
        <f>SUM(F50:F59)</f>
        <v>33507776.52</v>
      </c>
      <c r="G60" s="195"/>
      <c r="H60" s="195"/>
      <c r="I60" s="707">
        <f>SUM(I50:I59)</f>
        <v>33507776.52</v>
      </c>
      <c r="K60" s="707">
        <f>SUM(K50:K59)</f>
        <v>33279738.135384627</v>
      </c>
      <c r="N60" s="707">
        <f>SUM(N50:N59)</f>
        <v>33279738.135384627</v>
      </c>
    </row>
    <row r="61" spans="1:14">
      <c r="A61" s="605">
        <f t="shared" si="1"/>
        <v>47</v>
      </c>
      <c r="B61" s="618"/>
      <c r="C61" s="30"/>
      <c r="G61" s="195"/>
      <c r="H61" s="195"/>
      <c r="I61" s="209"/>
      <c r="K61" s="209"/>
    </row>
    <row r="62" spans="1:14">
      <c r="A62" s="605">
        <f t="shared" si="1"/>
        <v>48</v>
      </c>
      <c r="B62" s="618"/>
      <c r="C62" s="16" t="s">
        <v>290</v>
      </c>
      <c r="G62" s="195"/>
      <c r="H62" s="195"/>
      <c r="I62" s="209"/>
      <c r="K62" s="209"/>
    </row>
    <row r="63" spans="1:14">
      <c r="A63" s="605">
        <f t="shared" si="1"/>
        <v>49</v>
      </c>
      <c r="B63" s="561">
        <v>37400</v>
      </c>
      <c r="C63" s="98" t="s">
        <v>1105</v>
      </c>
      <c r="D63" s="706">
        <v>613355.87</v>
      </c>
      <c r="E63" s="264">
        <v>0</v>
      </c>
      <c r="F63" s="707">
        <f>D63+E63</f>
        <v>613355.87</v>
      </c>
      <c r="G63" s="708">
        <f t="shared" si="11"/>
        <v>1</v>
      </c>
      <c r="H63" s="708">
        <f t="shared" si="11"/>
        <v>1</v>
      </c>
      <c r="I63" s="707">
        <f>F63*G63*H63</f>
        <v>613355.87</v>
      </c>
      <c r="K63" s="706">
        <v>556455.7376923078</v>
      </c>
      <c r="L63" s="708">
        <f t="shared" ref="L63:M84" si="19">$G$16</f>
        <v>1</v>
      </c>
      <c r="M63" s="708">
        <f t="shared" si="19"/>
        <v>1</v>
      </c>
      <c r="N63" s="707">
        <f>K63*L63*M63</f>
        <v>556455.7376923078</v>
      </c>
    </row>
    <row r="64" spans="1:14">
      <c r="A64" s="605">
        <f t="shared" si="1"/>
        <v>50</v>
      </c>
      <c r="B64" s="561">
        <v>37401</v>
      </c>
      <c r="C64" s="98" t="s">
        <v>283</v>
      </c>
      <c r="D64" s="709">
        <v>428640.46</v>
      </c>
      <c r="E64" s="338">
        <v>0</v>
      </c>
      <c r="F64" s="345">
        <f>D64+E64</f>
        <v>428640.46</v>
      </c>
      <c r="G64" s="708">
        <f t="shared" si="11"/>
        <v>1</v>
      </c>
      <c r="H64" s="708">
        <f t="shared" si="11"/>
        <v>1</v>
      </c>
      <c r="I64" s="345">
        <f t="shared" ref="I64:I84" si="20">F64*G64*H64</f>
        <v>428640.46</v>
      </c>
      <c r="J64" s="338"/>
      <c r="K64" s="709">
        <v>428640.46</v>
      </c>
      <c r="L64" s="708">
        <f t="shared" si="19"/>
        <v>1</v>
      </c>
      <c r="M64" s="708">
        <f t="shared" si="19"/>
        <v>1</v>
      </c>
      <c r="N64" s="345">
        <f t="shared" ref="N64:N84" si="21">K64*L64*M64</f>
        <v>428640.46</v>
      </c>
    </row>
    <row r="65" spans="1:14">
      <c r="A65" s="605">
        <f t="shared" si="1"/>
        <v>51</v>
      </c>
      <c r="B65" s="561">
        <v>37402</v>
      </c>
      <c r="C65" s="98" t="s">
        <v>963</v>
      </c>
      <c r="D65" s="709">
        <v>4157536.17</v>
      </c>
      <c r="E65" s="338">
        <v>0</v>
      </c>
      <c r="F65" s="345">
        <f t="shared" ref="F65:F84" si="22">D65+E65</f>
        <v>4157536.17</v>
      </c>
      <c r="G65" s="708">
        <f t="shared" si="11"/>
        <v>1</v>
      </c>
      <c r="H65" s="708">
        <f t="shared" si="11"/>
        <v>1</v>
      </c>
      <c r="I65" s="345">
        <f t="shared" si="20"/>
        <v>4157536.17</v>
      </c>
      <c r="J65" s="338"/>
      <c r="K65" s="709">
        <v>4157209.7646153858</v>
      </c>
      <c r="L65" s="708">
        <f t="shared" si="19"/>
        <v>1</v>
      </c>
      <c r="M65" s="708">
        <f t="shared" si="19"/>
        <v>1</v>
      </c>
      <c r="N65" s="345">
        <f t="shared" si="21"/>
        <v>4157209.7646153858</v>
      </c>
    </row>
    <row r="66" spans="1:14">
      <c r="A66" s="605">
        <f t="shared" si="1"/>
        <v>52</v>
      </c>
      <c r="B66" s="561">
        <v>37403</v>
      </c>
      <c r="C66" s="98" t="s">
        <v>960</v>
      </c>
      <c r="D66" s="709">
        <v>2783.89</v>
      </c>
      <c r="E66" s="338">
        <v>0</v>
      </c>
      <c r="F66" s="345">
        <f t="shared" si="22"/>
        <v>2783.89</v>
      </c>
      <c r="G66" s="708">
        <f t="shared" si="11"/>
        <v>1</v>
      </c>
      <c r="H66" s="708">
        <f t="shared" si="11"/>
        <v>1</v>
      </c>
      <c r="I66" s="345">
        <f t="shared" si="20"/>
        <v>2783.89</v>
      </c>
      <c r="J66" s="338"/>
      <c r="K66" s="709">
        <v>2783.89</v>
      </c>
      <c r="L66" s="708">
        <f t="shared" si="19"/>
        <v>1</v>
      </c>
      <c r="M66" s="708">
        <f t="shared" si="19"/>
        <v>1</v>
      </c>
      <c r="N66" s="345">
        <f t="shared" si="21"/>
        <v>2783.89</v>
      </c>
    </row>
    <row r="67" spans="1:14">
      <c r="A67" s="605">
        <f t="shared" si="1"/>
        <v>53</v>
      </c>
      <c r="B67" s="561">
        <v>37500</v>
      </c>
      <c r="C67" s="98" t="s">
        <v>825</v>
      </c>
      <c r="D67" s="709">
        <v>336167.54</v>
      </c>
      <c r="E67" s="338">
        <v>0</v>
      </c>
      <c r="F67" s="345">
        <f t="shared" si="22"/>
        <v>336167.54</v>
      </c>
      <c r="G67" s="708">
        <f t="shared" si="11"/>
        <v>1</v>
      </c>
      <c r="H67" s="708">
        <f t="shared" si="11"/>
        <v>1</v>
      </c>
      <c r="I67" s="345">
        <f t="shared" si="20"/>
        <v>336167.54</v>
      </c>
      <c r="J67" s="338"/>
      <c r="K67" s="709">
        <v>336167.54</v>
      </c>
      <c r="L67" s="708">
        <f t="shared" si="19"/>
        <v>1</v>
      </c>
      <c r="M67" s="708">
        <f t="shared" si="19"/>
        <v>1</v>
      </c>
      <c r="N67" s="345">
        <f t="shared" si="21"/>
        <v>336167.54</v>
      </c>
    </row>
    <row r="68" spans="1:14">
      <c r="A68" s="605">
        <f t="shared" si="1"/>
        <v>54</v>
      </c>
      <c r="B68" s="561">
        <v>37501</v>
      </c>
      <c r="C68" s="98" t="s">
        <v>961</v>
      </c>
      <c r="D68" s="709">
        <v>99818.13</v>
      </c>
      <c r="E68" s="338">
        <v>0</v>
      </c>
      <c r="F68" s="345">
        <f t="shared" si="22"/>
        <v>99818.13</v>
      </c>
      <c r="G68" s="708">
        <f t="shared" si="11"/>
        <v>1</v>
      </c>
      <c r="H68" s="708">
        <f t="shared" si="11"/>
        <v>1</v>
      </c>
      <c r="I68" s="345">
        <f t="shared" si="20"/>
        <v>99818.13</v>
      </c>
      <c r="J68" s="338"/>
      <c r="K68" s="709">
        <v>99818.12999999999</v>
      </c>
      <c r="L68" s="708">
        <f t="shared" si="19"/>
        <v>1</v>
      </c>
      <c r="M68" s="708">
        <f t="shared" si="19"/>
        <v>1</v>
      </c>
      <c r="N68" s="345">
        <f t="shared" si="21"/>
        <v>99818.12999999999</v>
      </c>
    </row>
    <row r="69" spans="1:14">
      <c r="A69" s="605">
        <f t="shared" si="1"/>
        <v>55</v>
      </c>
      <c r="B69" s="561">
        <v>37502</v>
      </c>
      <c r="C69" s="98" t="s">
        <v>963</v>
      </c>
      <c r="D69" s="709">
        <v>46264.19</v>
      </c>
      <c r="E69" s="338">
        <v>0</v>
      </c>
      <c r="F69" s="345">
        <f t="shared" si="22"/>
        <v>46264.19</v>
      </c>
      <c r="G69" s="708">
        <f t="shared" si="11"/>
        <v>1</v>
      </c>
      <c r="H69" s="708">
        <f t="shared" si="11"/>
        <v>1</v>
      </c>
      <c r="I69" s="345">
        <f t="shared" si="20"/>
        <v>46264.19</v>
      </c>
      <c r="J69" s="338"/>
      <c r="K69" s="709">
        <v>46264.189999999995</v>
      </c>
      <c r="L69" s="708">
        <f t="shared" si="19"/>
        <v>1</v>
      </c>
      <c r="M69" s="708">
        <f t="shared" si="19"/>
        <v>1</v>
      </c>
      <c r="N69" s="345">
        <f t="shared" si="21"/>
        <v>46264.189999999995</v>
      </c>
    </row>
    <row r="70" spans="1:14">
      <c r="A70" s="605">
        <f t="shared" si="1"/>
        <v>56</v>
      </c>
      <c r="B70" s="561">
        <v>37503</v>
      </c>
      <c r="C70" s="98" t="s">
        <v>962</v>
      </c>
      <c r="D70" s="709">
        <v>4005.08</v>
      </c>
      <c r="E70" s="338">
        <v>0</v>
      </c>
      <c r="F70" s="345">
        <f t="shared" si="22"/>
        <v>4005.08</v>
      </c>
      <c r="G70" s="708">
        <f t="shared" si="11"/>
        <v>1</v>
      </c>
      <c r="H70" s="708">
        <f t="shared" si="11"/>
        <v>1</v>
      </c>
      <c r="I70" s="345">
        <f t="shared" si="20"/>
        <v>4005.08</v>
      </c>
      <c r="J70" s="338"/>
      <c r="K70" s="709">
        <v>4005.0800000000013</v>
      </c>
      <c r="L70" s="708">
        <f t="shared" si="19"/>
        <v>1</v>
      </c>
      <c r="M70" s="708">
        <f t="shared" si="19"/>
        <v>1</v>
      </c>
      <c r="N70" s="345">
        <f t="shared" si="21"/>
        <v>4005.0800000000013</v>
      </c>
    </row>
    <row r="71" spans="1:14">
      <c r="A71" s="605">
        <f t="shared" si="1"/>
        <v>57</v>
      </c>
      <c r="B71" s="561">
        <v>37600</v>
      </c>
      <c r="C71" s="98" t="s">
        <v>813</v>
      </c>
      <c r="D71" s="709">
        <v>3418282.84</v>
      </c>
      <c r="E71" s="338">
        <v>0</v>
      </c>
      <c r="F71" s="345">
        <f t="shared" si="22"/>
        <v>3418282.84</v>
      </c>
      <c r="G71" s="708">
        <f t="shared" si="11"/>
        <v>1</v>
      </c>
      <c r="H71" s="708">
        <f t="shared" si="11"/>
        <v>1</v>
      </c>
      <c r="I71" s="345">
        <f t="shared" si="20"/>
        <v>3418282.84</v>
      </c>
      <c r="J71" s="338"/>
      <c r="K71" s="709">
        <v>3367096.7746153851</v>
      </c>
      <c r="L71" s="708">
        <f t="shared" si="19"/>
        <v>1</v>
      </c>
      <c r="M71" s="708">
        <f t="shared" si="19"/>
        <v>1</v>
      </c>
      <c r="N71" s="345">
        <f t="shared" si="21"/>
        <v>3367096.7746153851</v>
      </c>
    </row>
    <row r="72" spans="1:14">
      <c r="A72" s="605">
        <f t="shared" si="1"/>
        <v>58</v>
      </c>
      <c r="B72" s="561">
        <v>37601</v>
      </c>
      <c r="C72" s="98" t="s">
        <v>15</v>
      </c>
      <c r="D72" s="709">
        <v>227689039.78167164</v>
      </c>
      <c r="E72" s="338">
        <v>0</v>
      </c>
      <c r="F72" s="345">
        <f t="shared" si="22"/>
        <v>227689039.78167164</v>
      </c>
      <c r="G72" s="708">
        <f t="shared" si="11"/>
        <v>1</v>
      </c>
      <c r="H72" s="708">
        <f t="shared" si="11"/>
        <v>1</v>
      </c>
      <c r="I72" s="345">
        <f t="shared" si="20"/>
        <v>227689039.78167164</v>
      </c>
      <c r="J72" s="338"/>
      <c r="K72" s="709">
        <v>227670622.88050348</v>
      </c>
      <c r="L72" s="708">
        <f t="shared" si="19"/>
        <v>1</v>
      </c>
      <c r="M72" s="708">
        <f t="shared" si="19"/>
        <v>1</v>
      </c>
      <c r="N72" s="345">
        <f t="shared" si="21"/>
        <v>227670622.88050348</v>
      </c>
    </row>
    <row r="73" spans="1:14">
      <c r="A73" s="605">
        <f t="shared" si="1"/>
        <v>59</v>
      </c>
      <c r="B73" s="561">
        <v>37602</v>
      </c>
      <c r="C73" s="98" t="s">
        <v>814</v>
      </c>
      <c r="D73" s="709">
        <v>219036210.46910334</v>
      </c>
      <c r="E73" s="338">
        <v>0</v>
      </c>
      <c r="F73" s="345">
        <f t="shared" si="22"/>
        <v>219036210.46910334</v>
      </c>
      <c r="G73" s="708">
        <f t="shared" si="11"/>
        <v>1</v>
      </c>
      <c r="H73" s="708">
        <f t="shared" si="11"/>
        <v>1</v>
      </c>
      <c r="I73" s="345">
        <f t="shared" si="20"/>
        <v>219036210.46910334</v>
      </c>
      <c r="J73" s="338"/>
      <c r="K73" s="709">
        <v>216393023.60490897</v>
      </c>
      <c r="L73" s="708">
        <f t="shared" si="19"/>
        <v>1</v>
      </c>
      <c r="M73" s="708">
        <f t="shared" si="19"/>
        <v>1</v>
      </c>
      <c r="N73" s="345">
        <f t="shared" si="21"/>
        <v>216393023.60490897</v>
      </c>
    </row>
    <row r="74" spans="1:14">
      <c r="A74" s="605">
        <f t="shared" si="1"/>
        <v>60</v>
      </c>
      <c r="B74" s="561">
        <v>37603</v>
      </c>
      <c r="C74" s="98" t="s">
        <v>1494</v>
      </c>
      <c r="D74" s="709">
        <v>3411518.8491258672</v>
      </c>
      <c r="E74" s="338">
        <v>0</v>
      </c>
      <c r="F74" s="345">
        <f t="shared" si="22"/>
        <v>3411518.8491258672</v>
      </c>
      <c r="G74" s="708">
        <f t="shared" si="11"/>
        <v>1</v>
      </c>
      <c r="H74" s="708">
        <f t="shared" si="11"/>
        <v>1</v>
      </c>
      <c r="I74" s="345">
        <f t="shared" ref="I74:I75" si="23">F74*G74*H74</f>
        <v>3411518.8491258672</v>
      </c>
      <c r="J74" s="338"/>
      <c r="K74" s="709">
        <v>3312664.7160819704</v>
      </c>
      <c r="L74" s="708">
        <f t="shared" si="19"/>
        <v>1</v>
      </c>
      <c r="M74" s="708">
        <f t="shared" si="19"/>
        <v>1</v>
      </c>
      <c r="N74" s="345">
        <f t="shared" ref="N74:N75" si="24">K74*L74*M74</f>
        <v>3312664.7160819704</v>
      </c>
    </row>
    <row r="75" spans="1:14">
      <c r="A75" s="605">
        <f t="shared" si="1"/>
        <v>61</v>
      </c>
      <c r="B75" s="561">
        <v>37604</v>
      </c>
      <c r="C75" s="98" t="s">
        <v>1495</v>
      </c>
      <c r="D75" s="709">
        <v>6789879.21</v>
      </c>
      <c r="E75" s="338">
        <v>0</v>
      </c>
      <c r="F75" s="345">
        <f t="shared" si="22"/>
        <v>6789879.21</v>
      </c>
      <c r="G75" s="708">
        <f t="shared" si="11"/>
        <v>1</v>
      </c>
      <c r="H75" s="708">
        <f t="shared" si="11"/>
        <v>1</v>
      </c>
      <c r="I75" s="345">
        <f t="shared" si="23"/>
        <v>6789879.21</v>
      </c>
      <c r="J75" s="338"/>
      <c r="K75" s="709">
        <v>7033995.2530769212</v>
      </c>
      <c r="L75" s="708">
        <f t="shared" si="19"/>
        <v>1</v>
      </c>
      <c r="M75" s="708">
        <f t="shared" si="19"/>
        <v>1</v>
      </c>
      <c r="N75" s="345">
        <f t="shared" si="24"/>
        <v>7033995.2530769212</v>
      </c>
    </row>
    <row r="76" spans="1:14">
      <c r="A76" s="605">
        <f t="shared" si="1"/>
        <v>62</v>
      </c>
      <c r="B76" s="561">
        <v>37800</v>
      </c>
      <c r="C76" s="98" t="s">
        <v>221</v>
      </c>
      <c r="D76" s="709">
        <v>25444607.52285599</v>
      </c>
      <c r="E76" s="338">
        <v>0</v>
      </c>
      <c r="F76" s="345">
        <f t="shared" si="22"/>
        <v>25444607.52285599</v>
      </c>
      <c r="G76" s="708">
        <f t="shared" si="11"/>
        <v>1</v>
      </c>
      <c r="H76" s="708">
        <f t="shared" si="11"/>
        <v>1</v>
      </c>
      <c r="I76" s="345">
        <f t="shared" si="20"/>
        <v>25444607.52285599</v>
      </c>
      <c r="J76" s="338"/>
      <c r="K76" s="709">
        <v>25336146.915164299</v>
      </c>
      <c r="L76" s="708">
        <f t="shared" si="19"/>
        <v>1</v>
      </c>
      <c r="M76" s="708">
        <f t="shared" si="19"/>
        <v>1</v>
      </c>
      <c r="N76" s="345">
        <f t="shared" si="21"/>
        <v>25336146.915164299</v>
      </c>
    </row>
    <row r="77" spans="1:14">
      <c r="A77" s="605">
        <f t="shared" si="1"/>
        <v>63</v>
      </c>
      <c r="B77" s="561">
        <v>37900</v>
      </c>
      <c r="C77" s="98" t="s">
        <v>1148</v>
      </c>
      <c r="D77" s="709">
        <v>7518544.9800000004</v>
      </c>
      <c r="E77" s="338">
        <v>0</v>
      </c>
      <c r="F77" s="345">
        <f t="shared" si="22"/>
        <v>7518544.9800000004</v>
      </c>
      <c r="G77" s="708">
        <f t="shared" si="11"/>
        <v>1</v>
      </c>
      <c r="H77" s="708">
        <f t="shared" si="11"/>
        <v>1</v>
      </c>
      <c r="I77" s="345">
        <f t="shared" si="20"/>
        <v>7518544.9800000004</v>
      </c>
      <c r="J77" s="338"/>
      <c r="K77" s="709">
        <v>7518371.3046153868</v>
      </c>
      <c r="L77" s="708">
        <f t="shared" si="19"/>
        <v>1</v>
      </c>
      <c r="M77" s="708">
        <f t="shared" si="19"/>
        <v>1</v>
      </c>
      <c r="N77" s="345">
        <f t="shared" si="21"/>
        <v>7518371.3046153868</v>
      </c>
    </row>
    <row r="78" spans="1:14">
      <c r="A78" s="605">
        <f t="shared" si="1"/>
        <v>64</v>
      </c>
      <c r="B78" s="561">
        <v>37905</v>
      </c>
      <c r="C78" s="98" t="s">
        <v>698</v>
      </c>
      <c r="D78" s="709">
        <v>1718293.35</v>
      </c>
      <c r="E78" s="338">
        <v>0</v>
      </c>
      <c r="F78" s="345">
        <f t="shared" si="22"/>
        <v>1718293.35</v>
      </c>
      <c r="G78" s="708">
        <f t="shared" si="11"/>
        <v>1</v>
      </c>
      <c r="H78" s="708">
        <f t="shared" si="11"/>
        <v>1</v>
      </c>
      <c r="I78" s="345">
        <f t="shared" si="20"/>
        <v>1718293.35</v>
      </c>
      <c r="J78" s="338"/>
      <c r="K78" s="709">
        <v>1718293.3500000003</v>
      </c>
      <c r="L78" s="708">
        <f t="shared" si="19"/>
        <v>1</v>
      </c>
      <c r="M78" s="708">
        <f t="shared" si="19"/>
        <v>1</v>
      </c>
      <c r="N78" s="345">
        <f t="shared" si="21"/>
        <v>1718293.3500000003</v>
      </c>
    </row>
    <row r="79" spans="1:14">
      <c r="A79" s="605">
        <f t="shared" si="1"/>
        <v>65</v>
      </c>
      <c r="B79" s="561">
        <v>38000</v>
      </c>
      <c r="C79" s="98" t="s">
        <v>1013</v>
      </c>
      <c r="D79" s="709">
        <v>190318910.27227792</v>
      </c>
      <c r="E79" s="338">
        <v>0</v>
      </c>
      <c r="F79" s="345">
        <f t="shared" si="22"/>
        <v>190318910.27227792</v>
      </c>
      <c r="G79" s="708">
        <f t="shared" si="11"/>
        <v>1</v>
      </c>
      <c r="H79" s="708">
        <f t="shared" si="11"/>
        <v>1</v>
      </c>
      <c r="I79" s="345">
        <f t="shared" si="20"/>
        <v>190318910.27227792</v>
      </c>
      <c r="J79" s="338"/>
      <c r="K79" s="709">
        <v>187933308.44823897</v>
      </c>
      <c r="L79" s="708">
        <f t="shared" si="19"/>
        <v>1</v>
      </c>
      <c r="M79" s="708">
        <f t="shared" si="19"/>
        <v>1</v>
      </c>
      <c r="N79" s="345">
        <f t="shared" si="21"/>
        <v>187933308.44823897</v>
      </c>
    </row>
    <row r="80" spans="1:14">
      <c r="A80" s="605">
        <f t="shared" si="1"/>
        <v>66</v>
      </c>
      <c r="B80" s="561">
        <v>38100</v>
      </c>
      <c r="C80" s="98" t="s">
        <v>815</v>
      </c>
      <c r="D80" s="709">
        <v>52498699.883802861</v>
      </c>
      <c r="E80" s="338">
        <v>0</v>
      </c>
      <c r="F80" s="345">
        <f t="shared" si="22"/>
        <v>52498699.883802861</v>
      </c>
      <c r="G80" s="708">
        <f t="shared" ref="G80:H113" si="25">$G$16</f>
        <v>1</v>
      </c>
      <c r="H80" s="708">
        <f t="shared" si="25"/>
        <v>1</v>
      </c>
      <c r="I80" s="345">
        <f t="shared" si="20"/>
        <v>52498699.883802861</v>
      </c>
      <c r="J80" s="338"/>
      <c r="K80" s="709">
        <v>51205439.649215974</v>
      </c>
      <c r="L80" s="708">
        <f t="shared" si="19"/>
        <v>1</v>
      </c>
      <c r="M80" s="708">
        <f t="shared" si="19"/>
        <v>1</v>
      </c>
      <c r="N80" s="345">
        <f t="shared" si="21"/>
        <v>51205439.649215974</v>
      </c>
    </row>
    <row r="81" spans="1:15">
      <c r="A81" s="605">
        <f t="shared" si="1"/>
        <v>67</v>
      </c>
      <c r="B81" s="561">
        <v>38200</v>
      </c>
      <c r="C81" s="98" t="s">
        <v>420</v>
      </c>
      <c r="D81" s="709">
        <v>61444680.133076467</v>
      </c>
      <c r="E81" s="338">
        <v>0</v>
      </c>
      <c r="F81" s="345">
        <f t="shared" si="22"/>
        <v>61444680.133076467</v>
      </c>
      <c r="G81" s="708">
        <f t="shared" si="25"/>
        <v>1</v>
      </c>
      <c r="H81" s="708">
        <f t="shared" si="25"/>
        <v>1</v>
      </c>
      <c r="I81" s="345">
        <f t="shared" si="20"/>
        <v>61444680.133076467</v>
      </c>
      <c r="J81" s="338"/>
      <c r="K81" s="709">
        <v>61347324.518679425</v>
      </c>
      <c r="L81" s="708">
        <f t="shared" si="19"/>
        <v>1</v>
      </c>
      <c r="M81" s="708">
        <f t="shared" si="19"/>
        <v>1</v>
      </c>
      <c r="N81" s="345">
        <f t="shared" si="21"/>
        <v>61347324.518679425</v>
      </c>
    </row>
    <row r="82" spans="1:15">
      <c r="A82" s="605">
        <f t="shared" si="1"/>
        <v>68</v>
      </c>
      <c r="B82" s="561">
        <v>38300</v>
      </c>
      <c r="C82" s="98" t="s">
        <v>1014</v>
      </c>
      <c r="D82" s="709">
        <v>3974496.5</v>
      </c>
      <c r="E82" s="338">
        <v>0</v>
      </c>
      <c r="F82" s="345">
        <f t="shared" si="22"/>
        <v>3974496.5</v>
      </c>
      <c r="G82" s="708">
        <f t="shared" si="25"/>
        <v>1</v>
      </c>
      <c r="H82" s="708">
        <f t="shared" si="25"/>
        <v>1</v>
      </c>
      <c r="I82" s="345">
        <f t="shared" si="20"/>
        <v>3974496.5</v>
      </c>
      <c r="J82" s="338"/>
      <c r="K82" s="709">
        <v>3862759.5969230765</v>
      </c>
      <c r="L82" s="708">
        <f t="shared" si="19"/>
        <v>1</v>
      </c>
      <c r="M82" s="708">
        <f t="shared" si="19"/>
        <v>1</v>
      </c>
      <c r="N82" s="345">
        <f t="shared" si="21"/>
        <v>3862759.5969230765</v>
      </c>
    </row>
    <row r="83" spans="1:15">
      <c r="A83" s="605">
        <f t="shared" si="1"/>
        <v>69</v>
      </c>
      <c r="B83" s="561">
        <v>38400</v>
      </c>
      <c r="C83" s="98" t="s">
        <v>421</v>
      </c>
      <c r="D83" s="709">
        <v>378094.04000000004</v>
      </c>
      <c r="E83" s="338">
        <v>0</v>
      </c>
      <c r="F83" s="345">
        <f t="shared" si="22"/>
        <v>378094.04000000004</v>
      </c>
      <c r="G83" s="708">
        <f t="shared" si="25"/>
        <v>1</v>
      </c>
      <c r="H83" s="708">
        <f t="shared" si="25"/>
        <v>1</v>
      </c>
      <c r="I83" s="345">
        <f t="shared" si="20"/>
        <v>378094.04000000004</v>
      </c>
      <c r="J83" s="338"/>
      <c r="K83" s="709">
        <v>370819.5615384616</v>
      </c>
      <c r="L83" s="708">
        <f t="shared" si="19"/>
        <v>1</v>
      </c>
      <c r="M83" s="708">
        <f t="shared" si="19"/>
        <v>1</v>
      </c>
      <c r="N83" s="345">
        <f t="shared" si="21"/>
        <v>370819.5615384616</v>
      </c>
    </row>
    <row r="84" spans="1:15">
      <c r="A84" s="605">
        <f t="shared" ref="A84:A147" si="26">A83+1</f>
        <v>70</v>
      </c>
      <c r="B84" s="561">
        <v>38500</v>
      </c>
      <c r="C84" s="98" t="s">
        <v>422</v>
      </c>
      <c r="D84" s="709">
        <v>5725878.120000001</v>
      </c>
      <c r="E84" s="338">
        <v>0</v>
      </c>
      <c r="F84" s="345">
        <f t="shared" si="22"/>
        <v>5725878.120000001</v>
      </c>
      <c r="G84" s="708">
        <f t="shared" si="25"/>
        <v>1</v>
      </c>
      <c r="H84" s="708">
        <f t="shared" si="25"/>
        <v>1</v>
      </c>
      <c r="I84" s="345">
        <f t="shared" si="20"/>
        <v>5725878.120000001</v>
      </c>
      <c r="J84" s="338"/>
      <c r="K84" s="709">
        <v>5680078.6138461567</v>
      </c>
      <c r="L84" s="708">
        <f t="shared" si="19"/>
        <v>1</v>
      </c>
      <c r="M84" s="708">
        <f t="shared" si="19"/>
        <v>1</v>
      </c>
      <c r="N84" s="345">
        <f t="shared" si="21"/>
        <v>5680078.6138461567</v>
      </c>
    </row>
    <row r="85" spans="1:15">
      <c r="A85" s="605">
        <f t="shared" si="26"/>
        <v>71</v>
      </c>
      <c r="B85" s="618"/>
      <c r="C85" s="98"/>
      <c r="D85" s="339"/>
      <c r="E85" s="339"/>
      <c r="F85" s="339"/>
      <c r="G85" s="195"/>
      <c r="H85" s="195"/>
      <c r="I85" s="339"/>
      <c r="K85" s="391"/>
      <c r="N85" s="339"/>
    </row>
    <row r="86" spans="1:15">
      <c r="A86" s="605">
        <f t="shared" si="26"/>
        <v>72</v>
      </c>
      <c r="B86" s="618"/>
      <c r="C86" s="98" t="s">
        <v>291</v>
      </c>
      <c r="D86" s="707">
        <f>SUM(D63:D85)</f>
        <v>815055707.281914</v>
      </c>
      <c r="E86" s="707">
        <f>SUM(E63:E85)</f>
        <v>0</v>
      </c>
      <c r="F86" s="707">
        <f>SUM(F63:F85)</f>
        <v>815055707.281914</v>
      </c>
      <c r="G86" s="195"/>
      <c r="H86" s="195"/>
      <c r="I86" s="707">
        <f>SUM(I63:I85)</f>
        <v>815055707.281914</v>
      </c>
      <c r="K86" s="707">
        <f>SUM(K63:K85)</f>
        <v>808381289.97971618</v>
      </c>
      <c r="N86" s="707">
        <f>SUM(N63:N85)</f>
        <v>808381289.97971618</v>
      </c>
      <c r="O86" s="329"/>
    </row>
    <row r="87" spans="1:15">
      <c r="A87" s="605">
        <f t="shared" si="26"/>
        <v>73</v>
      </c>
      <c r="B87" s="618"/>
      <c r="C87" s="98"/>
      <c r="G87" s="195"/>
      <c r="H87" s="195"/>
      <c r="K87" s="209"/>
    </row>
    <row r="88" spans="1:15">
      <c r="A88" s="605">
        <f t="shared" si="26"/>
        <v>74</v>
      </c>
      <c r="B88" s="618"/>
      <c r="C88" s="16" t="s">
        <v>1127</v>
      </c>
      <c r="G88" s="195"/>
      <c r="H88" s="195"/>
      <c r="K88" s="209"/>
    </row>
    <row r="89" spans="1:15">
      <c r="A89" s="605">
        <f t="shared" si="26"/>
        <v>75</v>
      </c>
      <c r="B89" s="561">
        <v>38900</v>
      </c>
      <c r="C89" s="98" t="s">
        <v>1105</v>
      </c>
      <c r="D89" s="706">
        <v>1211697.3</v>
      </c>
      <c r="E89" s="264">
        <v>0</v>
      </c>
      <c r="F89" s="707">
        <f t="shared" ref="F89:F113" si="27">D89+E89</f>
        <v>1211697.3</v>
      </c>
      <c r="G89" s="708">
        <f t="shared" si="25"/>
        <v>1</v>
      </c>
      <c r="H89" s="708">
        <f t="shared" si="25"/>
        <v>1</v>
      </c>
      <c r="I89" s="707">
        <f>F89*G89*H89</f>
        <v>1211697.3</v>
      </c>
      <c r="K89" s="706">
        <v>1211697.3000000003</v>
      </c>
      <c r="L89" s="708">
        <f t="shared" ref="L89:M113" si="28">$G$16</f>
        <v>1</v>
      </c>
      <c r="M89" s="708">
        <f t="shared" si="28"/>
        <v>1</v>
      </c>
      <c r="N89" s="707">
        <f>K89*L89*M89</f>
        <v>1211697.3000000003</v>
      </c>
    </row>
    <row r="90" spans="1:15">
      <c r="A90" s="605">
        <f t="shared" si="26"/>
        <v>76</v>
      </c>
      <c r="B90" s="561">
        <v>39000</v>
      </c>
      <c r="C90" s="98" t="s">
        <v>825</v>
      </c>
      <c r="D90" s="709">
        <v>9137527.7800000012</v>
      </c>
      <c r="E90" s="338">
        <v>0</v>
      </c>
      <c r="F90" s="345">
        <f>D90+E90</f>
        <v>9137527.7800000012</v>
      </c>
      <c r="G90" s="708">
        <f t="shared" si="25"/>
        <v>1</v>
      </c>
      <c r="H90" s="708">
        <f t="shared" si="25"/>
        <v>1</v>
      </c>
      <c r="I90" s="345">
        <f t="shared" ref="I90:I113" si="29">F90*G90*H90</f>
        <v>9137527.7800000012</v>
      </c>
      <c r="K90" s="709">
        <v>9106388.4299999997</v>
      </c>
      <c r="L90" s="708">
        <f t="shared" si="28"/>
        <v>1</v>
      </c>
      <c r="M90" s="708">
        <f t="shared" si="28"/>
        <v>1</v>
      </c>
      <c r="N90" s="345">
        <f t="shared" ref="N90:N113" si="30">K90*L90*M90</f>
        <v>9106388.4299999997</v>
      </c>
    </row>
    <row r="91" spans="1:15">
      <c r="A91" s="605">
        <f t="shared" si="26"/>
        <v>77</v>
      </c>
      <c r="B91" s="561">
        <v>39002</v>
      </c>
      <c r="C91" s="98" t="s">
        <v>719</v>
      </c>
      <c r="D91" s="709">
        <v>173114.85</v>
      </c>
      <c r="E91" s="338">
        <v>0</v>
      </c>
      <c r="F91" s="345">
        <f t="shared" si="27"/>
        <v>173114.85</v>
      </c>
      <c r="G91" s="708">
        <f t="shared" si="25"/>
        <v>1</v>
      </c>
      <c r="H91" s="708">
        <f t="shared" si="25"/>
        <v>1</v>
      </c>
      <c r="I91" s="345">
        <f t="shared" si="29"/>
        <v>173114.85</v>
      </c>
      <c r="K91" s="709">
        <v>173114.85000000003</v>
      </c>
      <c r="L91" s="708">
        <f t="shared" si="28"/>
        <v>1</v>
      </c>
      <c r="M91" s="708">
        <f t="shared" si="28"/>
        <v>1</v>
      </c>
      <c r="N91" s="345">
        <f t="shared" si="30"/>
        <v>173114.85000000003</v>
      </c>
    </row>
    <row r="92" spans="1:15">
      <c r="A92" s="605">
        <f t="shared" si="26"/>
        <v>78</v>
      </c>
      <c r="B92" s="561">
        <v>39003</v>
      </c>
      <c r="C92" s="98" t="s">
        <v>962</v>
      </c>
      <c r="D92" s="709">
        <v>876634.4</v>
      </c>
      <c r="E92" s="338">
        <v>0</v>
      </c>
      <c r="F92" s="345">
        <f t="shared" si="27"/>
        <v>876634.4</v>
      </c>
      <c r="G92" s="708">
        <f t="shared" si="25"/>
        <v>1</v>
      </c>
      <c r="H92" s="708">
        <f t="shared" si="25"/>
        <v>1</v>
      </c>
      <c r="I92" s="345">
        <f t="shared" si="29"/>
        <v>876634.4</v>
      </c>
      <c r="K92" s="709">
        <v>876634.40000000026</v>
      </c>
      <c r="L92" s="708">
        <f t="shared" si="28"/>
        <v>1</v>
      </c>
      <c r="M92" s="708">
        <f t="shared" si="28"/>
        <v>1</v>
      </c>
      <c r="N92" s="345">
        <f t="shared" si="30"/>
        <v>876634.40000000026</v>
      </c>
    </row>
    <row r="93" spans="1:15">
      <c r="A93" s="605">
        <f t="shared" si="26"/>
        <v>79</v>
      </c>
      <c r="B93" s="561">
        <v>39004</v>
      </c>
      <c r="C93" s="98" t="s">
        <v>423</v>
      </c>
      <c r="D93" s="709">
        <v>12954.74</v>
      </c>
      <c r="E93" s="338">
        <v>0</v>
      </c>
      <c r="F93" s="345">
        <f t="shared" si="27"/>
        <v>12954.74</v>
      </c>
      <c r="G93" s="708">
        <f t="shared" si="25"/>
        <v>1</v>
      </c>
      <c r="H93" s="708">
        <f t="shared" si="25"/>
        <v>1</v>
      </c>
      <c r="I93" s="345">
        <f t="shared" si="29"/>
        <v>12954.74</v>
      </c>
      <c r="K93" s="709">
        <v>12954.74</v>
      </c>
      <c r="L93" s="708">
        <f t="shared" si="28"/>
        <v>1</v>
      </c>
      <c r="M93" s="708">
        <f t="shared" si="28"/>
        <v>1</v>
      </c>
      <c r="N93" s="345">
        <f t="shared" si="30"/>
        <v>12954.74</v>
      </c>
    </row>
    <row r="94" spans="1:15">
      <c r="A94" s="605">
        <f t="shared" si="26"/>
        <v>80</v>
      </c>
      <c r="B94" s="561">
        <v>39009</v>
      </c>
      <c r="C94" s="98" t="s">
        <v>997</v>
      </c>
      <c r="D94" s="709">
        <v>1267195.19</v>
      </c>
      <c r="E94" s="338">
        <v>0</v>
      </c>
      <c r="F94" s="345">
        <f t="shared" si="27"/>
        <v>1267195.19</v>
      </c>
      <c r="G94" s="708">
        <f t="shared" si="25"/>
        <v>1</v>
      </c>
      <c r="H94" s="708">
        <f t="shared" si="25"/>
        <v>1</v>
      </c>
      <c r="I94" s="345">
        <f t="shared" si="29"/>
        <v>1267195.19</v>
      </c>
      <c r="K94" s="709">
        <v>1267195.1899999997</v>
      </c>
      <c r="L94" s="708">
        <f t="shared" si="28"/>
        <v>1</v>
      </c>
      <c r="M94" s="708">
        <f t="shared" si="28"/>
        <v>1</v>
      </c>
      <c r="N94" s="345">
        <f t="shared" si="30"/>
        <v>1267195.1899999997</v>
      </c>
    </row>
    <row r="95" spans="1:15">
      <c r="A95" s="605">
        <f t="shared" si="26"/>
        <v>81</v>
      </c>
      <c r="B95" s="561">
        <v>39100</v>
      </c>
      <c r="C95" s="98" t="s">
        <v>749</v>
      </c>
      <c r="D95" s="709">
        <v>1816938.6199999999</v>
      </c>
      <c r="E95" s="338">
        <v>0</v>
      </c>
      <c r="F95" s="345">
        <f t="shared" si="27"/>
        <v>1816938.6199999999</v>
      </c>
      <c r="G95" s="708">
        <f t="shared" si="25"/>
        <v>1</v>
      </c>
      <c r="H95" s="708">
        <f t="shared" si="25"/>
        <v>1</v>
      </c>
      <c r="I95" s="345">
        <f t="shared" si="29"/>
        <v>1816938.6199999999</v>
      </c>
      <c r="K95" s="709">
        <v>1814328.5546153847</v>
      </c>
      <c r="L95" s="708">
        <f t="shared" si="28"/>
        <v>1</v>
      </c>
      <c r="M95" s="708">
        <f t="shared" si="28"/>
        <v>1</v>
      </c>
      <c r="N95" s="345">
        <f t="shared" si="30"/>
        <v>1814328.5546153847</v>
      </c>
    </row>
    <row r="96" spans="1:15">
      <c r="A96" s="605">
        <f t="shared" si="26"/>
        <v>82</v>
      </c>
      <c r="B96" s="561">
        <v>39103</v>
      </c>
      <c r="C96" t="s">
        <v>750</v>
      </c>
      <c r="D96" s="709">
        <v>0</v>
      </c>
      <c r="E96" s="338">
        <v>0</v>
      </c>
      <c r="F96" s="345">
        <f t="shared" si="27"/>
        <v>0</v>
      </c>
      <c r="G96" s="708">
        <f t="shared" si="25"/>
        <v>1</v>
      </c>
      <c r="H96" s="708">
        <f t="shared" si="25"/>
        <v>1</v>
      </c>
      <c r="I96" s="345">
        <f t="shared" si="29"/>
        <v>0</v>
      </c>
      <c r="K96" s="709">
        <v>0</v>
      </c>
      <c r="L96" s="708">
        <f t="shared" si="28"/>
        <v>1</v>
      </c>
      <c r="M96" s="708">
        <f t="shared" si="28"/>
        <v>1</v>
      </c>
      <c r="N96" s="345">
        <f t="shared" si="30"/>
        <v>0</v>
      </c>
    </row>
    <row r="97" spans="1:14">
      <c r="A97" s="605">
        <f t="shared" si="26"/>
        <v>83</v>
      </c>
      <c r="B97" s="561">
        <v>39200</v>
      </c>
      <c r="C97" s="98" t="s">
        <v>1037</v>
      </c>
      <c r="D97" s="709">
        <v>180749.02</v>
      </c>
      <c r="E97" s="338">
        <v>0</v>
      </c>
      <c r="F97" s="345">
        <f t="shared" si="27"/>
        <v>180749.02</v>
      </c>
      <c r="G97" s="708">
        <f t="shared" si="25"/>
        <v>1</v>
      </c>
      <c r="H97" s="708">
        <f t="shared" si="25"/>
        <v>1</v>
      </c>
      <c r="I97" s="345">
        <f t="shared" si="29"/>
        <v>180749.02</v>
      </c>
      <c r="K97" s="709">
        <v>180749.02</v>
      </c>
      <c r="L97" s="708">
        <f t="shared" si="28"/>
        <v>1</v>
      </c>
      <c r="M97" s="708">
        <f t="shared" si="28"/>
        <v>1</v>
      </c>
      <c r="N97" s="345">
        <f t="shared" si="30"/>
        <v>180749.02</v>
      </c>
    </row>
    <row r="98" spans="1:14">
      <c r="A98" s="605">
        <f t="shared" si="26"/>
        <v>84</v>
      </c>
      <c r="B98" s="561">
        <v>39202</v>
      </c>
      <c r="C98" s="98" t="s">
        <v>81</v>
      </c>
      <c r="D98" s="709">
        <v>36588.44</v>
      </c>
      <c r="E98" s="338">
        <v>0</v>
      </c>
      <c r="F98" s="345">
        <f t="shared" si="27"/>
        <v>36588.44</v>
      </c>
      <c r="G98" s="708">
        <f t="shared" si="25"/>
        <v>1</v>
      </c>
      <c r="H98" s="708">
        <f t="shared" si="25"/>
        <v>1</v>
      </c>
      <c r="I98" s="345">
        <f t="shared" si="29"/>
        <v>36588.44</v>
      </c>
      <c r="K98" s="709">
        <v>36588.44</v>
      </c>
      <c r="L98" s="708">
        <f t="shared" si="28"/>
        <v>1</v>
      </c>
      <c r="M98" s="708">
        <f t="shared" si="28"/>
        <v>1</v>
      </c>
      <c r="N98" s="345">
        <f t="shared" si="30"/>
        <v>36588.44</v>
      </c>
    </row>
    <row r="99" spans="1:14">
      <c r="A99" s="605">
        <f t="shared" si="26"/>
        <v>85</v>
      </c>
      <c r="B99" s="561">
        <v>39400</v>
      </c>
      <c r="C99" s="98" t="s">
        <v>996</v>
      </c>
      <c r="D99" s="709">
        <v>6528040.0535314679</v>
      </c>
      <c r="E99" s="338">
        <v>0</v>
      </c>
      <c r="F99" s="345">
        <f t="shared" si="27"/>
        <v>6528040.0535314679</v>
      </c>
      <c r="G99" s="708">
        <f t="shared" si="25"/>
        <v>1</v>
      </c>
      <c r="H99" s="708">
        <f t="shared" si="25"/>
        <v>1</v>
      </c>
      <c r="I99" s="345">
        <f t="shared" si="29"/>
        <v>6528040.0535314679</v>
      </c>
      <c r="K99" s="709">
        <v>6403654.4026016016</v>
      </c>
      <c r="L99" s="708">
        <f t="shared" si="28"/>
        <v>1</v>
      </c>
      <c r="M99" s="708">
        <f t="shared" si="28"/>
        <v>1</v>
      </c>
      <c r="N99" s="345">
        <f t="shared" si="30"/>
        <v>6403654.4026016016</v>
      </c>
    </row>
    <row r="100" spans="1:14">
      <c r="A100" s="605">
        <f t="shared" si="26"/>
        <v>86</v>
      </c>
      <c r="B100" s="561">
        <v>39603</v>
      </c>
      <c r="C100" s="98" t="s">
        <v>82</v>
      </c>
      <c r="D100" s="709">
        <v>0</v>
      </c>
      <c r="E100" s="338">
        <v>0</v>
      </c>
      <c r="F100" s="345">
        <f t="shared" si="27"/>
        <v>0</v>
      </c>
      <c r="G100" s="708">
        <f t="shared" si="25"/>
        <v>1</v>
      </c>
      <c r="H100" s="708">
        <f t="shared" si="25"/>
        <v>1</v>
      </c>
      <c r="I100" s="345">
        <f t="shared" si="29"/>
        <v>0</v>
      </c>
      <c r="K100" s="709">
        <v>0</v>
      </c>
      <c r="L100" s="708">
        <f t="shared" si="28"/>
        <v>1</v>
      </c>
      <c r="M100" s="708">
        <f t="shared" si="28"/>
        <v>1</v>
      </c>
      <c r="N100" s="345">
        <f t="shared" si="30"/>
        <v>0</v>
      </c>
    </row>
    <row r="101" spans="1:14">
      <c r="A101" s="605">
        <f t="shared" si="26"/>
        <v>87</v>
      </c>
      <c r="B101" s="561">
        <v>39604</v>
      </c>
      <c r="C101" s="98" t="s">
        <v>83</v>
      </c>
      <c r="D101" s="709">
        <v>0</v>
      </c>
      <c r="E101" s="338">
        <v>0</v>
      </c>
      <c r="F101" s="345">
        <f t="shared" si="27"/>
        <v>0</v>
      </c>
      <c r="G101" s="708">
        <f t="shared" si="25"/>
        <v>1</v>
      </c>
      <c r="H101" s="708">
        <f t="shared" si="25"/>
        <v>1</v>
      </c>
      <c r="I101" s="345">
        <f t="shared" si="29"/>
        <v>0</v>
      </c>
      <c r="K101" s="709">
        <v>0</v>
      </c>
      <c r="L101" s="708">
        <f t="shared" si="28"/>
        <v>1</v>
      </c>
      <c r="M101" s="708">
        <f t="shared" si="28"/>
        <v>1</v>
      </c>
      <c r="N101" s="345">
        <f t="shared" si="30"/>
        <v>0</v>
      </c>
    </row>
    <row r="102" spans="1:14">
      <c r="A102" s="605">
        <f t="shared" si="26"/>
        <v>88</v>
      </c>
      <c r="B102" s="561">
        <v>39605</v>
      </c>
      <c r="C102" s="30" t="s">
        <v>84</v>
      </c>
      <c r="D102" s="709">
        <v>0</v>
      </c>
      <c r="E102" s="338">
        <v>0</v>
      </c>
      <c r="F102" s="345">
        <f t="shared" si="27"/>
        <v>0</v>
      </c>
      <c r="G102" s="708">
        <f t="shared" si="25"/>
        <v>1</v>
      </c>
      <c r="H102" s="708">
        <f t="shared" si="25"/>
        <v>1</v>
      </c>
      <c r="I102" s="345">
        <f t="shared" si="29"/>
        <v>0</v>
      </c>
      <c r="K102" s="709">
        <v>0</v>
      </c>
      <c r="L102" s="708">
        <f t="shared" si="28"/>
        <v>1</v>
      </c>
      <c r="M102" s="708">
        <f t="shared" si="28"/>
        <v>1</v>
      </c>
      <c r="N102" s="345">
        <f t="shared" si="30"/>
        <v>0</v>
      </c>
    </row>
    <row r="103" spans="1:14">
      <c r="A103" s="605">
        <f t="shared" si="26"/>
        <v>89</v>
      </c>
      <c r="B103" s="561">
        <v>39700</v>
      </c>
      <c r="C103" s="98" t="s">
        <v>418</v>
      </c>
      <c r="D103" s="709">
        <v>433937.71</v>
      </c>
      <c r="E103" s="338">
        <v>0</v>
      </c>
      <c r="F103" s="345">
        <f t="shared" si="27"/>
        <v>433937.71</v>
      </c>
      <c r="G103" s="708">
        <f t="shared" si="25"/>
        <v>1</v>
      </c>
      <c r="H103" s="708">
        <f t="shared" si="25"/>
        <v>1</v>
      </c>
      <c r="I103" s="345">
        <f t="shared" si="29"/>
        <v>433937.71</v>
      </c>
      <c r="K103" s="709">
        <v>429300.83461538464</v>
      </c>
      <c r="L103" s="708">
        <f t="shared" si="28"/>
        <v>1</v>
      </c>
      <c r="M103" s="708">
        <f t="shared" si="28"/>
        <v>1</v>
      </c>
      <c r="N103" s="345">
        <f t="shared" si="30"/>
        <v>429300.83461538464</v>
      </c>
    </row>
    <row r="104" spans="1:14">
      <c r="A104" s="605">
        <f t="shared" si="26"/>
        <v>90</v>
      </c>
      <c r="B104" s="561">
        <v>39701</v>
      </c>
      <c r="C104" t="s">
        <v>1405</v>
      </c>
      <c r="D104" s="709">
        <v>0</v>
      </c>
      <c r="E104" s="338">
        <v>0</v>
      </c>
      <c r="F104" s="345">
        <f t="shared" si="27"/>
        <v>0</v>
      </c>
      <c r="G104" s="708">
        <f t="shared" si="25"/>
        <v>1</v>
      </c>
      <c r="H104" s="708">
        <f t="shared" si="25"/>
        <v>1</v>
      </c>
      <c r="I104" s="345">
        <f t="shared" si="29"/>
        <v>0</v>
      </c>
      <c r="K104" s="709">
        <v>0</v>
      </c>
      <c r="L104" s="708">
        <f t="shared" si="28"/>
        <v>1</v>
      </c>
      <c r="M104" s="708">
        <f t="shared" si="28"/>
        <v>1</v>
      </c>
      <c r="N104" s="345">
        <f t="shared" si="30"/>
        <v>0</v>
      </c>
    </row>
    <row r="105" spans="1:14">
      <c r="A105" s="605">
        <f t="shared" si="26"/>
        <v>91</v>
      </c>
      <c r="B105" s="561">
        <v>39702</v>
      </c>
      <c r="C105" t="s">
        <v>1405</v>
      </c>
      <c r="D105" s="709">
        <v>0</v>
      </c>
      <c r="E105" s="338">
        <v>0</v>
      </c>
      <c r="F105" s="345">
        <f t="shared" si="27"/>
        <v>0</v>
      </c>
      <c r="G105" s="708">
        <f t="shared" si="25"/>
        <v>1</v>
      </c>
      <c r="H105" s="708">
        <f t="shared" si="25"/>
        <v>1</v>
      </c>
      <c r="I105" s="345">
        <f t="shared" si="29"/>
        <v>0</v>
      </c>
      <c r="K105" s="709">
        <v>0</v>
      </c>
      <c r="L105" s="708">
        <f t="shared" si="28"/>
        <v>1</v>
      </c>
      <c r="M105" s="708">
        <f t="shared" si="28"/>
        <v>1</v>
      </c>
      <c r="N105" s="345">
        <f t="shared" si="30"/>
        <v>0</v>
      </c>
    </row>
    <row r="106" spans="1:14">
      <c r="A106" s="605">
        <f t="shared" si="26"/>
        <v>92</v>
      </c>
      <c r="B106" s="561">
        <v>39705</v>
      </c>
      <c r="C106" s="98" t="s">
        <v>694</v>
      </c>
      <c r="D106" s="709">
        <v>0</v>
      </c>
      <c r="E106" s="338">
        <v>0</v>
      </c>
      <c r="F106" s="345">
        <f t="shared" si="27"/>
        <v>0</v>
      </c>
      <c r="G106" s="708">
        <f t="shared" si="25"/>
        <v>1</v>
      </c>
      <c r="H106" s="708">
        <f t="shared" si="25"/>
        <v>1</v>
      </c>
      <c r="I106" s="345">
        <f t="shared" si="29"/>
        <v>0</v>
      </c>
      <c r="K106" s="709">
        <v>0</v>
      </c>
      <c r="L106" s="708">
        <f t="shared" si="28"/>
        <v>1</v>
      </c>
      <c r="M106" s="708">
        <f t="shared" si="28"/>
        <v>1</v>
      </c>
      <c r="N106" s="345">
        <f t="shared" si="30"/>
        <v>0</v>
      </c>
    </row>
    <row r="107" spans="1:14">
      <c r="A107" s="605">
        <f t="shared" si="26"/>
        <v>93</v>
      </c>
      <c r="B107" s="561">
        <v>39800</v>
      </c>
      <c r="C107" s="98" t="s">
        <v>623</v>
      </c>
      <c r="D107" s="709">
        <v>2907356.4115198334</v>
      </c>
      <c r="E107" s="338">
        <v>0</v>
      </c>
      <c r="F107" s="345">
        <f t="shared" si="27"/>
        <v>2907356.4115198334</v>
      </c>
      <c r="G107" s="708">
        <f t="shared" si="25"/>
        <v>1</v>
      </c>
      <c r="H107" s="708">
        <f t="shared" si="25"/>
        <v>1</v>
      </c>
      <c r="I107" s="345">
        <f t="shared" si="29"/>
        <v>2907356.4115198334</v>
      </c>
      <c r="K107" s="709">
        <v>2695721.8083387846</v>
      </c>
      <c r="L107" s="708">
        <f t="shared" si="28"/>
        <v>1</v>
      </c>
      <c r="M107" s="708">
        <f t="shared" si="28"/>
        <v>1</v>
      </c>
      <c r="N107" s="345">
        <f t="shared" si="30"/>
        <v>2695721.8083387846</v>
      </c>
    </row>
    <row r="108" spans="1:14">
      <c r="A108" s="605">
        <f t="shared" si="26"/>
        <v>94</v>
      </c>
      <c r="B108" s="561">
        <v>39901</v>
      </c>
      <c r="C108" t="s">
        <v>1406</v>
      </c>
      <c r="D108" s="709">
        <v>21425.23</v>
      </c>
      <c r="E108" s="338">
        <v>0</v>
      </c>
      <c r="F108" s="345">
        <f t="shared" si="27"/>
        <v>21425.23</v>
      </c>
      <c r="G108" s="708">
        <f t="shared" si="25"/>
        <v>1</v>
      </c>
      <c r="H108" s="708">
        <f t="shared" si="25"/>
        <v>1</v>
      </c>
      <c r="I108" s="345">
        <f t="shared" si="29"/>
        <v>21425.23</v>
      </c>
      <c r="K108" s="709">
        <v>21425.230000000003</v>
      </c>
      <c r="L108" s="708">
        <f t="shared" si="28"/>
        <v>1</v>
      </c>
      <c r="M108" s="708">
        <f t="shared" si="28"/>
        <v>1</v>
      </c>
      <c r="N108" s="345">
        <f t="shared" si="30"/>
        <v>21425.230000000003</v>
      </c>
    </row>
    <row r="109" spans="1:14">
      <c r="A109" s="605">
        <f t="shared" si="26"/>
        <v>95</v>
      </c>
      <c r="B109" s="561">
        <v>39902</v>
      </c>
      <c r="C109" t="s">
        <v>1407</v>
      </c>
      <c r="D109" s="709">
        <v>0</v>
      </c>
      <c r="E109" s="338">
        <v>0</v>
      </c>
      <c r="F109" s="345">
        <f t="shared" si="27"/>
        <v>0</v>
      </c>
      <c r="G109" s="708">
        <f t="shared" si="25"/>
        <v>1</v>
      </c>
      <c r="H109" s="708">
        <f t="shared" si="25"/>
        <v>1</v>
      </c>
      <c r="I109" s="345">
        <f t="shared" si="29"/>
        <v>0</v>
      </c>
      <c r="K109" s="709">
        <v>0</v>
      </c>
      <c r="L109" s="708">
        <f t="shared" si="28"/>
        <v>1</v>
      </c>
      <c r="M109" s="708">
        <f t="shared" si="28"/>
        <v>1</v>
      </c>
      <c r="N109" s="345">
        <f t="shared" si="30"/>
        <v>0</v>
      </c>
    </row>
    <row r="110" spans="1:14">
      <c r="A110" s="605">
        <f t="shared" si="26"/>
        <v>96</v>
      </c>
      <c r="B110" s="561">
        <v>39903</v>
      </c>
      <c r="C110" s="98" t="s">
        <v>967</v>
      </c>
      <c r="D110" s="709">
        <v>0</v>
      </c>
      <c r="E110" s="338">
        <v>0</v>
      </c>
      <c r="F110" s="345">
        <f t="shared" si="27"/>
        <v>0</v>
      </c>
      <c r="G110" s="708">
        <f t="shared" si="25"/>
        <v>1</v>
      </c>
      <c r="H110" s="708">
        <f t="shared" si="25"/>
        <v>1</v>
      </c>
      <c r="I110" s="345">
        <f t="shared" si="29"/>
        <v>0</v>
      </c>
      <c r="K110" s="709">
        <v>0</v>
      </c>
      <c r="L110" s="708">
        <f t="shared" si="28"/>
        <v>1</v>
      </c>
      <c r="M110" s="708">
        <f t="shared" si="28"/>
        <v>1</v>
      </c>
      <c r="N110" s="345">
        <f t="shared" si="30"/>
        <v>0</v>
      </c>
    </row>
    <row r="111" spans="1:14">
      <c r="A111" s="605">
        <f t="shared" si="26"/>
        <v>97</v>
      </c>
      <c r="B111" s="561">
        <v>39906</v>
      </c>
      <c r="C111" s="98" t="s">
        <v>429</v>
      </c>
      <c r="D111" s="709">
        <v>530661.65000000014</v>
      </c>
      <c r="E111" s="338">
        <v>0</v>
      </c>
      <c r="F111" s="345">
        <f t="shared" si="27"/>
        <v>530661.65000000014</v>
      </c>
      <c r="G111" s="708">
        <f t="shared" si="25"/>
        <v>1</v>
      </c>
      <c r="H111" s="708">
        <f t="shared" si="25"/>
        <v>1</v>
      </c>
      <c r="I111" s="345">
        <f t="shared" si="29"/>
        <v>530661.65000000014</v>
      </c>
      <c r="K111" s="709">
        <v>609561.21461538482</v>
      </c>
      <c r="L111" s="708">
        <f t="shared" si="28"/>
        <v>1</v>
      </c>
      <c r="M111" s="708">
        <f t="shared" si="28"/>
        <v>1</v>
      </c>
      <c r="N111" s="345">
        <f t="shared" si="30"/>
        <v>609561.21461538482</v>
      </c>
    </row>
    <row r="112" spans="1:14">
      <c r="A112" s="605">
        <f t="shared" si="26"/>
        <v>98</v>
      </c>
      <c r="B112" s="561">
        <v>39907</v>
      </c>
      <c r="C112" s="98" t="s">
        <v>479</v>
      </c>
      <c r="D112" s="709">
        <v>0</v>
      </c>
      <c r="E112" s="338">
        <v>0</v>
      </c>
      <c r="F112" s="345">
        <f t="shared" si="27"/>
        <v>0</v>
      </c>
      <c r="G112" s="708">
        <f t="shared" si="25"/>
        <v>1</v>
      </c>
      <c r="H112" s="708">
        <f t="shared" si="25"/>
        <v>1</v>
      </c>
      <c r="I112" s="345">
        <f t="shared" si="29"/>
        <v>0</v>
      </c>
      <c r="K112" s="709">
        <v>0</v>
      </c>
      <c r="L112" s="708">
        <f t="shared" si="28"/>
        <v>1</v>
      </c>
      <c r="M112" s="708">
        <f t="shared" si="28"/>
        <v>1</v>
      </c>
      <c r="N112" s="345">
        <f t="shared" si="30"/>
        <v>0</v>
      </c>
    </row>
    <row r="113" spans="1:18">
      <c r="A113" s="605">
        <f t="shared" si="26"/>
        <v>99</v>
      </c>
      <c r="B113" s="561">
        <v>39908</v>
      </c>
      <c r="C113" s="98" t="s">
        <v>173</v>
      </c>
      <c r="D113" s="709">
        <v>0</v>
      </c>
      <c r="E113" s="338">
        <v>0</v>
      </c>
      <c r="F113" s="345">
        <f t="shared" si="27"/>
        <v>0</v>
      </c>
      <c r="G113" s="708">
        <f t="shared" si="25"/>
        <v>1</v>
      </c>
      <c r="H113" s="708">
        <f t="shared" si="25"/>
        <v>1</v>
      </c>
      <c r="I113" s="345">
        <f t="shared" si="29"/>
        <v>0</v>
      </c>
      <c r="K113" s="709">
        <v>0</v>
      </c>
      <c r="L113" s="708">
        <f t="shared" si="28"/>
        <v>1</v>
      </c>
      <c r="M113" s="708">
        <f t="shared" si="28"/>
        <v>1</v>
      </c>
      <c r="N113" s="345">
        <f t="shared" si="30"/>
        <v>0</v>
      </c>
    </row>
    <row r="114" spans="1:18">
      <c r="A114" s="605">
        <f t="shared" si="26"/>
        <v>100</v>
      </c>
      <c r="B114" s="618"/>
      <c r="C114" s="98"/>
      <c r="D114" s="339"/>
      <c r="E114" s="339"/>
      <c r="F114" s="339"/>
      <c r="I114" s="339"/>
      <c r="K114" s="391"/>
      <c r="N114" s="339"/>
    </row>
    <row r="115" spans="1:18">
      <c r="A115" s="605">
        <f t="shared" si="26"/>
        <v>101</v>
      </c>
      <c r="B115" s="618"/>
      <c r="C115" s="98" t="s">
        <v>4</v>
      </c>
      <c r="D115" s="707">
        <f>SUM(D89:D114)</f>
        <v>25134821.395051301</v>
      </c>
      <c r="E115" s="707">
        <f>SUM(E89:E114)</f>
        <v>0</v>
      </c>
      <c r="F115" s="707">
        <f>SUM(F89:F114)</f>
        <v>25134821.395051301</v>
      </c>
      <c r="G115" s="195"/>
      <c r="H115" s="195"/>
      <c r="I115" s="707">
        <f>SUM(I89:I114)</f>
        <v>25134821.395051301</v>
      </c>
      <c r="K115" s="707">
        <f>SUM(K89:K114)</f>
        <v>24839314.414786536</v>
      </c>
      <c r="N115" s="707">
        <f>SUM(N89:N114)</f>
        <v>24839314.414786536</v>
      </c>
    </row>
    <row r="116" spans="1:18">
      <c r="A116" s="605">
        <f t="shared" si="26"/>
        <v>102</v>
      </c>
      <c r="B116" s="618"/>
      <c r="C116" s="98"/>
      <c r="K116" s="209"/>
    </row>
    <row r="117" spans="1:18" ht="15.75" thickBot="1">
      <c r="A117" s="605">
        <f t="shared" si="26"/>
        <v>103</v>
      </c>
      <c r="B117" s="618"/>
      <c r="C117" s="98" t="s">
        <v>1247</v>
      </c>
      <c r="D117" s="712">
        <f>D19+D26+D47+D60+D86+D115</f>
        <v>909763471.3569653</v>
      </c>
      <c r="E117" s="712">
        <f>E19+E26+E47+E60+E86+E115</f>
        <v>0</v>
      </c>
      <c r="F117" s="712">
        <f>F19+F26+F47+F60+F86+F115</f>
        <v>909763471.3569653</v>
      </c>
      <c r="I117" s="712">
        <f>I19+I26+I47+I60+I86+I115</f>
        <v>909763471.3569653</v>
      </c>
      <c r="K117" s="712">
        <f>K19+K26+K47+K60+K86+K115</f>
        <v>893143426.60604119</v>
      </c>
      <c r="N117" s="712">
        <f>N19+N26+N47+N60+N86+N115</f>
        <v>893143426.60604119</v>
      </c>
    </row>
    <row r="118" spans="1:18" ht="15.75" thickTop="1">
      <c r="A118" s="605">
        <f t="shared" si="26"/>
        <v>104</v>
      </c>
      <c r="B118" s="618"/>
      <c r="C118" s="98"/>
      <c r="K118" s="209"/>
    </row>
    <row r="119" spans="1:18">
      <c r="A119" s="605">
        <f t="shared" si="26"/>
        <v>105</v>
      </c>
      <c r="B119" s="618"/>
      <c r="C119" s="30"/>
      <c r="D119" s="706"/>
      <c r="E119" s="713"/>
      <c r="F119" s="713"/>
      <c r="G119" s="714"/>
      <c r="H119" s="714"/>
      <c r="I119" s="713"/>
      <c r="K119" s="706"/>
      <c r="L119" s="708"/>
      <c r="M119" s="708"/>
      <c r="N119" s="713"/>
      <c r="R119" s="243"/>
    </row>
    <row r="120" spans="1:18">
      <c r="A120" s="605">
        <f t="shared" si="26"/>
        <v>106</v>
      </c>
      <c r="B120" s="553"/>
      <c r="K120" s="209"/>
    </row>
    <row r="121" spans="1:18" ht="15.75">
      <c r="A121" s="605">
        <f t="shared" si="26"/>
        <v>107</v>
      </c>
      <c r="B121" s="550" t="s">
        <v>6</v>
      </c>
      <c r="K121" s="209"/>
    </row>
    <row r="122" spans="1:18">
      <c r="A122" s="605">
        <f t="shared" si="26"/>
        <v>108</v>
      </c>
      <c r="B122" s="553"/>
      <c r="K122" s="209"/>
    </row>
    <row r="123" spans="1:18">
      <c r="A123" s="605">
        <f t="shared" si="26"/>
        <v>109</v>
      </c>
      <c r="B123" s="553"/>
      <c r="C123" s="16" t="s">
        <v>288</v>
      </c>
      <c r="K123" s="209"/>
    </row>
    <row r="124" spans="1:18">
      <c r="A124" s="605">
        <f t="shared" si="26"/>
        <v>110</v>
      </c>
      <c r="B124" s="619">
        <v>30100</v>
      </c>
      <c r="C124" s="98" t="s">
        <v>282</v>
      </c>
      <c r="D124" s="706">
        <v>185309.27</v>
      </c>
      <c r="E124" s="209">
        <v>0</v>
      </c>
      <c r="F124" s="707">
        <f>D124+E124</f>
        <v>185309.27</v>
      </c>
      <c r="G124" s="708">
        <f>$G$16</f>
        <v>1</v>
      </c>
      <c r="H124" s="684">
        <f>Allocation!$H$17</f>
        <v>0.49969999999999998</v>
      </c>
      <c r="I124" s="707">
        <f>F124*G124*H124</f>
        <v>92599.042218999995</v>
      </c>
      <c r="K124" s="706">
        <v>185309.27</v>
      </c>
      <c r="L124" s="708">
        <f t="shared" ref="L124:M125" si="31">G124</f>
        <v>1</v>
      </c>
      <c r="M124" s="360">
        <f t="shared" si="31"/>
        <v>0.49969999999999998</v>
      </c>
      <c r="N124" s="345">
        <f t="shared" ref="N124:N125" si="32">K124*L124*M124</f>
        <v>92599.042218999995</v>
      </c>
      <c r="R124" s="243"/>
    </row>
    <row r="125" spans="1:18">
      <c r="A125" s="605">
        <f t="shared" si="26"/>
        <v>111</v>
      </c>
      <c r="B125" s="619">
        <v>30300</v>
      </c>
      <c r="C125" s="98" t="s">
        <v>515</v>
      </c>
      <c r="D125" s="709">
        <v>1109551.68</v>
      </c>
      <c r="E125" s="556">
        <v>0</v>
      </c>
      <c r="F125" s="710">
        <f>D125+E125</f>
        <v>1109551.68</v>
      </c>
      <c r="G125" s="708">
        <f>$G$16</f>
        <v>1</v>
      </c>
      <c r="H125" s="360">
        <f>$H$124</f>
        <v>0.49969999999999998</v>
      </c>
      <c r="I125" s="711">
        <f>F125*G125*H125</f>
        <v>554442.97449599998</v>
      </c>
      <c r="K125" s="709">
        <v>1109551.68</v>
      </c>
      <c r="L125" s="708">
        <f t="shared" si="31"/>
        <v>1</v>
      </c>
      <c r="M125" s="360">
        <f t="shared" si="31"/>
        <v>0.49969999999999998</v>
      </c>
      <c r="N125" s="345">
        <f t="shared" si="32"/>
        <v>554442.97449599998</v>
      </c>
      <c r="R125" s="243"/>
    </row>
    <row r="126" spans="1:18">
      <c r="A126" s="605">
        <f t="shared" si="26"/>
        <v>112</v>
      </c>
      <c r="B126" s="618"/>
      <c r="C126" s="98"/>
      <c r="D126" s="339"/>
      <c r="E126" s="339"/>
      <c r="F126" s="339"/>
      <c r="I126" s="339"/>
      <c r="K126" s="391"/>
      <c r="N126" s="339"/>
    </row>
    <row r="127" spans="1:18">
      <c r="A127" s="605">
        <f t="shared" si="26"/>
        <v>113</v>
      </c>
      <c r="B127" s="618"/>
      <c r="C127" s="98" t="s">
        <v>289</v>
      </c>
      <c r="D127" s="707">
        <f>SUM(D124:D126)</f>
        <v>1294860.95</v>
      </c>
      <c r="E127" s="707">
        <f>SUM(E124:E126)</f>
        <v>0</v>
      </c>
      <c r="F127" s="707">
        <f>SUM(F124:F126)</f>
        <v>1294860.95</v>
      </c>
      <c r="G127" s="195"/>
      <c r="H127" s="195"/>
      <c r="I127" s="707">
        <f>SUM(I124:I126)</f>
        <v>647042.01671499992</v>
      </c>
      <c r="K127" s="707">
        <f>SUM(K124:K126)</f>
        <v>1294860.95</v>
      </c>
      <c r="N127" s="707">
        <f>SUM(N124:N126)</f>
        <v>647042.01671499992</v>
      </c>
    </row>
    <row r="128" spans="1:18">
      <c r="A128" s="605">
        <f t="shared" si="26"/>
        <v>114</v>
      </c>
      <c r="B128" s="618"/>
      <c r="K128" s="209"/>
    </row>
    <row r="129" spans="1:14">
      <c r="A129" s="605">
        <f t="shared" si="26"/>
        <v>115</v>
      </c>
      <c r="B129" s="618"/>
      <c r="C129" s="16" t="s">
        <v>290</v>
      </c>
      <c r="K129" s="209"/>
    </row>
    <row r="130" spans="1:14">
      <c r="A130" s="605">
        <f t="shared" si="26"/>
        <v>116</v>
      </c>
      <c r="B130" s="619">
        <v>37400</v>
      </c>
      <c r="C130" s="98" t="s">
        <v>1105</v>
      </c>
      <c r="D130" s="209">
        <v>0</v>
      </c>
      <c r="E130" s="209">
        <v>0</v>
      </c>
      <c r="F130" s="707">
        <f>D130+E130</f>
        <v>0</v>
      </c>
      <c r="G130" s="708">
        <f>$G$16</f>
        <v>1</v>
      </c>
      <c r="H130" s="360">
        <f>$H$124</f>
        <v>0.49969999999999998</v>
      </c>
      <c r="I130" s="707">
        <f>F130*G130*H130</f>
        <v>0</v>
      </c>
      <c r="K130" s="209">
        <v>0</v>
      </c>
      <c r="L130" s="708">
        <f>G130</f>
        <v>1</v>
      </c>
      <c r="M130" s="360">
        <f>H130</f>
        <v>0.49969999999999998</v>
      </c>
      <c r="N130" s="707">
        <f>K130*L130*M130</f>
        <v>0</v>
      </c>
    </row>
    <row r="131" spans="1:14">
      <c r="A131" s="605">
        <f t="shared" si="26"/>
        <v>117</v>
      </c>
      <c r="B131" s="619">
        <v>35010</v>
      </c>
      <c r="C131" s="98" t="s">
        <v>283</v>
      </c>
      <c r="D131" s="338">
        <v>0</v>
      </c>
      <c r="E131" s="338">
        <v>0</v>
      </c>
      <c r="F131" s="345">
        <f>D131+E131</f>
        <v>0</v>
      </c>
      <c r="G131" s="708">
        <f>$G$16</f>
        <v>1</v>
      </c>
      <c r="H131" s="360">
        <f>$H$124</f>
        <v>0.49969999999999998</v>
      </c>
      <c r="I131" s="345">
        <f>F131*G131*H131</f>
        <v>0</v>
      </c>
      <c r="K131" s="338">
        <v>0</v>
      </c>
      <c r="L131" s="708">
        <f t="shared" ref="L131:L150" si="33">G131</f>
        <v>1</v>
      </c>
      <c r="M131" s="360">
        <f t="shared" ref="M131:M150" si="34">H131</f>
        <v>0.49969999999999998</v>
      </c>
      <c r="N131" s="345">
        <f t="shared" ref="N131:N150" si="35">K131*L131*M131</f>
        <v>0</v>
      </c>
    </row>
    <row r="132" spans="1:14">
      <c r="A132" s="605">
        <f t="shared" si="26"/>
        <v>118</v>
      </c>
      <c r="B132" s="619">
        <v>37402</v>
      </c>
      <c r="C132" s="98" t="s">
        <v>963</v>
      </c>
      <c r="D132" s="338">
        <v>0</v>
      </c>
      <c r="E132" s="338">
        <v>0</v>
      </c>
      <c r="F132" s="345">
        <f t="shared" ref="F132:F150" si="36">D132+E132</f>
        <v>0</v>
      </c>
      <c r="G132" s="708">
        <f t="shared" ref="G132:G150" si="37">$G$16</f>
        <v>1</v>
      </c>
      <c r="H132" s="360">
        <f t="shared" ref="H132:H150" si="38">$H$124</f>
        <v>0.49969999999999998</v>
      </c>
      <c r="I132" s="345">
        <f t="shared" ref="I132:I150" si="39">F132*G132*H132</f>
        <v>0</v>
      </c>
      <c r="K132" s="338">
        <v>0</v>
      </c>
      <c r="L132" s="708">
        <f t="shared" si="33"/>
        <v>1</v>
      </c>
      <c r="M132" s="360">
        <f t="shared" si="34"/>
        <v>0.49969999999999998</v>
      </c>
      <c r="N132" s="345">
        <f t="shared" si="35"/>
        <v>0</v>
      </c>
    </row>
    <row r="133" spans="1:14">
      <c r="A133" s="605">
        <f t="shared" si="26"/>
        <v>119</v>
      </c>
      <c r="B133" s="619">
        <v>37403</v>
      </c>
      <c r="C133" s="98" t="s">
        <v>960</v>
      </c>
      <c r="D133" s="338">
        <v>0</v>
      </c>
      <c r="E133" s="338">
        <v>0</v>
      </c>
      <c r="F133" s="345">
        <f t="shared" si="36"/>
        <v>0</v>
      </c>
      <c r="G133" s="708">
        <f t="shared" si="37"/>
        <v>1</v>
      </c>
      <c r="H133" s="360">
        <f t="shared" si="38"/>
        <v>0.49969999999999998</v>
      </c>
      <c r="I133" s="345">
        <f t="shared" si="39"/>
        <v>0</v>
      </c>
      <c r="K133" s="338">
        <v>0</v>
      </c>
      <c r="L133" s="708">
        <f t="shared" si="33"/>
        <v>1</v>
      </c>
      <c r="M133" s="360">
        <f t="shared" si="34"/>
        <v>0.49969999999999998</v>
      </c>
      <c r="N133" s="345">
        <f t="shared" si="35"/>
        <v>0</v>
      </c>
    </row>
    <row r="134" spans="1:14">
      <c r="A134" s="605">
        <f t="shared" si="26"/>
        <v>120</v>
      </c>
      <c r="B134" s="619">
        <v>36602</v>
      </c>
      <c r="C134" s="98" t="s">
        <v>825</v>
      </c>
      <c r="D134" s="338">
        <v>0</v>
      </c>
      <c r="E134" s="338">
        <v>0</v>
      </c>
      <c r="F134" s="345">
        <f t="shared" si="36"/>
        <v>0</v>
      </c>
      <c r="G134" s="708">
        <f t="shared" si="37"/>
        <v>1</v>
      </c>
      <c r="H134" s="360">
        <f t="shared" si="38"/>
        <v>0.49969999999999998</v>
      </c>
      <c r="I134" s="345">
        <f t="shared" si="39"/>
        <v>0</v>
      </c>
      <c r="K134" s="338">
        <v>0</v>
      </c>
      <c r="L134" s="708">
        <f t="shared" si="33"/>
        <v>1</v>
      </c>
      <c r="M134" s="360">
        <f t="shared" si="34"/>
        <v>0.49969999999999998</v>
      </c>
      <c r="N134" s="345">
        <f t="shared" si="35"/>
        <v>0</v>
      </c>
    </row>
    <row r="135" spans="1:14">
      <c r="A135" s="605">
        <f t="shared" si="26"/>
        <v>121</v>
      </c>
      <c r="B135" s="619">
        <v>37402</v>
      </c>
      <c r="C135" s="98" t="s">
        <v>963</v>
      </c>
      <c r="D135" s="338">
        <v>0</v>
      </c>
      <c r="E135" s="338">
        <v>0</v>
      </c>
      <c r="F135" s="345">
        <f>D135+E135</f>
        <v>0</v>
      </c>
      <c r="G135" s="708">
        <f t="shared" si="37"/>
        <v>1</v>
      </c>
      <c r="H135" s="360">
        <f t="shared" si="38"/>
        <v>0.49969999999999998</v>
      </c>
      <c r="I135" s="345">
        <f>F135*G135*H135</f>
        <v>0</v>
      </c>
      <c r="K135" s="338">
        <v>0</v>
      </c>
      <c r="L135" s="708">
        <f>G135</f>
        <v>1</v>
      </c>
      <c r="M135" s="360">
        <f>H135</f>
        <v>0.49969999999999998</v>
      </c>
      <c r="N135" s="345">
        <f>K135*L135*M135</f>
        <v>0</v>
      </c>
    </row>
    <row r="136" spans="1:14">
      <c r="A136" s="605">
        <f t="shared" si="26"/>
        <v>122</v>
      </c>
      <c r="B136" s="619">
        <v>37501</v>
      </c>
      <c r="C136" s="98" t="s">
        <v>961</v>
      </c>
      <c r="D136" s="338">
        <v>0</v>
      </c>
      <c r="E136" s="338">
        <v>0</v>
      </c>
      <c r="F136" s="345">
        <f t="shared" si="36"/>
        <v>0</v>
      </c>
      <c r="G136" s="708">
        <f t="shared" si="37"/>
        <v>1</v>
      </c>
      <c r="H136" s="360">
        <f t="shared" si="38"/>
        <v>0.49969999999999998</v>
      </c>
      <c r="I136" s="345">
        <f t="shared" si="39"/>
        <v>0</v>
      </c>
      <c r="K136" s="338">
        <v>0</v>
      </c>
      <c r="L136" s="708">
        <f t="shared" si="33"/>
        <v>1</v>
      </c>
      <c r="M136" s="360">
        <f t="shared" si="34"/>
        <v>0.49969999999999998</v>
      </c>
      <c r="N136" s="345">
        <f t="shared" si="35"/>
        <v>0</v>
      </c>
    </row>
    <row r="137" spans="1:14">
      <c r="A137" s="605">
        <f t="shared" si="26"/>
        <v>123</v>
      </c>
      <c r="B137" s="619">
        <v>37503</v>
      </c>
      <c r="C137" s="98" t="s">
        <v>962</v>
      </c>
      <c r="D137" s="338">
        <v>0</v>
      </c>
      <c r="E137" s="338">
        <v>0</v>
      </c>
      <c r="F137" s="345">
        <f t="shared" si="36"/>
        <v>0</v>
      </c>
      <c r="G137" s="708">
        <f t="shared" si="37"/>
        <v>1</v>
      </c>
      <c r="H137" s="360">
        <f t="shared" si="38"/>
        <v>0.49969999999999998</v>
      </c>
      <c r="I137" s="345">
        <f t="shared" si="39"/>
        <v>0</v>
      </c>
      <c r="K137" s="338">
        <v>0</v>
      </c>
      <c r="L137" s="708">
        <f t="shared" si="33"/>
        <v>1</v>
      </c>
      <c r="M137" s="360">
        <f t="shared" si="34"/>
        <v>0.49969999999999998</v>
      </c>
      <c r="N137" s="345">
        <f t="shared" si="35"/>
        <v>0</v>
      </c>
    </row>
    <row r="138" spans="1:14">
      <c r="A138" s="605">
        <f t="shared" si="26"/>
        <v>124</v>
      </c>
      <c r="B138" s="619">
        <v>36700</v>
      </c>
      <c r="C138" s="98" t="s">
        <v>813</v>
      </c>
      <c r="D138" s="338">
        <v>0</v>
      </c>
      <c r="E138" s="338">
        <v>0</v>
      </c>
      <c r="F138" s="345">
        <f t="shared" si="36"/>
        <v>0</v>
      </c>
      <c r="G138" s="708">
        <f t="shared" si="37"/>
        <v>1</v>
      </c>
      <c r="H138" s="360">
        <f t="shared" si="38"/>
        <v>0.49969999999999998</v>
      </c>
      <c r="I138" s="345">
        <f t="shared" si="39"/>
        <v>0</v>
      </c>
      <c r="K138" s="338">
        <v>0</v>
      </c>
      <c r="L138" s="708">
        <f t="shared" si="33"/>
        <v>1</v>
      </c>
      <c r="M138" s="360">
        <f t="shared" si="34"/>
        <v>0.49969999999999998</v>
      </c>
      <c r="N138" s="345">
        <f t="shared" si="35"/>
        <v>0</v>
      </c>
    </row>
    <row r="139" spans="1:14">
      <c r="A139" s="605">
        <f t="shared" si="26"/>
        <v>125</v>
      </c>
      <c r="B139" s="619">
        <v>36701</v>
      </c>
      <c r="C139" s="98" t="s">
        <v>15</v>
      </c>
      <c r="D139" s="338">
        <v>0</v>
      </c>
      <c r="E139" s="338">
        <v>0</v>
      </c>
      <c r="F139" s="345">
        <f t="shared" si="36"/>
        <v>0</v>
      </c>
      <c r="G139" s="708">
        <f t="shared" si="37"/>
        <v>1</v>
      </c>
      <c r="H139" s="360">
        <f t="shared" si="38"/>
        <v>0.49969999999999998</v>
      </c>
      <c r="I139" s="345">
        <f t="shared" si="39"/>
        <v>0</v>
      </c>
      <c r="K139" s="338">
        <v>0</v>
      </c>
      <c r="L139" s="708">
        <f t="shared" si="33"/>
        <v>1</v>
      </c>
      <c r="M139" s="360">
        <f t="shared" si="34"/>
        <v>0.49969999999999998</v>
      </c>
      <c r="N139" s="345">
        <f t="shared" si="35"/>
        <v>0</v>
      </c>
    </row>
    <row r="140" spans="1:14">
      <c r="A140" s="605">
        <f t="shared" si="26"/>
        <v>126</v>
      </c>
      <c r="B140" s="619">
        <v>37602</v>
      </c>
      <c r="C140" s="98" t="s">
        <v>814</v>
      </c>
      <c r="D140" s="338">
        <v>0</v>
      </c>
      <c r="E140" s="338">
        <v>0</v>
      </c>
      <c r="F140" s="345">
        <f t="shared" si="36"/>
        <v>0</v>
      </c>
      <c r="G140" s="708">
        <f t="shared" si="37"/>
        <v>1</v>
      </c>
      <c r="H140" s="360">
        <f t="shared" si="38"/>
        <v>0.49969999999999998</v>
      </c>
      <c r="I140" s="345">
        <f t="shared" si="39"/>
        <v>0</v>
      </c>
      <c r="K140" s="338">
        <v>0</v>
      </c>
      <c r="L140" s="708">
        <f t="shared" si="33"/>
        <v>1</v>
      </c>
      <c r="M140" s="360">
        <f t="shared" si="34"/>
        <v>0.49969999999999998</v>
      </c>
      <c r="N140" s="345">
        <f t="shared" si="35"/>
        <v>0</v>
      </c>
    </row>
    <row r="141" spans="1:14">
      <c r="A141" s="605">
        <f t="shared" si="26"/>
        <v>127</v>
      </c>
      <c r="B141" s="619">
        <v>37800</v>
      </c>
      <c r="C141" s="98" t="s">
        <v>221</v>
      </c>
      <c r="D141" s="338">
        <v>0</v>
      </c>
      <c r="E141" s="338">
        <v>0</v>
      </c>
      <c r="F141" s="345">
        <f t="shared" si="36"/>
        <v>0</v>
      </c>
      <c r="G141" s="708">
        <f t="shared" si="37"/>
        <v>1</v>
      </c>
      <c r="H141" s="360">
        <f t="shared" si="38"/>
        <v>0.49969999999999998</v>
      </c>
      <c r="I141" s="345">
        <f t="shared" si="39"/>
        <v>0</v>
      </c>
      <c r="K141" s="338">
        <v>0</v>
      </c>
      <c r="L141" s="708">
        <f t="shared" si="33"/>
        <v>1</v>
      </c>
      <c r="M141" s="360">
        <f t="shared" si="34"/>
        <v>0.49969999999999998</v>
      </c>
      <c r="N141" s="345">
        <f t="shared" si="35"/>
        <v>0</v>
      </c>
    </row>
    <row r="142" spans="1:14">
      <c r="A142" s="605">
        <f t="shared" si="26"/>
        <v>128</v>
      </c>
      <c r="B142" s="619">
        <v>37900</v>
      </c>
      <c r="C142" s="98" t="s">
        <v>1148</v>
      </c>
      <c r="D142" s="338">
        <v>0</v>
      </c>
      <c r="E142" s="338">
        <v>0</v>
      </c>
      <c r="F142" s="345">
        <f t="shared" si="36"/>
        <v>0</v>
      </c>
      <c r="G142" s="708">
        <f t="shared" si="37"/>
        <v>1</v>
      </c>
      <c r="H142" s="360">
        <f t="shared" si="38"/>
        <v>0.49969999999999998</v>
      </c>
      <c r="I142" s="345">
        <f t="shared" si="39"/>
        <v>0</v>
      </c>
      <c r="K142" s="338">
        <v>0</v>
      </c>
      <c r="L142" s="708">
        <f t="shared" si="33"/>
        <v>1</v>
      </c>
      <c r="M142" s="360">
        <f t="shared" si="34"/>
        <v>0.49969999999999998</v>
      </c>
      <c r="N142" s="345">
        <f t="shared" si="35"/>
        <v>0</v>
      </c>
    </row>
    <row r="143" spans="1:14">
      <c r="A143" s="605">
        <f t="shared" si="26"/>
        <v>129</v>
      </c>
      <c r="B143" s="619">
        <v>37905</v>
      </c>
      <c r="C143" s="98" t="s">
        <v>698</v>
      </c>
      <c r="D143" s="338">
        <v>0</v>
      </c>
      <c r="E143" s="338">
        <v>0</v>
      </c>
      <c r="F143" s="345">
        <f t="shared" si="36"/>
        <v>0</v>
      </c>
      <c r="G143" s="708">
        <f t="shared" si="37"/>
        <v>1</v>
      </c>
      <c r="H143" s="360">
        <f t="shared" si="38"/>
        <v>0.49969999999999998</v>
      </c>
      <c r="I143" s="345">
        <f t="shared" si="39"/>
        <v>0</v>
      </c>
      <c r="K143" s="338">
        <v>0</v>
      </c>
      <c r="L143" s="708">
        <f t="shared" si="33"/>
        <v>1</v>
      </c>
      <c r="M143" s="360">
        <f t="shared" si="34"/>
        <v>0.49969999999999998</v>
      </c>
      <c r="N143" s="345">
        <f t="shared" si="35"/>
        <v>0</v>
      </c>
    </row>
    <row r="144" spans="1:14">
      <c r="A144" s="605">
        <f t="shared" si="26"/>
        <v>130</v>
      </c>
      <c r="B144" s="619">
        <v>38000</v>
      </c>
      <c r="C144" s="98" t="s">
        <v>1013</v>
      </c>
      <c r="D144" s="338">
        <v>0</v>
      </c>
      <c r="E144" s="338">
        <v>0</v>
      </c>
      <c r="F144" s="345">
        <f t="shared" si="36"/>
        <v>0</v>
      </c>
      <c r="G144" s="708">
        <f t="shared" si="37"/>
        <v>1</v>
      </c>
      <c r="H144" s="360">
        <f t="shared" si="38"/>
        <v>0.49969999999999998</v>
      </c>
      <c r="I144" s="345">
        <f t="shared" si="39"/>
        <v>0</v>
      </c>
      <c r="K144" s="338">
        <v>0</v>
      </c>
      <c r="L144" s="708">
        <f t="shared" si="33"/>
        <v>1</v>
      </c>
      <c r="M144" s="360">
        <f t="shared" si="34"/>
        <v>0.49969999999999998</v>
      </c>
      <c r="N144" s="345">
        <f t="shared" si="35"/>
        <v>0</v>
      </c>
    </row>
    <row r="145" spans="1:18">
      <c r="A145" s="605">
        <f t="shared" si="26"/>
        <v>131</v>
      </c>
      <c r="B145" s="619">
        <v>38100</v>
      </c>
      <c r="C145" s="98" t="s">
        <v>815</v>
      </c>
      <c r="D145" s="338">
        <v>0</v>
      </c>
      <c r="E145" s="338">
        <v>0</v>
      </c>
      <c r="F145" s="345">
        <f t="shared" si="36"/>
        <v>0</v>
      </c>
      <c r="G145" s="708">
        <f t="shared" si="37"/>
        <v>1</v>
      </c>
      <c r="H145" s="360">
        <f t="shared" si="38"/>
        <v>0.49969999999999998</v>
      </c>
      <c r="I145" s="345">
        <f t="shared" si="39"/>
        <v>0</v>
      </c>
      <c r="K145" s="338">
        <v>0</v>
      </c>
      <c r="L145" s="708">
        <f t="shared" si="33"/>
        <v>1</v>
      </c>
      <c r="M145" s="360">
        <f t="shared" si="34"/>
        <v>0.49969999999999998</v>
      </c>
      <c r="N145" s="345">
        <f t="shared" si="35"/>
        <v>0</v>
      </c>
    </row>
    <row r="146" spans="1:18">
      <c r="A146" s="605">
        <f t="shared" si="26"/>
        <v>132</v>
      </c>
      <c r="B146" s="619">
        <v>38200</v>
      </c>
      <c r="C146" s="98" t="s">
        <v>420</v>
      </c>
      <c r="D146" s="338">
        <v>0</v>
      </c>
      <c r="E146" s="338">
        <v>0</v>
      </c>
      <c r="F146" s="345">
        <f t="shared" si="36"/>
        <v>0</v>
      </c>
      <c r="G146" s="708">
        <f t="shared" si="37"/>
        <v>1</v>
      </c>
      <c r="H146" s="360">
        <f t="shared" si="38"/>
        <v>0.49969999999999998</v>
      </c>
      <c r="I146" s="345">
        <f t="shared" si="39"/>
        <v>0</v>
      </c>
      <c r="K146" s="338">
        <v>0</v>
      </c>
      <c r="L146" s="708">
        <f t="shared" si="33"/>
        <v>1</v>
      </c>
      <c r="M146" s="360">
        <f t="shared" si="34"/>
        <v>0.49969999999999998</v>
      </c>
      <c r="N146" s="345">
        <f t="shared" si="35"/>
        <v>0</v>
      </c>
    </row>
    <row r="147" spans="1:18">
      <c r="A147" s="605">
        <f t="shared" si="26"/>
        <v>133</v>
      </c>
      <c r="B147" s="619">
        <v>38300</v>
      </c>
      <c r="C147" s="98" t="s">
        <v>1014</v>
      </c>
      <c r="D147" s="338">
        <v>0</v>
      </c>
      <c r="E147" s="338">
        <v>0</v>
      </c>
      <c r="F147" s="345">
        <f t="shared" si="36"/>
        <v>0</v>
      </c>
      <c r="G147" s="708">
        <f t="shared" si="37"/>
        <v>1</v>
      </c>
      <c r="H147" s="360">
        <f t="shared" si="38"/>
        <v>0.49969999999999998</v>
      </c>
      <c r="I147" s="345">
        <f t="shared" si="39"/>
        <v>0</v>
      </c>
      <c r="K147" s="338">
        <v>0</v>
      </c>
      <c r="L147" s="708">
        <f t="shared" si="33"/>
        <v>1</v>
      </c>
      <c r="M147" s="360">
        <f t="shared" si="34"/>
        <v>0.49969999999999998</v>
      </c>
      <c r="N147" s="345">
        <f t="shared" si="35"/>
        <v>0</v>
      </c>
    </row>
    <row r="148" spans="1:18">
      <c r="A148" s="605">
        <f t="shared" ref="A148:A211" si="40">A147+1</f>
        <v>134</v>
      </c>
      <c r="B148" s="619">
        <v>38400</v>
      </c>
      <c r="C148" s="98" t="s">
        <v>421</v>
      </c>
      <c r="D148" s="338">
        <v>0</v>
      </c>
      <c r="E148" s="338">
        <v>0</v>
      </c>
      <c r="F148" s="345">
        <f t="shared" si="36"/>
        <v>0</v>
      </c>
      <c r="G148" s="708">
        <f t="shared" si="37"/>
        <v>1</v>
      </c>
      <c r="H148" s="360">
        <f t="shared" si="38"/>
        <v>0.49969999999999998</v>
      </c>
      <c r="I148" s="345">
        <f t="shared" si="39"/>
        <v>0</v>
      </c>
      <c r="K148" s="338">
        <v>0</v>
      </c>
      <c r="L148" s="708">
        <f t="shared" si="33"/>
        <v>1</v>
      </c>
      <c r="M148" s="360">
        <f t="shared" si="34"/>
        <v>0.49969999999999998</v>
      </c>
      <c r="N148" s="345">
        <f t="shared" si="35"/>
        <v>0</v>
      </c>
    </row>
    <row r="149" spans="1:18">
      <c r="A149" s="605">
        <f t="shared" si="40"/>
        <v>135</v>
      </c>
      <c r="B149" s="619">
        <v>38500</v>
      </c>
      <c r="C149" s="98" t="s">
        <v>422</v>
      </c>
      <c r="D149" s="338">
        <v>0</v>
      </c>
      <c r="E149" s="338">
        <v>0</v>
      </c>
      <c r="F149" s="345">
        <f t="shared" si="36"/>
        <v>0</v>
      </c>
      <c r="G149" s="708">
        <f t="shared" si="37"/>
        <v>1</v>
      </c>
      <c r="H149" s="360">
        <f t="shared" si="38"/>
        <v>0.49969999999999998</v>
      </c>
      <c r="I149" s="345">
        <f t="shared" si="39"/>
        <v>0</v>
      </c>
      <c r="K149" s="338">
        <v>0</v>
      </c>
      <c r="L149" s="708">
        <f t="shared" si="33"/>
        <v>1</v>
      </c>
      <c r="M149" s="360">
        <f t="shared" si="34"/>
        <v>0.49969999999999998</v>
      </c>
      <c r="N149" s="345">
        <f t="shared" si="35"/>
        <v>0</v>
      </c>
    </row>
    <row r="150" spans="1:18">
      <c r="A150" s="605">
        <f t="shared" si="40"/>
        <v>136</v>
      </c>
      <c r="B150" s="619">
        <v>38600</v>
      </c>
      <c r="C150" s="98" t="s">
        <v>101</v>
      </c>
      <c r="D150" s="551">
        <v>0</v>
      </c>
      <c r="E150" s="551">
        <v>0</v>
      </c>
      <c r="F150" s="711">
        <f t="shared" si="36"/>
        <v>0</v>
      </c>
      <c r="G150" s="708">
        <f t="shared" si="37"/>
        <v>1</v>
      </c>
      <c r="H150" s="360">
        <f t="shared" si="38"/>
        <v>0.49969999999999998</v>
      </c>
      <c r="I150" s="711">
        <f t="shared" si="39"/>
        <v>0</v>
      </c>
      <c r="K150" s="551">
        <v>0</v>
      </c>
      <c r="L150" s="708">
        <f t="shared" si="33"/>
        <v>1</v>
      </c>
      <c r="M150" s="360">
        <f t="shared" si="34"/>
        <v>0.49969999999999998</v>
      </c>
      <c r="N150" s="711">
        <f t="shared" si="35"/>
        <v>0</v>
      </c>
    </row>
    <row r="151" spans="1:18">
      <c r="A151" s="605">
        <f t="shared" si="40"/>
        <v>137</v>
      </c>
      <c r="B151" s="618"/>
      <c r="C151" s="98"/>
      <c r="M151" s="187"/>
    </row>
    <row r="152" spans="1:18">
      <c r="A152" s="605">
        <f t="shared" si="40"/>
        <v>138</v>
      </c>
      <c r="B152" s="618"/>
      <c r="C152" s="98" t="s">
        <v>291</v>
      </c>
      <c r="D152" s="707">
        <f>SUM(D130:D151)</f>
        <v>0</v>
      </c>
      <c r="E152" s="707">
        <f>SUM(E130:E151)</f>
        <v>0</v>
      </c>
      <c r="F152" s="707">
        <f>SUM(F130:F151)</f>
        <v>0</v>
      </c>
      <c r="I152" s="707">
        <f>SUM(I130:I151)</f>
        <v>0</v>
      </c>
      <c r="K152" s="707">
        <f>SUM(K130:K151)</f>
        <v>0</v>
      </c>
      <c r="M152" s="187"/>
      <c r="N152" s="707">
        <f>SUM(N130:N151)</f>
        <v>0</v>
      </c>
    </row>
    <row r="153" spans="1:18">
      <c r="A153" s="605">
        <f t="shared" si="40"/>
        <v>139</v>
      </c>
      <c r="B153" s="618"/>
      <c r="C153" s="98"/>
      <c r="M153" s="187"/>
    </row>
    <row r="154" spans="1:18">
      <c r="A154" s="605">
        <f t="shared" si="40"/>
        <v>140</v>
      </c>
      <c r="B154" s="618"/>
      <c r="C154" s="16" t="s">
        <v>292</v>
      </c>
      <c r="M154" s="187"/>
    </row>
    <row r="155" spans="1:18">
      <c r="A155" s="605">
        <f t="shared" si="40"/>
        <v>141</v>
      </c>
      <c r="B155" s="619">
        <v>39001</v>
      </c>
      <c r="C155" s="98" t="s">
        <v>513</v>
      </c>
      <c r="D155" s="706">
        <v>179338.52</v>
      </c>
      <c r="E155" s="338">
        <v>0</v>
      </c>
      <c r="F155" s="345">
        <f>D155+E155</f>
        <v>179338.52</v>
      </c>
      <c r="G155" s="708">
        <f>$G$16</f>
        <v>1</v>
      </c>
      <c r="H155" s="360">
        <f>$H$124</f>
        <v>0.49969999999999998</v>
      </c>
      <c r="I155" s="345">
        <f>F155*G155*H155</f>
        <v>89615.458443999989</v>
      </c>
      <c r="K155" s="706">
        <v>179338.52</v>
      </c>
      <c r="L155" s="708">
        <f t="shared" ref="L155:L175" si="41">G155</f>
        <v>1</v>
      </c>
      <c r="M155" s="360">
        <f t="shared" ref="M155:M175" si="42">H155</f>
        <v>0.49969999999999998</v>
      </c>
      <c r="N155" s="345">
        <f t="shared" ref="N155:N175" si="43">K155*L155*M155</f>
        <v>89615.458443999989</v>
      </c>
      <c r="R155" s="243"/>
    </row>
    <row r="156" spans="1:18">
      <c r="A156" s="605">
        <f t="shared" si="40"/>
        <v>142</v>
      </c>
      <c r="B156" s="619">
        <v>39004</v>
      </c>
      <c r="C156" s="98" t="s">
        <v>423</v>
      </c>
      <c r="D156" s="709">
        <v>15383.91</v>
      </c>
      <c r="E156" s="338">
        <v>0</v>
      </c>
      <c r="F156" s="345">
        <f t="shared" ref="F156:F175" si="44">D156+E156</f>
        <v>15383.91</v>
      </c>
      <c r="G156" s="708">
        <f t="shared" ref="G156:G175" si="45">$G$16</f>
        <v>1</v>
      </c>
      <c r="H156" s="360">
        <f t="shared" ref="H156:H175" si="46">$H$124</f>
        <v>0.49969999999999998</v>
      </c>
      <c r="I156" s="345">
        <f t="shared" ref="I156:I158" si="47">F156*G156*H156</f>
        <v>7687.3398269999998</v>
      </c>
      <c r="K156" s="709">
        <v>15383.910000000002</v>
      </c>
      <c r="L156" s="708">
        <f t="shared" si="41"/>
        <v>1</v>
      </c>
      <c r="M156" s="360">
        <f t="shared" si="42"/>
        <v>0.49969999999999998</v>
      </c>
      <c r="N156" s="345">
        <f t="shared" si="43"/>
        <v>7687.3398270000007</v>
      </c>
      <c r="R156" s="243"/>
    </row>
    <row r="157" spans="1:18">
      <c r="A157" s="605">
        <f t="shared" si="40"/>
        <v>143</v>
      </c>
      <c r="B157" s="619">
        <v>39009</v>
      </c>
      <c r="C157" s="98" t="s">
        <v>997</v>
      </c>
      <c r="D157" s="709">
        <v>38834</v>
      </c>
      <c r="E157" s="338">
        <v>0</v>
      </c>
      <c r="F157" s="345">
        <f t="shared" si="44"/>
        <v>38834</v>
      </c>
      <c r="G157" s="708">
        <f t="shared" si="45"/>
        <v>1</v>
      </c>
      <c r="H157" s="360">
        <f t="shared" si="46"/>
        <v>0.49969999999999998</v>
      </c>
      <c r="I157" s="345">
        <f t="shared" si="47"/>
        <v>19405.3498</v>
      </c>
      <c r="K157" s="709">
        <v>38834</v>
      </c>
      <c r="L157" s="708">
        <f t="shared" si="41"/>
        <v>1</v>
      </c>
      <c r="M157" s="360">
        <f t="shared" si="42"/>
        <v>0.49969999999999998</v>
      </c>
      <c r="N157" s="345">
        <f t="shared" si="43"/>
        <v>19405.3498</v>
      </c>
      <c r="R157" s="243"/>
    </row>
    <row r="158" spans="1:18">
      <c r="A158" s="605">
        <f t="shared" si="40"/>
        <v>144</v>
      </c>
      <c r="B158" s="619">
        <v>39100</v>
      </c>
      <c r="C158" s="98" t="s">
        <v>749</v>
      </c>
      <c r="D158" s="709">
        <v>26927.93</v>
      </c>
      <c r="E158" s="338">
        <v>0</v>
      </c>
      <c r="F158" s="345">
        <f t="shared" si="44"/>
        <v>26927.93</v>
      </c>
      <c r="G158" s="708">
        <f t="shared" si="45"/>
        <v>1</v>
      </c>
      <c r="H158" s="360">
        <f t="shared" si="46"/>
        <v>0.49969999999999998</v>
      </c>
      <c r="I158" s="345">
        <f t="shared" si="47"/>
        <v>13455.886621</v>
      </c>
      <c r="K158" s="709">
        <v>26927.929999999997</v>
      </c>
      <c r="L158" s="708">
        <f t="shared" si="41"/>
        <v>1</v>
      </c>
      <c r="M158" s="360">
        <f t="shared" si="42"/>
        <v>0.49969999999999998</v>
      </c>
      <c r="N158" s="345">
        <f t="shared" si="43"/>
        <v>13455.886620999998</v>
      </c>
      <c r="R158" s="243"/>
    </row>
    <row r="159" spans="1:18">
      <c r="A159" s="605">
        <f t="shared" si="40"/>
        <v>145</v>
      </c>
      <c r="B159" s="619">
        <v>39101</v>
      </c>
      <c r="C159" s="98" t="s">
        <v>1408</v>
      </c>
      <c r="D159" s="709">
        <v>0</v>
      </c>
      <c r="E159" s="338">
        <v>0</v>
      </c>
      <c r="F159" s="345">
        <f t="shared" si="44"/>
        <v>0</v>
      </c>
      <c r="G159" s="708">
        <f t="shared" si="45"/>
        <v>1</v>
      </c>
      <c r="H159" s="360">
        <f t="shared" si="46"/>
        <v>0.49969999999999998</v>
      </c>
      <c r="I159" s="345">
        <f t="shared" ref="I159:I175" si="48">F159*G159*H159</f>
        <v>0</v>
      </c>
      <c r="K159" s="709">
        <v>0</v>
      </c>
      <c r="L159" s="708">
        <f t="shared" ref="L159:L171" si="49">G159</f>
        <v>1</v>
      </c>
      <c r="M159" s="360">
        <f t="shared" ref="M159:M171" si="50">H159</f>
        <v>0.49969999999999998</v>
      </c>
      <c r="N159" s="345">
        <f t="shared" ref="N159:N171" si="51">K159*L159*M159</f>
        <v>0</v>
      </c>
      <c r="R159" s="243"/>
    </row>
    <row r="160" spans="1:18">
      <c r="A160" s="605">
        <f t="shared" si="40"/>
        <v>146</v>
      </c>
      <c r="B160" s="619">
        <v>39103</v>
      </c>
      <c r="C160" s="98" t="s">
        <v>750</v>
      </c>
      <c r="D160" s="709">
        <v>0</v>
      </c>
      <c r="E160" s="338">
        <v>0</v>
      </c>
      <c r="F160" s="345">
        <f t="shared" si="44"/>
        <v>0</v>
      </c>
      <c r="G160" s="708">
        <f t="shared" si="45"/>
        <v>1</v>
      </c>
      <c r="H160" s="360">
        <f t="shared" si="46"/>
        <v>0.49969999999999998</v>
      </c>
      <c r="I160" s="345">
        <f t="shared" si="48"/>
        <v>0</v>
      </c>
      <c r="K160" s="709">
        <v>0</v>
      </c>
      <c r="L160" s="708">
        <f t="shared" si="49"/>
        <v>1</v>
      </c>
      <c r="M160" s="360">
        <f t="shared" si="50"/>
        <v>0.49969999999999998</v>
      </c>
      <c r="N160" s="345">
        <f t="shared" si="51"/>
        <v>0</v>
      </c>
      <c r="R160" s="243"/>
    </row>
    <row r="161" spans="1:18">
      <c r="A161" s="605">
        <f t="shared" si="40"/>
        <v>147</v>
      </c>
      <c r="B161" s="619">
        <v>39200</v>
      </c>
      <c r="C161" s="98" t="s">
        <v>1037</v>
      </c>
      <c r="D161" s="709">
        <v>4109.6900000000023</v>
      </c>
      <c r="E161" s="338">
        <v>0</v>
      </c>
      <c r="F161" s="345">
        <f t="shared" si="44"/>
        <v>4109.6900000000023</v>
      </c>
      <c r="G161" s="708">
        <f t="shared" si="45"/>
        <v>1</v>
      </c>
      <c r="H161" s="360">
        <f t="shared" si="46"/>
        <v>0.49969999999999998</v>
      </c>
      <c r="I161" s="345">
        <f t="shared" si="48"/>
        <v>2053.6120930000011</v>
      </c>
      <c r="K161" s="709">
        <v>9457.7669230769261</v>
      </c>
      <c r="L161" s="708">
        <f t="shared" si="49"/>
        <v>1</v>
      </c>
      <c r="M161" s="360">
        <f t="shared" si="50"/>
        <v>0.49969999999999998</v>
      </c>
      <c r="N161" s="345">
        <f t="shared" si="51"/>
        <v>4726.0461314615395</v>
      </c>
      <c r="R161" s="243"/>
    </row>
    <row r="162" spans="1:18">
      <c r="A162" s="605">
        <f t="shared" si="40"/>
        <v>148</v>
      </c>
      <c r="B162" s="619">
        <v>39300</v>
      </c>
      <c r="C162" s="98" t="s">
        <v>622</v>
      </c>
      <c r="D162" s="709">
        <v>0</v>
      </c>
      <c r="E162" s="338">
        <v>0</v>
      </c>
      <c r="F162" s="345">
        <f t="shared" si="44"/>
        <v>0</v>
      </c>
      <c r="G162" s="708">
        <f t="shared" si="45"/>
        <v>1</v>
      </c>
      <c r="H162" s="360">
        <f t="shared" si="46"/>
        <v>0.49969999999999998</v>
      </c>
      <c r="I162" s="345">
        <f t="shared" si="48"/>
        <v>0</v>
      </c>
      <c r="K162" s="709">
        <v>0</v>
      </c>
      <c r="L162" s="708">
        <f t="shared" si="49"/>
        <v>1</v>
      </c>
      <c r="M162" s="360">
        <f t="shared" si="50"/>
        <v>0.49969999999999998</v>
      </c>
      <c r="N162" s="345">
        <f t="shared" si="51"/>
        <v>0</v>
      </c>
      <c r="R162" s="243"/>
    </row>
    <row r="163" spans="1:18">
      <c r="A163" s="605">
        <f t="shared" si="40"/>
        <v>149</v>
      </c>
      <c r="B163" s="619">
        <v>39400</v>
      </c>
      <c r="C163" s="98" t="s">
        <v>996</v>
      </c>
      <c r="D163" s="709">
        <v>110227.42</v>
      </c>
      <c r="E163" s="338">
        <v>0</v>
      </c>
      <c r="F163" s="345">
        <f t="shared" si="44"/>
        <v>110227.42</v>
      </c>
      <c r="G163" s="708">
        <f t="shared" si="45"/>
        <v>1</v>
      </c>
      <c r="H163" s="360">
        <f t="shared" si="46"/>
        <v>0.49969999999999998</v>
      </c>
      <c r="I163" s="345">
        <f t="shared" si="48"/>
        <v>55080.641773999996</v>
      </c>
      <c r="K163" s="709">
        <v>110227.42</v>
      </c>
      <c r="L163" s="708">
        <f t="shared" si="49"/>
        <v>1</v>
      </c>
      <c r="M163" s="360">
        <f t="shared" si="50"/>
        <v>0.49969999999999998</v>
      </c>
      <c r="N163" s="345">
        <f t="shared" si="51"/>
        <v>55080.641773999996</v>
      </c>
      <c r="R163" s="243"/>
    </row>
    <row r="164" spans="1:18">
      <c r="A164" s="605">
        <f t="shared" si="40"/>
        <v>150</v>
      </c>
      <c r="B164" s="619">
        <v>39600</v>
      </c>
      <c r="C164" s="98" t="s">
        <v>514</v>
      </c>
      <c r="D164" s="709">
        <v>9478.52</v>
      </c>
      <c r="E164" s="338">
        <v>0</v>
      </c>
      <c r="F164" s="345">
        <f t="shared" si="44"/>
        <v>9478.52</v>
      </c>
      <c r="G164" s="708">
        <f t="shared" si="45"/>
        <v>1</v>
      </c>
      <c r="H164" s="360">
        <f t="shared" si="46"/>
        <v>0.49969999999999998</v>
      </c>
      <c r="I164" s="345">
        <f t="shared" si="48"/>
        <v>4736.4164440000004</v>
      </c>
      <c r="K164" s="709">
        <v>9478.5200000000023</v>
      </c>
      <c r="L164" s="708">
        <f t="shared" si="49"/>
        <v>1</v>
      </c>
      <c r="M164" s="360">
        <f t="shared" si="50"/>
        <v>0.49969999999999998</v>
      </c>
      <c r="N164" s="345">
        <f t="shared" si="51"/>
        <v>4736.4164440000013</v>
      </c>
      <c r="R164" s="243"/>
    </row>
    <row r="165" spans="1:18">
      <c r="A165" s="605">
        <f t="shared" si="40"/>
        <v>151</v>
      </c>
      <c r="B165" s="619">
        <v>39700</v>
      </c>
      <c r="C165" s="98" t="s">
        <v>418</v>
      </c>
      <c r="D165" s="709">
        <v>0</v>
      </c>
      <c r="E165" s="338">
        <v>0</v>
      </c>
      <c r="F165" s="345">
        <f t="shared" si="44"/>
        <v>0</v>
      </c>
      <c r="G165" s="708">
        <f t="shared" si="45"/>
        <v>1</v>
      </c>
      <c r="H165" s="360">
        <f t="shared" si="46"/>
        <v>0.49969999999999998</v>
      </c>
      <c r="I165" s="345">
        <f t="shared" si="48"/>
        <v>0</v>
      </c>
      <c r="K165" s="709">
        <v>0</v>
      </c>
      <c r="L165" s="708">
        <f t="shared" si="49"/>
        <v>1</v>
      </c>
      <c r="M165" s="360">
        <f t="shared" si="50"/>
        <v>0.49969999999999998</v>
      </c>
      <c r="N165" s="345">
        <f t="shared" si="51"/>
        <v>0</v>
      </c>
      <c r="R165" s="243"/>
    </row>
    <row r="166" spans="1:18">
      <c r="A166" s="605">
        <f t="shared" si="40"/>
        <v>152</v>
      </c>
      <c r="B166" s="619">
        <v>39701</v>
      </c>
      <c r="C166" s="98" t="s">
        <v>1405</v>
      </c>
      <c r="D166" s="709">
        <v>0</v>
      </c>
      <c r="E166" s="338">
        <v>0</v>
      </c>
      <c r="F166" s="345">
        <f t="shared" si="44"/>
        <v>0</v>
      </c>
      <c r="G166" s="708">
        <f t="shared" si="45"/>
        <v>1</v>
      </c>
      <c r="H166" s="360">
        <f t="shared" si="46"/>
        <v>0.49969999999999998</v>
      </c>
      <c r="I166" s="345">
        <f t="shared" si="48"/>
        <v>0</v>
      </c>
      <c r="K166" s="709">
        <v>0</v>
      </c>
      <c r="L166" s="708">
        <f t="shared" si="49"/>
        <v>1</v>
      </c>
      <c r="M166" s="360">
        <f t="shared" si="50"/>
        <v>0.49969999999999998</v>
      </c>
      <c r="N166" s="345">
        <f t="shared" si="51"/>
        <v>0</v>
      </c>
      <c r="R166" s="243"/>
    </row>
    <row r="167" spans="1:18">
      <c r="A167" s="605">
        <f t="shared" si="40"/>
        <v>153</v>
      </c>
      <c r="B167" s="619">
        <v>39702</v>
      </c>
      <c r="C167" s="98" t="s">
        <v>1405</v>
      </c>
      <c r="D167" s="709">
        <v>0</v>
      </c>
      <c r="E167" s="338">
        <v>0</v>
      </c>
      <c r="F167" s="345">
        <f t="shared" si="44"/>
        <v>0</v>
      </c>
      <c r="G167" s="708">
        <f t="shared" si="45"/>
        <v>1</v>
      </c>
      <c r="H167" s="360">
        <f t="shared" si="46"/>
        <v>0.49969999999999998</v>
      </c>
      <c r="I167" s="345">
        <f t="shared" si="48"/>
        <v>0</v>
      </c>
      <c r="K167" s="709">
        <v>0</v>
      </c>
      <c r="L167" s="708">
        <f t="shared" si="49"/>
        <v>1</v>
      </c>
      <c r="M167" s="360">
        <f t="shared" si="50"/>
        <v>0.49969999999999998</v>
      </c>
      <c r="N167" s="345">
        <f t="shared" si="51"/>
        <v>0</v>
      </c>
      <c r="R167" s="243"/>
    </row>
    <row r="168" spans="1:18">
      <c r="A168" s="605">
        <f t="shared" si="40"/>
        <v>154</v>
      </c>
      <c r="B168" s="619">
        <v>39800</v>
      </c>
      <c r="C168" s="98" t="s">
        <v>623</v>
      </c>
      <c r="D168" s="709">
        <v>0</v>
      </c>
      <c r="E168" s="338">
        <v>0</v>
      </c>
      <c r="F168" s="345">
        <f t="shared" si="44"/>
        <v>0</v>
      </c>
      <c r="G168" s="708">
        <f t="shared" si="45"/>
        <v>1</v>
      </c>
      <c r="H168" s="360">
        <f t="shared" si="46"/>
        <v>0.49969999999999998</v>
      </c>
      <c r="I168" s="345">
        <f t="shared" si="48"/>
        <v>0</v>
      </c>
      <c r="K168" s="709">
        <v>0</v>
      </c>
      <c r="L168" s="708">
        <f t="shared" si="49"/>
        <v>1</v>
      </c>
      <c r="M168" s="360">
        <f t="shared" si="50"/>
        <v>0.49969999999999998</v>
      </c>
      <c r="N168" s="345">
        <f t="shared" si="51"/>
        <v>0</v>
      </c>
      <c r="R168" s="243"/>
    </row>
    <row r="169" spans="1:18">
      <c r="A169" s="605">
        <f t="shared" si="40"/>
        <v>155</v>
      </c>
      <c r="B169" s="619">
        <v>39900</v>
      </c>
      <c r="C169" s="98" t="s">
        <v>1110</v>
      </c>
      <c r="D169" s="709">
        <v>0</v>
      </c>
      <c r="E169" s="338">
        <v>0</v>
      </c>
      <c r="F169" s="345">
        <f t="shared" si="44"/>
        <v>0</v>
      </c>
      <c r="G169" s="708">
        <f t="shared" si="45"/>
        <v>1</v>
      </c>
      <c r="H169" s="360">
        <f t="shared" si="46"/>
        <v>0.49969999999999998</v>
      </c>
      <c r="I169" s="345">
        <f t="shared" si="48"/>
        <v>0</v>
      </c>
      <c r="K169" s="709">
        <v>0</v>
      </c>
      <c r="L169" s="708">
        <f t="shared" si="49"/>
        <v>1</v>
      </c>
      <c r="M169" s="360">
        <f t="shared" si="50"/>
        <v>0.49969999999999998</v>
      </c>
      <c r="N169" s="345">
        <f t="shared" si="51"/>
        <v>0</v>
      </c>
      <c r="R169" s="243"/>
    </row>
    <row r="170" spans="1:18">
      <c r="A170" s="605">
        <f t="shared" si="40"/>
        <v>156</v>
      </c>
      <c r="B170" s="619">
        <v>39901</v>
      </c>
      <c r="C170" s="98" t="s">
        <v>452</v>
      </c>
      <c r="D170" s="709">
        <v>0</v>
      </c>
      <c r="E170" s="338">
        <v>0</v>
      </c>
      <c r="F170" s="345">
        <f t="shared" si="44"/>
        <v>0</v>
      </c>
      <c r="G170" s="708">
        <f t="shared" si="45"/>
        <v>1</v>
      </c>
      <c r="H170" s="360">
        <f t="shared" si="46"/>
        <v>0.49969999999999998</v>
      </c>
      <c r="I170" s="345">
        <f t="shared" si="48"/>
        <v>0</v>
      </c>
      <c r="K170" s="709">
        <v>0</v>
      </c>
      <c r="L170" s="708">
        <f t="shared" si="49"/>
        <v>1</v>
      </c>
      <c r="M170" s="360">
        <f t="shared" si="50"/>
        <v>0.49969999999999998</v>
      </c>
      <c r="N170" s="345">
        <f t="shared" si="51"/>
        <v>0</v>
      </c>
      <c r="R170" s="243"/>
    </row>
    <row r="171" spans="1:18">
      <c r="A171" s="605">
        <f t="shared" si="40"/>
        <v>157</v>
      </c>
      <c r="B171" s="619">
        <v>39902</v>
      </c>
      <c r="C171" s="98" t="s">
        <v>924</v>
      </c>
      <c r="D171" s="709">
        <v>0</v>
      </c>
      <c r="E171" s="338">
        <v>0</v>
      </c>
      <c r="F171" s="345">
        <f t="shared" si="44"/>
        <v>0</v>
      </c>
      <c r="G171" s="708">
        <f t="shared" si="45"/>
        <v>1</v>
      </c>
      <c r="H171" s="360">
        <f t="shared" si="46"/>
        <v>0.49969999999999998</v>
      </c>
      <c r="I171" s="345">
        <f t="shared" si="48"/>
        <v>0</v>
      </c>
      <c r="K171" s="709">
        <v>0</v>
      </c>
      <c r="L171" s="708">
        <f t="shared" si="49"/>
        <v>1</v>
      </c>
      <c r="M171" s="360">
        <f t="shared" si="50"/>
        <v>0.49969999999999998</v>
      </c>
      <c r="N171" s="345">
        <f t="shared" si="51"/>
        <v>0</v>
      </c>
      <c r="R171" s="243"/>
    </row>
    <row r="172" spans="1:18">
      <c r="A172" s="605">
        <f t="shared" si="40"/>
        <v>158</v>
      </c>
      <c r="B172" s="619">
        <v>39903</v>
      </c>
      <c r="C172" s="98" t="s">
        <v>967</v>
      </c>
      <c r="D172" s="709">
        <v>28266.440000000002</v>
      </c>
      <c r="E172" s="338">
        <v>0</v>
      </c>
      <c r="F172" s="345">
        <f t="shared" si="44"/>
        <v>28266.440000000002</v>
      </c>
      <c r="G172" s="708">
        <f t="shared" si="45"/>
        <v>1</v>
      </c>
      <c r="H172" s="360">
        <f t="shared" si="46"/>
        <v>0.49969999999999998</v>
      </c>
      <c r="I172" s="345">
        <f t="shared" si="48"/>
        <v>14124.740068000001</v>
      </c>
      <c r="K172" s="709">
        <v>28266.440000000002</v>
      </c>
      <c r="L172" s="708">
        <f t="shared" si="41"/>
        <v>1</v>
      </c>
      <c r="M172" s="360">
        <f t="shared" si="42"/>
        <v>0.49969999999999998</v>
      </c>
      <c r="N172" s="345">
        <f t="shared" si="43"/>
        <v>14124.740068000001</v>
      </c>
      <c r="R172" s="243"/>
    </row>
    <row r="173" spans="1:18">
      <c r="A173" s="605">
        <f t="shared" si="40"/>
        <v>159</v>
      </c>
      <c r="B173" s="619">
        <v>39906</v>
      </c>
      <c r="C173" s="98" t="s">
        <v>429</v>
      </c>
      <c r="D173" s="709">
        <v>0</v>
      </c>
      <c r="E173" s="338">
        <v>0</v>
      </c>
      <c r="F173" s="345">
        <f t="shared" si="44"/>
        <v>0</v>
      </c>
      <c r="G173" s="708">
        <f t="shared" si="45"/>
        <v>1</v>
      </c>
      <c r="H173" s="360">
        <f t="shared" si="46"/>
        <v>0.49969999999999998</v>
      </c>
      <c r="I173" s="345">
        <f t="shared" si="48"/>
        <v>0</v>
      </c>
      <c r="K173" s="709">
        <v>0</v>
      </c>
      <c r="L173" s="708">
        <f t="shared" si="41"/>
        <v>1</v>
      </c>
      <c r="M173" s="360">
        <f t="shared" si="42"/>
        <v>0.49969999999999998</v>
      </c>
      <c r="N173" s="345">
        <f t="shared" si="43"/>
        <v>0</v>
      </c>
      <c r="R173" s="243"/>
    </row>
    <row r="174" spans="1:18">
      <c r="A174" s="605">
        <f t="shared" si="40"/>
        <v>160</v>
      </c>
      <c r="B174" s="619">
        <v>39907</v>
      </c>
      <c r="C174" s="98" t="s">
        <v>479</v>
      </c>
      <c r="D174" s="709">
        <v>43521.91</v>
      </c>
      <c r="E174" s="338">
        <v>0</v>
      </c>
      <c r="F174" s="345">
        <f t="shared" si="44"/>
        <v>43521.91</v>
      </c>
      <c r="G174" s="708">
        <f t="shared" si="45"/>
        <v>1</v>
      </c>
      <c r="H174" s="360">
        <f t="shared" si="46"/>
        <v>0.49969999999999998</v>
      </c>
      <c r="I174" s="345">
        <f t="shared" si="48"/>
        <v>21747.898427</v>
      </c>
      <c r="K174" s="709">
        <v>43521.910000000018</v>
      </c>
      <c r="L174" s="708">
        <f t="shared" si="41"/>
        <v>1</v>
      </c>
      <c r="M174" s="360">
        <f t="shared" si="42"/>
        <v>0.49969999999999998</v>
      </c>
      <c r="N174" s="345">
        <f t="shared" si="43"/>
        <v>21747.898427000007</v>
      </c>
      <c r="R174" s="243"/>
    </row>
    <row r="175" spans="1:18">
      <c r="A175" s="605">
        <f t="shared" si="40"/>
        <v>161</v>
      </c>
      <c r="B175" s="619">
        <v>39908</v>
      </c>
      <c r="C175" s="98" t="s">
        <v>173</v>
      </c>
      <c r="D175" s="709">
        <v>0</v>
      </c>
      <c r="E175" s="551">
        <v>0</v>
      </c>
      <c r="F175" s="711">
        <f t="shared" si="44"/>
        <v>0</v>
      </c>
      <c r="G175" s="708">
        <f t="shared" si="45"/>
        <v>1</v>
      </c>
      <c r="H175" s="360">
        <f t="shared" si="46"/>
        <v>0.49969999999999998</v>
      </c>
      <c r="I175" s="345">
        <f t="shared" si="48"/>
        <v>0</v>
      </c>
      <c r="K175" s="709">
        <v>0</v>
      </c>
      <c r="L175" s="708">
        <f t="shared" si="41"/>
        <v>1</v>
      </c>
      <c r="M175" s="360">
        <f t="shared" si="42"/>
        <v>0.49969999999999998</v>
      </c>
      <c r="N175" s="711">
        <f t="shared" si="43"/>
        <v>0</v>
      </c>
      <c r="R175" s="243"/>
    </row>
    <row r="176" spans="1:18">
      <c r="A176" s="605">
        <f t="shared" si="40"/>
        <v>162</v>
      </c>
      <c r="B176" s="553"/>
      <c r="C176" s="98"/>
      <c r="D176" s="339"/>
      <c r="E176" s="339"/>
      <c r="F176" s="339"/>
      <c r="I176" s="339"/>
      <c r="K176" s="339"/>
      <c r="N176" s="339"/>
    </row>
    <row r="177" spans="1:18">
      <c r="A177" s="605">
        <f t="shared" si="40"/>
        <v>163</v>
      </c>
      <c r="B177" s="553"/>
      <c r="C177" s="98" t="s">
        <v>4</v>
      </c>
      <c r="D177" s="707">
        <f>SUM(D155:D176)</f>
        <v>456088.33999999997</v>
      </c>
      <c r="E177" s="707">
        <f>SUM(E155:E176)</f>
        <v>0</v>
      </c>
      <c r="F177" s="707">
        <f>SUM(F155:F176)</f>
        <v>456088.33999999997</v>
      </c>
      <c r="I177" s="713">
        <f>SUM(I155:I176)</f>
        <v>227907.343498</v>
      </c>
      <c r="K177" s="713">
        <f>SUM(K155:K176)</f>
        <v>461436.41692307696</v>
      </c>
      <c r="N177" s="713">
        <f>SUM(N155:N176)</f>
        <v>230579.77753646154</v>
      </c>
    </row>
    <row r="178" spans="1:18">
      <c r="A178" s="605">
        <f t="shared" si="40"/>
        <v>164</v>
      </c>
      <c r="B178" s="553"/>
      <c r="C178" s="98"/>
    </row>
    <row r="179" spans="1:18" ht="15.75" thickBot="1">
      <c r="A179" s="605">
        <f t="shared" si="40"/>
        <v>165</v>
      </c>
      <c r="B179" s="553"/>
      <c r="C179" s="98" t="s">
        <v>1246</v>
      </c>
      <c r="D179" s="712">
        <f>D127+D152+D177</f>
        <v>1750949.29</v>
      </c>
      <c r="E179" s="712">
        <f>E127+E152+E177</f>
        <v>0</v>
      </c>
      <c r="F179" s="712">
        <f>F127+F152+F177</f>
        <v>1750949.29</v>
      </c>
      <c r="I179" s="712">
        <f>I127+I152+I177</f>
        <v>874949.36021299986</v>
      </c>
      <c r="K179" s="712">
        <f>K127+K152+K177</f>
        <v>1756297.366923077</v>
      </c>
      <c r="N179" s="712">
        <f>N127+N152+N177</f>
        <v>877621.79425146151</v>
      </c>
    </row>
    <row r="180" spans="1:18" ht="15.75" thickTop="1">
      <c r="A180" s="605">
        <f t="shared" si="40"/>
        <v>166</v>
      </c>
      <c r="B180" s="553"/>
      <c r="C180" s="98"/>
      <c r="D180" s="186"/>
      <c r="E180" s="186"/>
      <c r="F180" s="186"/>
      <c r="I180" s="186"/>
    </row>
    <row r="181" spans="1:18">
      <c r="A181" s="605">
        <f t="shared" si="40"/>
        <v>167</v>
      </c>
      <c r="B181" s="553"/>
      <c r="C181" s="30"/>
      <c r="D181" s="706"/>
      <c r="E181" s="713"/>
      <c r="F181" s="713"/>
      <c r="G181" s="708"/>
      <c r="H181" s="360"/>
      <c r="I181" s="713"/>
      <c r="K181" s="706"/>
      <c r="L181" s="708"/>
      <c r="M181" s="360"/>
      <c r="N181" s="713"/>
    </row>
    <row r="182" spans="1:18">
      <c r="A182" s="605">
        <f t="shared" si="40"/>
        <v>168</v>
      </c>
      <c r="B182" s="553"/>
    </row>
    <row r="183" spans="1:18" ht="15.75">
      <c r="A183" s="605">
        <f t="shared" si="40"/>
        <v>169</v>
      </c>
      <c r="B183" s="550" t="s">
        <v>7</v>
      </c>
    </row>
    <row r="184" spans="1:18">
      <c r="A184" s="605">
        <f t="shared" si="40"/>
        <v>170</v>
      </c>
      <c r="B184" s="553"/>
      <c r="H184" s="187"/>
    </row>
    <row r="185" spans="1:18">
      <c r="A185" s="605">
        <f t="shared" si="40"/>
        <v>171</v>
      </c>
      <c r="B185" s="553"/>
      <c r="C185" s="16" t="s">
        <v>292</v>
      </c>
    </row>
    <row r="186" spans="1:18" ht="14.25" customHeight="1">
      <c r="A186" s="605">
        <f t="shared" si="40"/>
        <v>172</v>
      </c>
      <c r="B186" s="619">
        <v>39000</v>
      </c>
      <c r="C186" s="98" t="s">
        <v>825</v>
      </c>
      <c r="D186" s="706">
        <v>5843859.6245595831</v>
      </c>
      <c r="E186" s="209">
        <v>0</v>
      </c>
      <c r="F186" s="707">
        <f>D186+E186</f>
        <v>5843859.6245595831</v>
      </c>
      <c r="G186" s="684">
        <f>Allocation!$G$14</f>
        <v>9.1300000000000006E-2</v>
      </c>
      <c r="H186" s="684">
        <f>Allocation!$H$14</f>
        <v>0.49969999999999998</v>
      </c>
      <c r="I186" s="707">
        <f>F186*G186*H186</f>
        <v>266612.12854602828</v>
      </c>
      <c r="K186" s="706">
        <v>5916038.6315099914</v>
      </c>
      <c r="L186" s="360">
        <f>G186</f>
        <v>9.1300000000000006E-2</v>
      </c>
      <c r="M186" s="360">
        <f>H186</f>
        <v>0.49969999999999998</v>
      </c>
      <c r="N186" s="707">
        <f>K186*L186*M186</f>
        <v>269905.12323031406</v>
      </c>
      <c r="R186" s="243"/>
    </row>
    <row r="187" spans="1:18">
      <c r="A187" s="605">
        <f t="shared" si="40"/>
        <v>173</v>
      </c>
      <c r="B187" s="619">
        <v>39005</v>
      </c>
      <c r="C187" s="98" t="s">
        <v>1153</v>
      </c>
      <c r="D187" s="709">
        <v>14884953.1</v>
      </c>
      <c r="E187" s="340">
        <v>0</v>
      </c>
      <c r="F187" s="345">
        <f>D187+E187</f>
        <v>14884953.1</v>
      </c>
      <c r="G187" s="267">
        <v>1</v>
      </c>
      <c r="H187" s="684">
        <f>Allocation!$I$20</f>
        <v>1.503839E-2</v>
      </c>
      <c r="I187" s="345">
        <f>F187*G187*H187</f>
        <v>223845.72984950899</v>
      </c>
      <c r="K187" s="709">
        <v>14884953.099999996</v>
      </c>
      <c r="L187" s="360">
        <f>G187</f>
        <v>1</v>
      </c>
      <c r="M187" s="360">
        <f t="shared" ref="M187:M221" si="52">H187</f>
        <v>1.503839E-2</v>
      </c>
      <c r="N187" s="345">
        <f t="shared" ref="N187:N223" si="53">K187*L187*M187</f>
        <v>223845.72984950893</v>
      </c>
      <c r="R187" s="243"/>
    </row>
    <row r="188" spans="1:18">
      <c r="A188" s="605">
        <f t="shared" si="40"/>
        <v>174</v>
      </c>
      <c r="B188" s="619">
        <v>39009</v>
      </c>
      <c r="C188" s="98" t="s">
        <v>997</v>
      </c>
      <c r="D188" s="709">
        <v>11855420.370075544</v>
      </c>
      <c r="E188" s="340">
        <v>0</v>
      </c>
      <c r="F188" s="345">
        <f t="shared" ref="F188:F223" si="54">D188+E188</f>
        <v>11855420.370075544</v>
      </c>
      <c r="G188" s="360">
        <f>G186</f>
        <v>9.1300000000000006E-2</v>
      </c>
      <c r="H188" s="360">
        <f>H186</f>
        <v>0.49969999999999998</v>
      </c>
      <c r="I188" s="345">
        <f t="shared" ref="I188:I223" si="55">F188*G188*H188</f>
        <v>540875.21993001224</v>
      </c>
      <c r="K188" s="709">
        <v>10800026.115891069</v>
      </c>
      <c r="L188" s="360">
        <f t="shared" ref="L188:L218" si="56">G188</f>
        <v>9.1300000000000006E-2</v>
      </c>
      <c r="M188" s="360">
        <f t="shared" si="52"/>
        <v>0.49969999999999998</v>
      </c>
      <c r="N188" s="345">
        <f t="shared" si="53"/>
        <v>492725.37947511306</v>
      </c>
      <c r="R188" s="243"/>
    </row>
    <row r="189" spans="1:18">
      <c r="A189" s="605">
        <f t="shared" si="40"/>
        <v>175</v>
      </c>
      <c r="B189" s="619">
        <v>39020</v>
      </c>
      <c r="C189" s="98" t="s">
        <v>1409</v>
      </c>
      <c r="D189" s="709">
        <v>24632.98</v>
      </c>
      <c r="E189" s="340">
        <v>0</v>
      </c>
      <c r="F189" s="345">
        <f t="shared" si="54"/>
        <v>24632.98</v>
      </c>
      <c r="G189" s="360">
        <f>$G$187</f>
        <v>1</v>
      </c>
      <c r="H189" s="684">
        <f>Allocation!E22</f>
        <v>5.5924710000000002E-2</v>
      </c>
      <c r="I189" s="345">
        <f t="shared" si="55"/>
        <v>1377.5922629358001</v>
      </c>
      <c r="K189" s="709">
        <v>24632.98</v>
      </c>
      <c r="L189" s="360">
        <f t="shared" ref="L189:L190" si="57">G189</f>
        <v>1</v>
      </c>
      <c r="M189" s="360">
        <f t="shared" si="52"/>
        <v>5.5924710000000002E-2</v>
      </c>
      <c r="N189" s="345">
        <f t="shared" si="53"/>
        <v>1377.5922629358001</v>
      </c>
      <c r="R189" s="243"/>
    </row>
    <row r="190" spans="1:18">
      <c r="A190" s="605">
        <f t="shared" si="40"/>
        <v>176</v>
      </c>
      <c r="B190" s="619">
        <v>39029</v>
      </c>
      <c r="C190" s="98" t="s">
        <v>1410</v>
      </c>
      <c r="D190" s="709">
        <v>54743.020000000004</v>
      </c>
      <c r="E190" s="340">
        <v>0</v>
      </c>
      <c r="F190" s="345">
        <f t="shared" si="54"/>
        <v>54743.020000000004</v>
      </c>
      <c r="G190" s="360">
        <f>$G$187</f>
        <v>1</v>
      </c>
      <c r="H190" s="360">
        <f>H189</f>
        <v>5.5924710000000002E-2</v>
      </c>
      <c r="I190" s="345">
        <f t="shared" si="55"/>
        <v>3061.4875180242002</v>
      </c>
      <c r="K190" s="709">
        <v>54743.020000000011</v>
      </c>
      <c r="L190" s="360">
        <f t="shared" si="57"/>
        <v>1</v>
      </c>
      <c r="M190" s="360">
        <f t="shared" si="52"/>
        <v>5.5924710000000002E-2</v>
      </c>
      <c r="N190" s="345">
        <f t="shared" si="53"/>
        <v>3061.4875180242007</v>
      </c>
      <c r="R190" s="243"/>
    </row>
    <row r="191" spans="1:18">
      <c r="A191" s="605">
        <f t="shared" si="40"/>
        <v>177</v>
      </c>
      <c r="B191" s="619">
        <v>39100</v>
      </c>
      <c r="C191" s="98" t="s">
        <v>749</v>
      </c>
      <c r="D191" s="709">
        <v>7012419.1772303702</v>
      </c>
      <c r="E191" s="340">
        <v>0</v>
      </c>
      <c r="F191" s="345">
        <f t="shared" si="54"/>
        <v>7012419.1772303702</v>
      </c>
      <c r="G191" s="360">
        <f>G188</f>
        <v>9.1300000000000006E-2</v>
      </c>
      <c r="H191" s="360">
        <f>H188</f>
        <v>0.49969999999999998</v>
      </c>
      <c r="I191" s="345">
        <f t="shared" si="55"/>
        <v>319924.86527930212</v>
      </c>
      <c r="K191" s="709">
        <v>6503800.0889786091</v>
      </c>
      <c r="L191" s="360">
        <f t="shared" si="56"/>
        <v>9.1300000000000006E-2</v>
      </c>
      <c r="M191" s="360">
        <f t="shared" si="52"/>
        <v>0.49969999999999998</v>
      </c>
      <c r="N191" s="345">
        <f t="shared" si="53"/>
        <v>296720.33497743635</v>
      </c>
      <c r="R191" s="243"/>
    </row>
    <row r="192" spans="1:18">
      <c r="A192" s="605">
        <f t="shared" si="40"/>
        <v>178</v>
      </c>
      <c r="B192" s="619">
        <v>39102</v>
      </c>
      <c r="C192" s="98" t="s">
        <v>500</v>
      </c>
      <c r="D192" s="709">
        <v>0</v>
      </c>
      <c r="E192" s="340">
        <v>0</v>
      </c>
      <c r="F192" s="345">
        <f t="shared" si="54"/>
        <v>0</v>
      </c>
      <c r="G192" s="360">
        <f t="shared" ref="G192:G208" si="58">G191</f>
        <v>9.1300000000000006E-2</v>
      </c>
      <c r="H192" s="360">
        <f t="shared" ref="H192:H193" si="59">H191</f>
        <v>0.49969999999999998</v>
      </c>
      <c r="I192" s="345">
        <f t="shared" si="55"/>
        <v>0</v>
      </c>
      <c r="K192" s="709">
        <v>0</v>
      </c>
      <c r="L192" s="360">
        <f t="shared" si="56"/>
        <v>9.1300000000000006E-2</v>
      </c>
      <c r="M192" s="360">
        <f t="shared" si="52"/>
        <v>0.49969999999999998</v>
      </c>
      <c r="N192" s="345">
        <f t="shared" si="53"/>
        <v>0</v>
      </c>
      <c r="R192" s="243"/>
    </row>
    <row r="193" spans="1:18">
      <c r="A193" s="605">
        <f t="shared" si="40"/>
        <v>179</v>
      </c>
      <c r="B193" s="619">
        <v>39103</v>
      </c>
      <c r="C193" s="98" t="s">
        <v>750</v>
      </c>
      <c r="D193" s="709">
        <v>0</v>
      </c>
      <c r="E193" s="340">
        <v>0</v>
      </c>
      <c r="F193" s="345">
        <f t="shared" si="54"/>
        <v>0</v>
      </c>
      <c r="G193" s="360">
        <f t="shared" si="58"/>
        <v>9.1300000000000006E-2</v>
      </c>
      <c r="H193" s="360">
        <f t="shared" si="59"/>
        <v>0.49969999999999998</v>
      </c>
      <c r="I193" s="345">
        <f t="shared" si="55"/>
        <v>0</v>
      </c>
      <c r="K193" s="709">
        <v>0</v>
      </c>
      <c r="L193" s="360">
        <f t="shared" si="56"/>
        <v>9.1300000000000006E-2</v>
      </c>
      <c r="M193" s="360">
        <f t="shared" si="52"/>
        <v>0.49969999999999998</v>
      </c>
      <c r="N193" s="345">
        <f t="shared" si="53"/>
        <v>0</v>
      </c>
      <c r="R193" s="243"/>
    </row>
    <row r="194" spans="1:18">
      <c r="A194" s="605">
        <f t="shared" si="40"/>
        <v>180</v>
      </c>
      <c r="B194" s="619">
        <v>39104</v>
      </c>
      <c r="C194" s="98" t="s">
        <v>1154</v>
      </c>
      <c r="D194" s="709">
        <v>71036.47</v>
      </c>
      <c r="E194" s="340">
        <v>0</v>
      </c>
      <c r="F194" s="345">
        <f t="shared" si="54"/>
        <v>71036.47</v>
      </c>
      <c r="G194" s="267">
        <v>1</v>
      </c>
      <c r="H194" s="360">
        <f>$H$187</f>
        <v>1.503839E-2</v>
      </c>
      <c r="I194" s="345">
        <f t="shared" si="55"/>
        <v>1068.2741400833002</v>
      </c>
      <c r="K194" s="709">
        <v>71036.469999999987</v>
      </c>
      <c r="L194" s="360">
        <f t="shared" ref="L194" si="60">G194</f>
        <v>1</v>
      </c>
      <c r="M194" s="360">
        <f t="shared" si="52"/>
        <v>1.503839E-2</v>
      </c>
      <c r="N194" s="345">
        <f t="shared" si="53"/>
        <v>1068.2741400832999</v>
      </c>
      <c r="R194" s="243"/>
    </row>
    <row r="195" spans="1:18">
      <c r="A195" s="605">
        <f t="shared" si="40"/>
        <v>181</v>
      </c>
      <c r="B195" s="619">
        <v>39120</v>
      </c>
      <c r="C195" s="98" t="s">
        <v>1411</v>
      </c>
      <c r="D195" s="709">
        <v>307893.22000000003</v>
      </c>
      <c r="E195" s="340">
        <v>0</v>
      </c>
      <c r="F195" s="345">
        <f t="shared" si="54"/>
        <v>307893.22000000003</v>
      </c>
      <c r="G195" s="267">
        <v>1</v>
      </c>
      <c r="H195" s="684">
        <f>Allocation!E22</f>
        <v>5.5924710000000002E-2</v>
      </c>
      <c r="I195" s="345">
        <f t="shared" si="55"/>
        <v>17218.839039466202</v>
      </c>
      <c r="K195" s="709">
        <v>307893.22000000009</v>
      </c>
      <c r="L195" s="187">
        <v>1</v>
      </c>
      <c r="M195" s="360">
        <f t="shared" si="52"/>
        <v>5.5924710000000002E-2</v>
      </c>
      <c r="N195" s="345">
        <f t="shared" si="53"/>
        <v>17218.839039466206</v>
      </c>
      <c r="R195" s="243"/>
    </row>
    <row r="196" spans="1:18">
      <c r="A196" s="605">
        <f t="shared" si="40"/>
        <v>182</v>
      </c>
      <c r="B196" s="619">
        <v>39200</v>
      </c>
      <c r="C196" s="98" t="s">
        <v>1037</v>
      </c>
      <c r="D196" s="709">
        <v>315397.35000000003</v>
      </c>
      <c r="E196" s="340">
        <v>0</v>
      </c>
      <c r="F196" s="345">
        <f t="shared" si="54"/>
        <v>315397.35000000003</v>
      </c>
      <c r="G196" s="360">
        <f>G193</f>
        <v>9.1300000000000006E-2</v>
      </c>
      <c r="H196" s="360">
        <f>H193</f>
        <v>0.49969999999999998</v>
      </c>
      <c r="I196" s="345">
        <f t="shared" si="55"/>
        <v>14389.250294083502</v>
      </c>
      <c r="K196" s="709">
        <v>315397.35000000003</v>
      </c>
      <c r="L196" s="360">
        <f t="shared" si="56"/>
        <v>9.1300000000000006E-2</v>
      </c>
      <c r="M196" s="360">
        <f t="shared" si="52"/>
        <v>0.49969999999999998</v>
      </c>
      <c r="N196" s="345">
        <f t="shared" si="53"/>
        <v>14389.250294083502</v>
      </c>
      <c r="R196" s="243"/>
    </row>
    <row r="197" spans="1:18">
      <c r="A197" s="605">
        <f t="shared" si="40"/>
        <v>183</v>
      </c>
      <c r="B197" s="619">
        <v>39300</v>
      </c>
      <c r="C197" s="98" t="s">
        <v>622</v>
      </c>
      <c r="D197" s="709">
        <v>0</v>
      </c>
      <c r="E197" s="340">
        <v>0</v>
      </c>
      <c r="F197" s="345">
        <f t="shared" si="54"/>
        <v>0</v>
      </c>
      <c r="G197" s="360">
        <f t="shared" si="58"/>
        <v>9.1300000000000006E-2</v>
      </c>
      <c r="H197" s="360">
        <f t="shared" ref="H197:H213" si="61">H196</f>
        <v>0.49969999999999998</v>
      </c>
      <c r="I197" s="345">
        <f t="shared" si="55"/>
        <v>0</v>
      </c>
      <c r="K197" s="709">
        <v>0</v>
      </c>
      <c r="L197" s="360">
        <f t="shared" si="56"/>
        <v>9.1300000000000006E-2</v>
      </c>
      <c r="M197" s="360">
        <f t="shared" si="52"/>
        <v>0.49969999999999998</v>
      </c>
      <c r="N197" s="345">
        <f t="shared" si="53"/>
        <v>0</v>
      </c>
      <c r="R197" s="243"/>
    </row>
    <row r="198" spans="1:18">
      <c r="A198" s="605">
        <f t="shared" si="40"/>
        <v>184</v>
      </c>
      <c r="B198" s="619">
        <v>39400</v>
      </c>
      <c r="C198" s="98" t="s">
        <v>996</v>
      </c>
      <c r="D198" s="709">
        <v>30133.930000000008</v>
      </c>
      <c r="E198" s="340">
        <v>0</v>
      </c>
      <c r="F198" s="345">
        <f t="shared" si="54"/>
        <v>30133.930000000008</v>
      </c>
      <c r="G198" s="360">
        <f t="shared" si="58"/>
        <v>9.1300000000000006E-2</v>
      </c>
      <c r="H198" s="360">
        <f t="shared" si="61"/>
        <v>0.49969999999999998</v>
      </c>
      <c r="I198" s="345">
        <f t="shared" si="55"/>
        <v>1374.7885361573003</v>
      </c>
      <c r="K198" s="709">
        <v>47605.662307692313</v>
      </c>
      <c r="L198" s="360">
        <f t="shared" si="56"/>
        <v>9.1300000000000006E-2</v>
      </c>
      <c r="M198" s="360">
        <f t="shared" si="52"/>
        <v>0.49969999999999998</v>
      </c>
      <c r="N198" s="345">
        <f t="shared" si="53"/>
        <v>2171.8945652555462</v>
      </c>
      <c r="R198" s="243"/>
    </row>
    <row r="199" spans="1:18">
      <c r="A199" s="605">
        <f t="shared" si="40"/>
        <v>185</v>
      </c>
      <c r="B199" s="619">
        <v>39420</v>
      </c>
      <c r="C199" s="98" t="s">
        <v>1412</v>
      </c>
      <c r="D199" s="709">
        <v>0</v>
      </c>
      <c r="E199" s="340">
        <v>0</v>
      </c>
      <c r="F199" s="345">
        <f t="shared" si="54"/>
        <v>0</v>
      </c>
      <c r="G199" s="187">
        <v>1</v>
      </c>
      <c r="H199" s="360">
        <f>H195</f>
        <v>5.5924710000000002E-2</v>
      </c>
      <c r="I199" s="345">
        <f t="shared" si="55"/>
        <v>0</v>
      </c>
      <c r="K199" s="709">
        <v>0</v>
      </c>
      <c r="L199" s="187">
        <v>1</v>
      </c>
      <c r="M199" s="360">
        <f t="shared" si="52"/>
        <v>5.5924710000000002E-2</v>
      </c>
      <c r="N199" s="345">
        <f t="shared" si="53"/>
        <v>0</v>
      </c>
      <c r="R199" s="243"/>
    </row>
    <row r="200" spans="1:18">
      <c r="A200" s="605">
        <f t="shared" si="40"/>
        <v>186</v>
      </c>
      <c r="B200" s="619">
        <v>39500</v>
      </c>
      <c r="C200" s="98" t="s">
        <v>1155</v>
      </c>
      <c r="D200" s="709">
        <v>0</v>
      </c>
      <c r="E200" s="340">
        <v>0</v>
      </c>
      <c r="F200" s="345">
        <f t="shared" si="54"/>
        <v>0</v>
      </c>
      <c r="G200" s="360">
        <f>G198</f>
        <v>9.1300000000000006E-2</v>
      </c>
      <c r="H200" s="360">
        <f>H198</f>
        <v>0.49969999999999998</v>
      </c>
      <c r="I200" s="345">
        <f t="shared" si="55"/>
        <v>0</v>
      </c>
      <c r="K200" s="709">
        <v>0</v>
      </c>
      <c r="L200" s="360">
        <f t="shared" si="56"/>
        <v>9.1300000000000006E-2</v>
      </c>
      <c r="M200" s="360">
        <f t="shared" si="52"/>
        <v>0.49969999999999998</v>
      </c>
      <c r="N200" s="345">
        <f t="shared" si="53"/>
        <v>0</v>
      </c>
      <c r="R200" s="243"/>
    </row>
    <row r="201" spans="1:18">
      <c r="A201" s="605">
        <f t="shared" si="40"/>
        <v>187</v>
      </c>
      <c r="B201" s="619">
        <v>39700</v>
      </c>
      <c r="C201" s="98" t="s">
        <v>418</v>
      </c>
      <c r="D201" s="709">
        <v>616247.06851303065</v>
      </c>
      <c r="E201" s="340">
        <v>0</v>
      </c>
      <c r="F201" s="345">
        <f t="shared" si="54"/>
        <v>616247.06851303065</v>
      </c>
      <c r="G201" s="360">
        <f t="shared" si="58"/>
        <v>9.1300000000000006E-2</v>
      </c>
      <c r="H201" s="360">
        <f t="shared" si="61"/>
        <v>0.49969999999999998</v>
      </c>
      <c r="I201" s="345">
        <f t="shared" si="55"/>
        <v>28114.799670413275</v>
      </c>
      <c r="K201" s="709">
        <v>586444.25593800202</v>
      </c>
      <c r="L201" s="360">
        <f t="shared" si="56"/>
        <v>9.1300000000000006E-2</v>
      </c>
      <c r="M201" s="360">
        <f t="shared" si="52"/>
        <v>0.49969999999999998</v>
      </c>
      <c r="N201" s="345">
        <f t="shared" si="53"/>
        <v>26755.11757539965</v>
      </c>
      <c r="R201" s="243"/>
    </row>
    <row r="202" spans="1:18">
      <c r="A202" s="605">
        <f t="shared" si="40"/>
        <v>188</v>
      </c>
      <c r="B202" s="619">
        <v>39720</v>
      </c>
      <c r="C202" s="98" t="s">
        <v>1413</v>
      </c>
      <c r="D202" s="709">
        <v>77436.150000000009</v>
      </c>
      <c r="E202" s="340">
        <v>0</v>
      </c>
      <c r="F202" s="345">
        <f t="shared" si="54"/>
        <v>77436.150000000009</v>
      </c>
      <c r="G202" s="187">
        <v>1</v>
      </c>
      <c r="H202" s="360">
        <f>H195</f>
        <v>5.5924710000000002E-2</v>
      </c>
      <c r="I202" s="345">
        <f t="shared" si="55"/>
        <v>4330.5942322665005</v>
      </c>
      <c r="K202" s="709">
        <v>77436.150000000009</v>
      </c>
      <c r="L202" s="187">
        <v>1</v>
      </c>
      <c r="M202" s="360">
        <f t="shared" si="52"/>
        <v>5.5924710000000002E-2</v>
      </c>
      <c r="N202" s="345">
        <f t="shared" si="53"/>
        <v>4330.5942322665005</v>
      </c>
      <c r="R202" s="243"/>
    </row>
    <row r="203" spans="1:18">
      <c r="A203" s="605">
        <f t="shared" si="40"/>
        <v>189</v>
      </c>
      <c r="B203" s="619">
        <v>39800</v>
      </c>
      <c r="C203" s="98" t="s">
        <v>623</v>
      </c>
      <c r="D203" s="709">
        <v>107930.99</v>
      </c>
      <c r="E203" s="340">
        <v>0</v>
      </c>
      <c r="F203" s="345">
        <f t="shared" si="54"/>
        <v>107930.99</v>
      </c>
      <c r="G203" s="360">
        <f>G201</f>
        <v>9.1300000000000006E-2</v>
      </c>
      <c r="H203" s="360">
        <f>H201</f>
        <v>0.49969999999999998</v>
      </c>
      <c r="I203" s="345">
        <f t="shared" si="55"/>
        <v>4924.0934636839011</v>
      </c>
      <c r="K203" s="709">
        <v>107930.99</v>
      </c>
      <c r="L203" s="360">
        <f t="shared" si="56"/>
        <v>9.1300000000000006E-2</v>
      </c>
      <c r="M203" s="360">
        <f t="shared" si="52"/>
        <v>0.49969999999999998</v>
      </c>
      <c r="N203" s="345">
        <f t="shared" si="53"/>
        <v>4924.0934636839011</v>
      </c>
      <c r="R203" s="243"/>
    </row>
    <row r="204" spans="1:18">
      <c r="A204" s="605">
        <f t="shared" si="40"/>
        <v>190</v>
      </c>
      <c r="B204" s="619">
        <v>39820</v>
      </c>
      <c r="C204" s="98" t="s">
        <v>1414</v>
      </c>
      <c r="D204" s="709">
        <v>10581.72</v>
      </c>
      <c r="E204" s="340">
        <v>0</v>
      </c>
      <c r="F204" s="345">
        <f t="shared" si="54"/>
        <v>10581.72</v>
      </c>
      <c r="G204" s="187">
        <v>1</v>
      </c>
      <c r="H204" s="360">
        <f>H195</f>
        <v>5.5924710000000002E-2</v>
      </c>
      <c r="I204" s="345">
        <f t="shared" si="55"/>
        <v>591.77962230119999</v>
      </c>
      <c r="K204" s="709">
        <v>10581.72</v>
      </c>
      <c r="L204" s="187">
        <v>1</v>
      </c>
      <c r="M204" s="360">
        <f t="shared" si="52"/>
        <v>5.5924710000000002E-2</v>
      </c>
      <c r="N204" s="345">
        <f t="shared" si="53"/>
        <v>591.77962230119999</v>
      </c>
      <c r="R204" s="243"/>
    </row>
    <row r="205" spans="1:18">
      <c r="A205" s="605">
        <f t="shared" si="40"/>
        <v>191</v>
      </c>
      <c r="B205" s="619">
        <v>39900</v>
      </c>
      <c r="C205" s="98" t="s">
        <v>1110</v>
      </c>
      <c r="D205" s="709">
        <v>0</v>
      </c>
      <c r="E205" s="340">
        <v>0</v>
      </c>
      <c r="F205" s="345">
        <f t="shared" si="54"/>
        <v>0</v>
      </c>
      <c r="G205" s="360">
        <f>G203</f>
        <v>9.1300000000000006E-2</v>
      </c>
      <c r="H205" s="360">
        <f>H203</f>
        <v>0.49969999999999998</v>
      </c>
      <c r="I205" s="345">
        <f t="shared" si="55"/>
        <v>0</v>
      </c>
      <c r="K205" s="709">
        <v>0</v>
      </c>
      <c r="L205" s="360">
        <f t="shared" si="56"/>
        <v>9.1300000000000006E-2</v>
      </c>
      <c r="M205" s="360">
        <f t="shared" si="52"/>
        <v>0.49969999999999998</v>
      </c>
      <c r="N205" s="345">
        <f t="shared" si="53"/>
        <v>0</v>
      </c>
      <c r="R205" s="243"/>
    </row>
    <row r="206" spans="1:18">
      <c r="A206" s="605">
        <f t="shared" si="40"/>
        <v>192</v>
      </c>
      <c r="B206" s="619">
        <v>39901</v>
      </c>
      <c r="C206" s="98" t="s">
        <v>452</v>
      </c>
      <c r="D206" s="709">
        <v>38216682.289728232</v>
      </c>
      <c r="E206" s="340">
        <v>0</v>
      </c>
      <c r="F206" s="345">
        <f t="shared" si="54"/>
        <v>38216682.289728232</v>
      </c>
      <c r="G206" s="360">
        <f t="shared" si="58"/>
        <v>9.1300000000000006E-2</v>
      </c>
      <c r="H206" s="360">
        <f t="shared" si="61"/>
        <v>0.49969999999999998</v>
      </c>
      <c r="I206" s="345">
        <f t="shared" si="55"/>
        <v>1743544.7915981782</v>
      </c>
      <c r="K206" s="709">
        <v>38361367.565650865</v>
      </c>
      <c r="L206" s="360">
        <f t="shared" si="56"/>
        <v>9.1300000000000006E-2</v>
      </c>
      <c r="M206" s="360">
        <f t="shared" si="52"/>
        <v>0.49969999999999998</v>
      </c>
      <c r="N206" s="345">
        <f t="shared" si="53"/>
        <v>1750145.7115143389</v>
      </c>
      <c r="R206" s="243"/>
    </row>
    <row r="207" spans="1:18">
      <c r="A207" s="605">
        <f t="shared" si="40"/>
        <v>193</v>
      </c>
      <c r="B207" s="619">
        <v>39902</v>
      </c>
      <c r="C207" s="98" t="s">
        <v>924</v>
      </c>
      <c r="D207" s="709">
        <v>21917084.795020789</v>
      </c>
      <c r="E207" s="340">
        <v>0</v>
      </c>
      <c r="F207" s="345">
        <f t="shared" si="54"/>
        <v>21917084.795020789</v>
      </c>
      <c r="G207" s="360">
        <f t="shared" si="58"/>
        <v>9.1300000000000006E-2</v>
      </c>
      <c r="H207" s="360">
        <f t="shared" si="61"/>
        <v>0.49969999999999998</v>
      </c>
      <c r="I207" s="345">
        <f t="shared" si="55"/>
        <v>999914.61194016342</v>
      </c>
      <c r="K207" s="709">
        <v>12771335.743071172</v>
      </c>
      <c r="L207" s="360">
        <f t="shared" si="56"/>
        <v>9.1300000000000006E-2</v>
      </c>
      <c r="M207" s="360">
        <f t="shared" si="52"/>
        <v>0.49969999999999998</v>
      </c>
      <c r="N207" s="345">
        <f t="shared" si="53"/>
        <v>582661.66978519631</v>
      </c>
      <c r="R207" s="243"/>
    </row>
    <row r="208" spans="1:18">
      <c r="A208" s="605">
        <f t="shared" si="40"/>
        <v>194</v>
      </c>
      <c r="B208" s="619">
        <v>39903</v>
      </c>
      <c r="C208" s="98" t="s">
        <v>967</v>
      </c>
      <c r="D208" s="709">
        <v>4647457.0187582513</v>
      </c>
      <c r="E208" s="340">
        <v>0</v>
      </c>
      <c r="F208" s="345">
        <f t="shared" si="54"/>
        <v>4647457.0187582513</v>
      </c>
      <c r="G208" s="360">
        <f t="shared" si="58"/>
        <v>9.1300000000000006E-2</v>
      </c>
      <c r="H208" s="360">
        <f t="shared" si="61"/>
        <v>0.49969999999999998</v>
      </c>
      <c r="I208" s="345">
        <f t="shared" si="55"/>
        <v>212029.11905857039</v>
      </c>
      <c r="K208" s="709">
        <v>4547943.3568778746</v>
      </c>
      <c r="L208" s="360">
        <f t="shared" si="56"/>
        <v>9.1300000000000006E-2</v>
      </c>
      <c r="M208" s="360">
        <f t="shared" si="52"/>
        <v>0.49969999999999998</v>
      </c>
      <c r="N208" s="345">
        <f t="shared" si="53"/>
        <v>207489.0460729301</v>
      </c>
      <c r="R208" s="243"/>
    </row>
    <row r="209" spans="1:18">
      <c r="A209" s="605">
        <f t="shared" si="40"/>
        <v>195</v>
      </c>
      <c r="B209" s="619">
        <v>39904</v>
      </c>
      <c r="C209" s="98" t="s">
        <v>1135</v>
      </c>
      <c r="D209" s="709">
        <v>0</v>
      </c>
      <c r="E209" s="340">
        <v>0</v>
      </c>
      <c r="F209" s="345">
        <f t="shared" si="54"/>
        <v>0</v>
      </c>
      <c r="G209" s="360">
        <f t="shared" ref="G209:G213" si="62">G208</f>
        <v>9.1300000000000006E-2</v>
      </c>
      <c r="H209" s="360">
        <f t="shared" si="61"/>
        <v>0.49969999999999998</v>
      </c>
      <c r="I209" s="345">
        <f t="shared" si="55"/>
        <v>0</v>
      </c>
      <c r="K209" s="709">
        <v>0</v>
      </c>
      <c r="L209" s="360">
        <f t="shared" si="56"/>
        <v>9.1300000000000006E-2</v>
      </c>
      <c r="M209" s="360">
        <f t="shared" si="52"/>
        <v>0.49969999999999998</v>
      </c>
      <c r="N209" s="345">
        <f t="shared" si="53"/>
        <v>0</v>
      </c>
      <c r="R209" s="243"/>
    </row>
    <row r="210" spans="1:18">
      <c r="A210" s="605">
        <f t="shared" si="40"/>
        <v>196</v>
      </c>
      <c r="B210" s="619">
        <v>39905</v>
      </c>
      <c r="C210" s="98" t="s">
        <v>471</v>
      </c>
      <c r="D210" s="709">
        <v>0</v>
      </c>
      <c r="E210" s="340">
        <v>0</v>
      </c>
      <c r="F210" s="345">
        <f t="shared" si="54"/>
        <v>0</v>
      </c>
      <c r="G210" s="360">
        <f t="shared" si="62"/>
        <v>9.1300000000000006E-2</v>
      </c>
      <c r="H210" s="360">
        <f t="shared" si="61"/>
        <v>0.49969999999999998</v>
      </c>
      <c r="I210" s="345">
        <f t="shared" si="55"/>
        <v>0</v>
      </c>
      <c r="K210" s="709">
        <v>0</v>
      </c>
      <c r="L210" s="360">
        <f t="shared" si="56"/>
        <v>9.1300000000000006E-2</v>
      </c>
      <c r="M210" s="360">
        <f t="shared" si="52"/>
        <v>0.49969999999999998</v>
      </c>
      <c r="N210" s="345">
        <f t="shared" si="53"/>
        <v>0</v>
      </c>
      <c r="R210" s="243"/>
    </row>
    <row r="211" spans="1:18">
      <c r="A211" s="605">
        <f t="shared" si="40"/>
        <v>197</v>
      </c>
      <c r="B211" s="619">
        <v>39906</v>
      </c>
      <c r="C211" s="98" t="s">
        <v>429</v>
      </c>
      <c r="D211" s="709">
        <v>4540171.1680672774</v>
      </c>
      <c r="E211" s="340">
        <v>0</v>
      </c>
      <c r="F211" s="345">
        <f t="shared" si="54"/>
        <v>4540171.1680672774</v>
      </c>
      <c r="G211" s="360">
        <f t="shared" si="62"/>
        <v>9.1300000000000006E-2</v>
      </c>
      <c r="H211" s="360">
        <f t="shared" si="61"/>
        <v>0.49969999999999998</v>
      </c>
      <c r="I211" s="345">
        <f t="shared" si="55"/>
        <v>207134.45853397786</v>
      </c>
      <c r="K211" s="709">
        <v>4544444.2557414155</v>
      </c>
      <c r="L211" s="360">
        <f t="shared" si="56"/>
        <v>9.1300000000000006E-2</v>
      </c>
      <c r="M211" s="360">
        <f t="shared" si="52"/>
        <v>0.49969999999999998</v>
      </c>
      <c r="N211" s="345">
        <f t="shared" si="53"/>
        <v>207329.40794643087</v>
      </c>
      <c r="R211" s="243"/>
    </row>
    <row r="212" spans="1:18">
      <c r="A212" s="605">
        <f t="shared" ref="A212:A268" si="63">A211+1</f>
        <v>198</v>
      </c>
      <c r="B212" s="619">
        <v>39907</v>
      </c>
      <c r="C212" s="98" t="s">
        <v>479</v>
      </c>
      <c r="D212" s="709">
        <v>82727.77</v>
      </c>
      <c r="E212" s="340">
        <v>0</v>
      </c>
      <c r="F212" s="345">
        <f t="shared" si="54"/>
        <v>82727.77</v>
      </c>
      <c r="G212" s="360">
        <f t="shared" si="62"/>
        <v>9.1300000000000006E-2</v>
      </c>
      <c r="H212" s="360">
        <f t="shared" si="61"/>
        <v>0.49969999999999998</v>
      </c>
      <c r="I212" s="345">
        <f t="shared" si="55"/>
        <v>3774.2567868797005</v>
      </c>
      <c r="K212" s="709">
        <v>82727.77</v>
      </c>
      <c r="L212" s="360">
        <f t="shared" si="56"/>
        <v>9.1300000000000006E-2</v>
      </c>
      <c r="M212" s="360">
        <f t="shared" si="52"/>
        <v>0.49969999999999998</v>
      </c>
      <c r="N212" s="345">
        <f t="shared" si="53"/>
        <v>3774.2567868797005</v>
      </c>
      <c r="R212" s="243"/>
    </row>
    <row r="213" spans="1:18">
      <c r="A213" s="605">
        <f t="shared" si="63"/>
        <v>199</v>
      </c>
      <c r="B213" s="619">
        <v>39908</v>
      </c>
      <c r="C213" s="98" t="s">
        <v>173</v>
      </c>
      <c r="D213" s="709">
        <v>98869600.449972868</v>
      </c>
      <c r="E213" s="340">
        <v>0</v>
      </c>
      <c r="F213" s="345">
        <f t="shared" si="54"/>
        <v>98869600.449972868</v>
      </c>
      <c r="G213" s="360">
        <f t="shared" si="62"/>
        <v>9.1300000000000006E-2</v>
      </c>
      <c r="H213" s="360">
        <f t="shared" si="61"/>
        <v>0.49969999999999998</v>
      </c>
      <c r="I213" s="345">
        <f t="shared" si="55"/>
        <v>4510689.2221849374</v>
      </c>
      <c r="K213" s="709">
        <v>96201560.907344565</v>
      </c>
      <c r="L213" s="360">
        <f t="shared" si="56"/>
        <v>9.1300000000000006E-2</v>
      </c>
      <c r="M213" s="360">
        <f t="shared" si="52"/>
        <v>0.49969999999999998</v>
      </c>
      <c r="N213" s="345">
        <f t="shared" si="53"/>
        <v>4388966.294667027</v>
      </c>
      <c r="R213" s="243"/>
    </row>
    <row r="214" spans="1:18">
      <c r="A214" s="605">
        <f t="shared" si="63"/>
        <v>200</v>
      </c>
      <c r="B214" s="619">
        <v>39909</v>
      </c>
      <c r="C214" s="98" t="s">
        <v>333</v>
      </c>
      <c r="D214" s="709">
        <v>0</v>
      </c>
      <c r="E214" s="340">
        <v>0</v>
      </c>
      <c r="F214" s="345">
        <f t="shared" si="54"/>
        <v>0</v>
      </c>
      <c r="G214" s="360">
        <f>G212</f>
        <v>9.1300000000000006E-2</v>
      </c>
      <c r="H214" s="360">
        <f>H212</f>
        <v>0.49969999999999998</v>
      </c>
      <c r="I214" s="345">
        <f t="shared" si="55"/>
        <v>0</v>
      </c>
      <c r="K214" s="709">
        <v>0</v>
      </c>
      <c r="L214" s="360">
        <f t="shared" ref="L214" si="64">G214</f>
        <v>9.1300000000000006E-2</v>
      </c>
      <c r="M214" s="360">
        <f>H214</f>
        <v>0.49969999999999998</v>
      </c>
      <c r="N214" s="345">
        <f t="shared" si="53"/>
        <v>0</v>
      </c>
      <c r="R214" s="243"/>
    </row>
    <row r="215" spans="1:18">
      <c r="A215" s="605">
        <f t="shared" si="63"/>
        <v>201</v>
      </c>
      <c r="B215" s="619">
        <v>39921</v>
      </c>
      <c r="C215" s="98" t="s">
        <v>1415</v>
      </c>
      <c r="D215" s="709">
        <v>8696955.5237349253</v>
      </c>
      <c r="E215" s="340">
        <v>0</v>
      </c>
      <c r="F215" s="345">
        <f t="shared" si="54"/>
        <v>8696955.5237349253</v>
      </c>
      <c r="G215" s="187">
        <v>1</v>
      </c>
      <c r="H215" s="360">
        <f>$H$195</f>
        <v>5.5924710000000002E-2</v>
      </c>
      <c r="I215" s="345">
        <f t="shared" si="55"/>
        <v>486374.71554777381</v>
      </c>
      <c r="K215" s="709">
        <v>5331032.544891322</v>
      </c>
      <c r="L215" s="187">
        <v>1</v>
      </c>
      <c r="M215" s="360">
        <f t="shared" si="52"/>
        <v>5.5924710000000002E-2</v>
      </c>
      <c r="N215" s="345">
        <f t="shared" si="53"/>
        <v>298136.4490736092</v>
      </c>
      <c r="R215" s="243"/>
    </row>
    <row r="216" spans="1:18">
      <c r="A216" s="605">
        <f t="shared" si="63"/>
        <v>202</v>
      </c>
      <c r="B216" s="619">
        <v>39922</v>
      </c>
      <c r="C216" s="98" t="s">
        <v>1416</v>
      </c>
      <c r="D216" s="709">
        <v>5425528.7999999998</v>
      </c>
      <c r="E216" s="340">
        <v>0</v>
      </c>
      <c r="F216" s="345">
        <f t="shared" si="54"/>
        <v>5425528.7999999998</v>
      </c>
      <c r="G216" s="187">
        <v>1</v>
      </c>
      <c r="H216" s="360">
        <f t="shared" ref="H216:H217" si="65">$H$195</f>
        <v>5.5924710000000002E-2</v>
      </c>
      <c r="I216" s="345">
        <f t="shared" si="55"/>
        <v>303421.12473664799</v>
      </c>
      <c r="K216" s="709">
        <v>5425528.7999999989</v>
      </c>
      <c r="L216" s="187">
        <v>1</v>
      </c>
      <c r="M216" s="360">
        <f t="shared" si="52"/>
        <v>5.5924710000000002E-2</v>
      </c>
      <c r="N216" s="345">
        <f t="shared" si="53"/>
        <v>303421.12473664794</v>
      </c>
      <c r="R216" s="243"/>
    </row>
    <row r="217" spans="1:18">
      <c r="A217" s="605">
        <f t="shared" si="63"/>
        <v>203</v>
      </c>
      <c r="B217" s="619">
        <v>39923</v>
      </c>
      <c r="C217" s="98" t="s">
        <v>1417</v>
      </c>
      <c r="D217" s="709">
        <v>813639.92669350537</v>
      </c>
      <c r="E217" s="340">
        <v>0</v>
      </c>
      <c r="F217" s="345">
        <f t="shared" si="54"/>
        <v>813639.92669350537</v>
      </c>
      <c r="G217" s="187">
        <v>1</v>
      </c>
      <c r="H217" s="360">
        <f t="shared" si="65"/>
        <v>5.5924710000000002E-2</v>
      </c>
      <c r="I217" s="345">
        <f t="shared" si="55"/>
        <v>45502.57694475555</v>
      </c>
      <c r="K217" s="709">
        <v>591812.98203627393</v>
      </c>
      <c r="L217" s="187">
        <v>1</v>
      </c>
      <c r="M217" s="360">
        <f t="shared" si="52"/>
        <v>5.5924710000000002E-2</v>
      </c>
      <c r="N217" s="345">
        <f t="shared" si="53"/>
        <v>33096.969394613829</v>
      </c>
      <c r="R217" s="243"/>
    </row>
    <row r="218" spans="1:18">
      <c r="A218" s="605">
        <f t="shared" si="63"/>
        <v>204</v>
      </c>
      <c r="B218" s="619">
        <v>39924</v>
      </c>
      <c r="C218" s="98" t="s">
        <v>1311</v>
      </c>
      <c r="D218" s="709">
        <v>0</v>
      </c>
      <c r="E218" s="340">
        <v>0</v>
      </c>
      <c r="F218" s="345">
        <f t="shared" si="54"/>
        <v>0</v>
      </c>
      <c r="G218" s="360">
        <f>G213</f>
        <v>9.1300000000000006E-2</v>
      </c>
      <c r="H218" s="360">
        <f>H213</f>
        <v>0.49969999999999998</v>
      </c>
      <c r="I218" s="345">
        <f t="shared" si="55"/>
        <v>0</v>
      </c>
      <c r="K218" s="709">
        <v>0</v>
      </c>
      <c r="L218" s="360">
        <f t="shared" si="56"/>
        <v>9.1300000000000006E-2</v>
      </c>
      <c r="M218" s="360">
        <f t="shared" si="52"/>
        <v>0.49969999999999998</v>
      </c>
      <c r="N218" s="345">
        <f t="shared" si="53"/>
        <v>0</v>
      </c>
      <c r="R218" s="243"/>
    </row>
    <row r="219" spans="1:18">
      <c r="A219" s="605">
        <f t="shared" si="63"/>
        <v>205</v>
      </c>
      <c r="B219" s="619">
        <v>39926</v>
      </c>
      <c r="C219" s="98" t="s">
        <v>1426</v>
      </c>
      <c r="D219" s="709">
        <v>146532.46</v>
      </c>
      <c r="E219" s="340">
        <v>0</v>
      </c>
      <c r="F219" s="345">
        <f t="shared" si="54"/>
        <v>146532.46</v>
      </c>
      <c r="G219" s="187">
        <v>1</v>
      </c>
      <c r="H219" s="360">
        <f>$H$217</f>
        <v>5.5924710000000002E-2</v>
      </c>
      <c r="I219" s="345">
        <f t="shared" si="55"/>
        <v>8194.7853310865994</v>
      </c>
      <c r="K219" s="709">
        <v>146532.46</v>
      </c>
      <c r="L219" s="187">
        <v>1</v>
      </c>
      <c r="M219" s="360">
        <f t="shared" si="52"/>
        <v>5.5924710000000002E-2</v>
      </c>
      <c r="N219" s="345">
        <f t="shared" si="53"/>
        <v>8194.7853310865994</v>
      </c>
      <c r="R219" s="243"/>
    </row>
    <row r="220" spans="1:18">
      <c r="A220" s="605">
        <f t="shared" si="63"/>
        <v>206</v>
      </c>
      <c r="B220" s="619">
        <v>39928</v>
      </c>
      <c r="C220" s="98" t="s">
        <v>1427</v>
      </c>
      <c r="D220" s="709">
        <v>29590571.550000001</v>
      </c>
      <c r="E220" s="340">
        <v>0</v>
      </c>
      <c r="F220" s="345">
        <f t="shared" si="54"/>
        <v>29590571.550000001</v>
      </c>
      <c r="G220" s="187">
        <v>1</v>
      </c>
      <c r="H220" s="360">
        <f t="shared" ref="H220" si="66">$H$217</f>
        <v>5.5924710000000002E-2</v>
      </c>
      <c r="I220" s="345">
        <f t="shared" si="55"/>
        <v>1654844.1326680006</v>
      </c>
      <c r="K220" s="709">
        <v>29572964.046923082</v>
      </c>
      <c r="L220" s="187">
        <v>1</v>
      </c>
      <c r="M220" s="360">
        <f t="shared" si="52"/>
        <v>5.5924710000000002E-2</v>
      </c>
      <c r="N220" s="345">
        <f t="shared" si="53"/>
        <v>1653859.4381645999</v>
      </c>
      <c r="R220" s="243"/>
    </row>
    <row r="221" spans="1:18">
      <c r="A221" s="605">
        <f t="shared" si="63"/>
        <v>207</v>
      </c>
      <c r="B221" s="619">
        <v>39931</v>
      </c>
      <c r="C221" s="98" t="s">
        <v>1428</v>
      </c>
      <c r="D221" s="709">
        <v>297266.61</v>
      </c>
      <c r="E221" s="340">
        <v>0</v>
      </c>
      <c r="F221" s="345">
        <f t="shared" si="54"/>
        <v>297266.61</v>
      </c>
      <c r="G221" s="187">
        <v>1</v>
      </c>
      <c r="H221" s="684">
        <f>Allocation!$E$23</f>
        <v>3.5999389999999999E-2</v>
      </c>
      <c r="I221" s="345">
        <f t="shared" si="55"/>
        <v>10701.416627367898</v>
      </c>
      <c r="K221" s="709">
        <v>297266.60999999993</v>
      </c>
      <c r="L221" s="187">
        <v>1</v>
      </c>
      <c r="M221" s="360">
        <f t="shared" si="52"/>
        <v>3.5999389999999999E-2</v>
      </c>
      <c r="N221" s="345">
        <f t="shared" si="53"/>
        <v>10701.416627367897</v>
      </c>
      <c r="R221" s="243"/>
    </row>
    <row r="222" spans="1:18">
      <c r="A222" s="605">
        <f t="shared" si="63"/>
        <v>208</v>
      </c>
      <c r="B222" s="619">
        <v>39932</v>
      </c>
      <c r="C222" s="98" t="s">
        <v>1429</v>
      </c>
      <c r="D222" s="709">
        <v>783916.61</v>
      </c>
      <c r="E222" s="340">
        <v>0</v>
      </c>
      <c r="F222" s="345">
        <f t="shared" si="54"/>
        <v>783916.61</v>
      </c>
      <c r="G222" s="187">
        <v>1</v>
      </c>
      <c r="H222" s="684">
        <f>Allocation!$E$23</f>
        <v>3.5999389999999999E-2</v>
      </c>
      <c r="I222" s="345">
        <f t="shared" si="55"/>
        <v>28220.519770867901</v>
      </c>
      <c r="K222" s="709">
        <v>783916.61</v>
      </c>
      <c r="L222" s="187">
        <v>1</v>
      </c>
      <c r="M222" s="360">
        <f t="shared" ref="M222:M223" si="67">H222</f>
        <v>3.5999389999999999E-2</v>
      </c>
      <c r="N222" s="345">
        <f t="shared" si="53"/>
        <v>28220.519770867901</v>
      </c>
      <c r="R222" s="243"/>
    </row>
    <row r="223" spans="1:18">
      <c r="A223" s="605">
        <f t="shared" si="63"/>
        <v>209</v>
      </c>
      <c r="B223" s="619">
        <v>39938</v>
      </c>
      <c r="C223" s="98" t="s">
        <v>1430</v>
      </c>
      <c r="D223" s="709">
        <v>21123036.719999999</v>
      </c>
      <c r="E223" s="340">
        <v>0</v>
      </c>
      <c r="F223" s="345">
        <f t="shared" si="54"/>
        <v>21123036.719999999</v>
      </c>
      <c r="G223" s="187">
        <v>1</v>
      </c>
      <c r="H223" s="684">
        <f>Allocation!$E$23</f>
        <v>3.5999389999999999E-2</v>
      </c>
      <c r="I223" s="345">
        <f t="shared" si="55"/>
        <v>760416.43686760077</v>
      </c>
      <c r="K223" s="709">
        <v>21123036.720000003</v>
      </c>
      <c r="L223" s="187">
        <v>1</v>
      </c>
      <c r="M223" s="360">
        <f t="shared" si="67"/>
        <v>3.5999389999999999E-2</v>
      </c>
      <c r="N223" s="345">
        <f t="shared" si="53"/>
        <v>760416.43686760089</v>
      </c>
      <c r="R223" s="243"/>
    </row>
    <row r="224" spans="1:18">
      <c r="A224" s="605">
        <f t="shared" si="63"/>
        <v>210</v>
      </c>
      <c r="B224" s="553"/>
      <c r="C224" s="98"/>
      <c r="D224" s="339"/>
      <c r="E224" s="339"/>
      <c r="F224" s="339"/>
      <c r="H224" s="187"/>
      <c r="K224" s="339"/>
      <c r="N224" s="339"/>
    </row>
    <row r="225" spans="1:18" ht="15.75" thickBot="1">
      <c r="A225" s="605">
        <f t="shared" si="63"/>
        <v>211</v>
      </c>
      <c r="B225" s="553"/>
      <c r="C225" s="98" t="s">
        <v>1248</v>
      </c>
      <c r="D225" s="715">
        <f>SUM(D186:D223)</f>
        <v>276363856.8623544</v>
      </c>
      <c r="E225" s="715">
        <f>SUM(E186:E223)</f>
        <v>0</v>
      </c>
      <c r="F225" s="715">
        <f>SUM(F186:F223)</f>
        <v>276363856.8623544</v>
      </c>
      <c r="I225" s="715">
        <f>SUM(I186:I223)</f>
        <v>12402471.610981077</v>
      </c>
      <c r="K225" s="715">
        <f>SUM(K186:K223)</f>
        <v>259489990.12716195</v>
      </c>
      <c r="N225" s="715">
        <f>SUM(N186:N223)</f>
        <v>11595499.016985068</v>
      </c>
    </row>
    <row r="226" spans="1:18" ht="15.75" thickTop="1">
      <c r="A226" s="605">
        <f t="shared" si="63"/>
        <v>212</v>
      </c>
      <c r="B226" s="553"/>
      <c r="C226" s="98"/>
      <c r="D226" s="186"/>
      <c r="E226" s="186"/>
      <c r="F226" s="186"/>
      <c r="I226" s="186"/>
    </row>
    <row r="227" spans="1:18">
      <c r="A227" s="605">
        <f t="shared" si="63"/>
        <v>213</v>
      </c>
      <c r="B227" s="553"/>
      <c r="C227" s="30"/>
      <c r="D227" s="706"/>
      <c r="E227" s="713"/>
      <c r="F227" s="713"/>
      <c r="G227" s="360"/>
      <c r="H227" s="360"/>
      <c r="I227" s="713"/>
      <c r="K227" s="706"/>
      <c r="L227" s="360"/>
      <c r="M227" s="360"/>
      <c r="N227" s="713"/>
    </row>
    <row r="228" spans="1:18">
      <c r="A228" s="605">
        <f t="shared" si="63"/>
        <v>214</v>
      </c>
      <c r="B228" s="553"/>
    </row>
    <row r="229" spans="1:18" ht="15.75">
      <c r="A229" s="605">
        <f t="shared" si="63"/>
        <v>215</v>
      </c>
      <c r="B229" s="550" t="s">
        <v>8</v>
      </c>
    </row>
    <row r="230" spans="1:18">
      <c r="A230" s="605">
        <f t="shared" si="63"/>
        <v>216</v>
      </c>
      <c r="B230" s="553"/>
    </row>
    <row r="231" spans="1:18">
      <c r="A231" s="605">
        <f t="shared" si="63"/>
        <v>217</v>
      </c>
      <c r="B231" s="553"/>
      <c r="C231" s="16" t="s">
        <v>292</v>
      </c>
    </row>
    <row r="232" spans="1:18">
      <c r="A232" s="605">
        <f t="shared" si="63"/>
        <v>218</v>
      </c>
      <c r="B232" s="619">
        <v>38900</v>
      </c>
      <c r="C232" s="98" t="s">
        <v>283</v>
      </c>
      <c r="D232" s="706">
        <v>2874239.86</v>
      </c>
      <c r="E232" s="209">
        <v>0</v>
      </c>
      <c r="F232" s="707">
        <f>D232+E232</f>
        <v>2874239.86</v>
      </c>
      <c r="G232" s="684">
        <f>Allocation!$G$15</f>
        <v>0.109</v>
      </c>
      <c r="H232" s="684">
        <f>Allocation!$H$15</f>
        <v>0.49459999999999998</v>
      </c>
      <c r="I232" s="707">
        <f>F232*G232*H232</f>
        <v>154954.29478840399</v>
      </c>
      <c r="K232" s="706">
        <v>2874239.86</v>
      </c>
      <c r="L232" s="360">
        <f>G232</f>
        <v>0.109</v>
      </c>
      <c r="M232" s="360">
        <f>H232</f>
        <v>0.49459999999999998</v>
      </c>
      <c r="N232" s="707">
        <f>K232*L232*M232</f>
        <v>154954.29478840399</v>
      </c>
      <c r="P232" s="552"/>
      <c r="R232" s="243"/>
    </row>
    <row r="233" spans="1:18">
      <c r="A233" s="605">
        <f t="shared" si="63"/>
        <v>219</v>
      </c>
      <c r="B233" s="619">
        <v>38910</v>
      </c>
      <c r="C233" s="98" t="s">
        <v>1156</v>
      </c>
      <c r="D233" s="709">
        <v>1886442.92</v>
      </c>
      <c r="E233" s="338">
        <v>0</v>
      </c>
      <c r="F233" s="716">
        <f>D233+E233</f>
        <v>1886442.92</v>
      </c>
      <c r="G233" s="267">
        <v>1</v>
      </c>
      <c r="H233" s="684">
        <f>Allocation!$I$21</f>
        <v>2.983098E-2</v>
      </c>
      <c r="I233" s="345">
        <f>F233*G233*H233</f>
        <v>56274.4410176616</v>
      </c>
      <c r="K233" s="709">
        <v>1886442.9200000006</v>
      </c>
      <c r="L233" s="360">
        <f>G233</f>
        <v>1</v>
      </c>
      <c r="M233" s="360">
        <f>H233</f>
        <v>2.983098E-2</v>
      </c>
      <c r="N233" s="345">
        <f>K233*L233*M233</f>
        <v>56274.441017661622</v>
      </c>
      <c r="P233" s="552"/>
      <c r="R233" s="243"/>
    </row>
    <row r="234" spans="1:18">
      <c r="A234" s="605">
        <f t="shared" si="63"/>
        <v>220</v>
      </c>
      <c r="B234" s="619">
        <v>39000</v>
      </c>
      <c r="C234" s="98" t="s">
        <v>825</v>
      </c>
      <c r="D234" s="709">
        <v>13553449.988813458</v>
      </c>
      <c r="E234" s="338">
        <v>0</v>
      </c>
      <c r="F234" s="716">
        <f t="shared" ref="F234:F255" si="68">D234+E234</f>
        <v>13553449.988813458</v>
      </c>
      <c r="G234" s="360">
        <f>$G$232</f>
        <v>0.109</v>
      </c>
      <c r="H234" s="360">
        <f>$H$232</f>
        <v>0.49459999999999998</v>
      </c>
      <c r="I234" s="345">
        <f t="shared" ref="I234:I260" si="69">F234*G234*H234</f>
        <v>730685.46372691786</v>
      </c>
      <c r="K234" s="709">
        <v>13537284.061739232</v>
      </c>
      <c r="L234" s="360">
        <f t="shared" ref="L234:L255" si="70">G234</f>
        <v>0.109</v>
      </c>
      <c r="M234" s="360">
        <f t="shared" ref="M234:M255" si="71">H234</f>
        <v>0.49459999999999998</v>
      </c>
      <c r="N234" s="345">
        <f t="shared" ref="N234:N260" si="72">K234*L234*M234</f>
        <v>729813.93596604839</v>
      </c>
      <c r="P234" s="552"/>
      <c r="R234" s="243"/>
    </row>
    <row r="235" spans="1:18">
      <c r="A235" s="605">
        <f t="shared" si="63"/>
        <v>221</v>
      </c>
      <c r="B235" s="619">
        <v>39009</v>
      </c>
      <c r="C235" s="98" t="s">
        <v>997</v>
      </c>
      <c r="D235" s="709">
        <v>3170597.68</v>
      </c>
      <c r="E235" s="338">
        <v>0</v>
      </c>
      <c r="F235" s="716">
        <f t="shared" si="68"/>
        <v>3170597.68</v>
      </c>
      <c r="G235" s="360">
        <f>$G$232</f>
        <v>0.109</v>
      </c>
      <c r="H235" s="360">
        <f>$H$232</f>
        <v>0.49459999999999998</v>
      </c>
      <c r="I235" s="345">
        <f t="shared" si="69"/>
        <v>170931.35976555201</v>
      </c>
      <c r="K235" s="709">
        <v>3170597.68</v>
      </c>
      <c r="L235" s="360">
        <f t="shared" si="70"/>
        <v>0.109</v>
      </c>
      <c r="M235" s="360">
        <f t="shared" si="71"/>
        <v>0.49459999999999998</v>
      </c>
      <c r="N235" s="345">
        <f t="shared" si="72"/>
        <v>170931.35976555201</v>
      </c>
      <c r="P235" s="552"/>
      <c r="R235" s="243"/>
    </row>
    <row r="236" spans="1:18">
      <c r="A236" s="605">
        <f t="shared" si="63"/>
        <v>222</v>
      </c>
      <c r="B236" s="619">
        <v>39010</v>
      </c>
      <c r="C236" s="98" t="s">
        <v>1157</v>
      </c>
      <c r="D236" s="709">
        <v>12590702.67</v>
      </c>
      <c r="E236" s="338">
        <v>0</v>
      </c>
      <c r="F236" s="716">
        <f t="shared" ref="F236" si="73">D236+E236</f>
        <v>12590702.67</v>
      </c>
      <c r="G236" s="267">
        <v>1</v>
      </c>
      <c r="H236" s="360">
        <f>$H$233</f>
        <v>2.983098E-2</v>
      </c>
      <c r="I236" s="345">
        <f t="shared" si="69"/>
        <v>375592.9995347166</v>
      </c>
      <c r="K236" s="709">
        <v>12590702.669999998</v>
      </c>
      <c r="L236" s="360">
        <f t="shared" ref="L236" si="74">G236</f>
        <v>1</v>
      </c>
      <c r="M236" s="360">
        <f t="shared" ref="M236" si="75">H236</f>
        <v>2.983098E-2</v>
      </c>
      <c r="N236" s="345">
        <f t="shared" si="72"/>
        <v>375592.99953471654</v>
      </c>
      <c r="P236" s="552"/>
      <c r="R236" s="243"/>
    </row>
    <row r="237" spans="1:18">
      <c r="A237" s="605">
        <f t="shared" si="63"/>
        <v>223</v>
      </c>
      <c r="B237" s="619">
        <v>39100</v>
      </c>
      <c r="C237" s="98" t="s">
        <v>749</v>
      </c>
      <c r="D237" s="709">
        <v>2730257.91</v>
      </c>
      <c r="E237" s="338">
        <v>0</v>
      </c>
      <c r="F237" s="716">
        <f t="shared" si="68"/>
        <v>2730257.91</v>
      </c>
      <c r="G237" s="360">
        <f>$G$232</f>
        <v>0.109</v>
      </c>
      <c r="H237" s="360">
        <f>$H$232</f>
        <v>0.49459999999999998</v>
      </c>
      <c r="I237" s="345">
        <f t="shared" si="69"/>
        <v>147192.02628917401</v>
      </c>
      <c r="K237" s="709">
        <v>2730257.9099999997</v>
      </c>
      <c r="L237" s="360">
        <f t="shared" si="70"/>
        <v>0.109</v>
      </c>
      <c r="M237" s="360">
        <f t="shared" si="71"/>
        <v>0.49459999999999998</v>
      </c>
      <c r="N237" s="345">
        <f t="shared" si="72"/>
        <v>147192.02628917398</v>
      </c>
      <c r="P237" s="552"/>
      <c r="R237" s="243"/>
    </row>
    <row r="238" spans="1:18">
      <c r="A238" s="605">
        <f t="shared" si="63"/>
        <v>224</v>
      </c>
      <c r="B238" s="619">
        <v>39101</v>
      </c>
      <c r="C238" s="98" t="s">
        <v>1408</v>
      </c>
      <c r="D238" s="709">
        <v>0</v>
      </c>
      <c r="E238" s="338">
        <v>0</v>
      </c>
      <c r="F238" s="716">
        <f t="shared" si="68"/>
        <v>0</v>
      </c>
      <c r="G238" s="360">
        <f t="shared" ref="G238:G239" si="76">$G$232</f>
        <v>0.109</v>
      </c>
      <c r="H238" s="360">
        <f t="shared" ref="H238:H239" si="77">$H$232</f>
        <v>0.49459999999999998</v>
      </c>
      <c r="I238" s="345">
        <f t="shared" si="69"/>
        <v>0</v>
      </c>
      <c r="K238" s="709">
        <v>0</v>
      </c>
      <c r="L238" s="360">
        <f t="shared" ref="L238:L239" si="78">G238</f>
        <v>0.109</v>
      </c>
      <c r="M238" s="360">
        <f t="shared" ref="M238:M239" si="79">H238</f>
        <v>0.49459999999999998</v>
      </c>
      <c r="N238" s="345">
        <f t="shared" si="72"/>
        <v>0</v>
      </c>
      <c r="P238" s="552"/>
      <c r="R238" s="243"/>
    </row>
    <row r="239" spans="1:18">
      <c r="A239" s="605">
        <f t="shared" si="63"/>
        <v>225</v>
      </c>
      <c r="B239" s="619">
        <v>39102</v>
      </c>
      <c r="C239" s="98" t="s">
        <v>1418</v>
      </c>
      <c r="D239" s="709">
        <v>0</v>
      </c>
      <c r="E239" s="338">
        <v>0</v>
      </c>
      <c r="F239" s="716">
        <f t="shared" si="68"/>
        <v>0</v>
      </c>
      <c r="G239" s="360">
        <f t="shared" si="76"/>
        <v>0.109</v>
      </c>
      <c r="H239" s="360">
        <f t="shared" si="77"/>
        <v>0.49459999999999998</v>
      </c>
      <c r="I239" s="345">
        <f t="shared" si="69"/>
        <v>0</v>
      </c>
      <c r="K239" s="709">
        <v>0</v>
      </c>
      <c r="L239" s="360">
        <f t="shared" si="78"/>
        <v>0.109</v>
      </c>
      <c r="M239" s="360">
        <f t="shared" si="79"/>
        <v>0.49459999999999998</v>
      </c>
      <c r="N239" s="345">
        <f t="shared" si="72"/>
        <v>0</v>
      </c>
      <c r="P239" s="552"/>
      <c r="R239" s="243"/>
    </row>
    <row r="240" spans="1:18">
      <c r="A240" s="605">
        <f t="shared" si="63"/>
        <v>226</v>
      </c>
      <c r="B240" s="619">
        <v>39103</v>
      </c>
      <c r="C240" s="98" t="s">
        <v>1250</v>
      </c>
      <c r="D240" s="709">
        <v>0</v>
      </c>
      <c r="E240" s="338">
        <v>0</v>
      </c>
      <c r="F240" s="716">
        <f t="shared" ref="F240:F244" si="80">D240+E240</f>
        <v>0</v>
      </c>
      <c r="G240" s="360">
        <f>$G$232</f>
        <v>0.109</v>
      </c>
      <c r="H240" s="360">
        <f>$H$232</f>
        <v>0.49459999999999998</v>
      </c>
      <c r="I240" s="345">
        <f t="shared" si="69"/>
        <v>0</v>
      </c>
      <c r="K240" s="709">
        <v>0</v>
      </c>
      <c r="L240" s="360">
        <f t="shared" ref="L240:L241" si="81">G240</f>
        <v>0.109</v>
      </c>
      <c r="M240" s="360">
        <f t="shared" ref="M240:M241" si="82">H240</f>
        <v>0.49459999999999998</v>
      </c>
      <c r="N240" s="345">
        <f t="shared" si="72"/>
        <v>0</v>
      </c>
      <c r="P240" s="552"/>
      <c r="R240" s="243"/>
    </row>
    <row r="241" spans="1:18">
      <c r="A241" s="605">
        <f t="shared" si="63"/>
        <v>227</v>
      </c>
      <c r="B241" s="619">
        <v>39110</v>
      </c>
      <c r="C241" s="98" t="s">
        <v>1419</v>
      </c>
      <c r="D241" s="709">
        <v>810063.8949768797</v>
      </c>
      <c r="E241" s="338">
        <v>0</v>
      </c>
      <c r="F241" s="716">
        <f t="shared" si="80"/>
        <v>810063.8949768797</v>
      </c>
      <c r="G241" s="267">
        <v>1</v>
      </c>
      <c r="H241" s="360">
        <f>$H$233</f>
        <v>2.983098E-2</v>
      </c>
      <c r="I241" s="345">
        <f t="shared" si="69"/>
        <v>24164.9998497774</v>
      </c>
      <c r="K241" s="709">
        <v>724072.55535473907</v>
      </c>
      <c r="L241" s="360">
        <f t="shared" si="81"/>
        <v>1</v>
      </c>
      <c r="M241" s="360">
        <f t="shared" si="82"/>
        <v>2.983098E-2</v>
      </c>
      <c r="N241" s="345">
        <f t="shared" si="72"/>
        <v>21599.793917336116</v>
      </c>
      <c r="P241" s="552"/>
      <c r="R241" s="243"/>
    </row>
    <row r="242" spans="1:18">
      <c r="A242" s="605">
        <f t="shared" si="63"/>
        <v>228</v>
      </c>
      <c r="B242" s="619">
        <v>39210</v>
      </c>
      <c r="C242" s="98" t="s">
        <v>1420</v>
      </c>
      <c r="D242" s="709">
        <v>74993.77</v>
      </c>
      <c r="E242" s="338">
        <v>0</v>
      </c>
      <c r="F242" s="716">
        <f t="shared" si="80"/>
        <v>74993.77</v>
      </c>
      <c r="G242" s="267">
        <v>1</v>
      </c>
      <c r="H242" s="360">
        <f t="shared" ref="H242:H244" si="83">$H$233</f>
        <v>2.983098E-2</v>
      </c>
      <c r="I242" s="345">
        <f t="shared" si="69"/>
        <v>2237.1376529946001</v>
      </c>
      <c r="K242" s="709">
        <v>79908.335384615406</v>
      </c>
      <c r="L242" s="360">
        <f t="shared" ref="L242:L244" si="84">G242</f>
        <v>1</v>
      </c>
      <c r="M242" s="360">
        <f t="shared" ref="M242:M244" si="85">H242</f>
        <v>2.983098E-2</v>
      </c>
      <c r="N242" s="345">
        <f t="shared" si="72"/>
        <v>2383.7439546917544</v>
      </c>
      <c r="P242" s="552"/>
      <c r="R242" s="243"/>
    </row>
    <row r="243" spans="1:18">
      <c r="A243" s="605">
        <f t="shared" si="63"/>
        <v>229</v>
      </c>
      <c r="B243" s="619">
        <v>39410</v>
      </c>
      <c r="C243" s="98" t="s">
        <v>1421</v>
      </c>
      <c r="D243" s="709">
        <v>689746.65464438545</v>
      </c>
      <c r="E243" s="338">
        <v>0</v>
      </c>
      <c r="F243" s="716">
        <f t="shared" si="80"/>
        <v>689746.65464438545</v>
      </c>
      <c r="G243" s="267">
        <v>1</v>
      </c>
      <c r="H243" s="360">
        <f t="shared" si="83"/>
        <v>2.983098E-2</v>
      </c>
      <c r="I243" s="345">
        <f t="shared" si="69"/>
        <v>20575.818659763569</v>
      </c>
      <c r="K243" s="709">
        <v>729333.39592302637</v>
      </c>
      <c r="L243" s="360">
        <f t="shared" si="84"/>
        <v>1</v>
      </c>
      <c r="M243" s="360">
        <f t="shared" si="85"/>
        <v>2.983098E-2</v>
      </c>
      <c r="N243" s="345">
        <f t="shared" si="72"/>
        <v>21756.729947111882</v>
      </c>
      <c r="P243" s="552"/>
      <c r="R243" s="243"/>
    </row>
    <row r="244" spans="1:18">
      <c r="A244" s="605">
        <f t="shared" si="63"/>
        <v>230</v>
      </c>
      <c r="B244" s="619">
        <v>39510</v>
      </c>
      <c r="C244" s="98" t="s">
        <v>1422</v>
      </c>
      <c r="D244" s="709">
        <v>0</v>
      </c>
      <c r="E244" s="338">
        <v>0</v>
      </c>
      <c r="F244" s="716">
        <f t="shared" si="80"/>
        <v>0</v>
      </c>
      <c r="G244" s="267">
        <v>1</v>
      </c>
      <c r="H244" s="360">
        <f t="shared" si="83"/>
        <v>2.983098E-2</v>
      </c>
      <c r="I244" s="345">
        <f t="shared" si="69"/>
        <v>0</v>
      </c>
      <c r="K244" s="709">
        <v>0</v>
      </c>
      <c r="L244" s="360">
        <f t="shared" si="84"/>
        <v>1</v>
      </c>
      <c r="M244" s="360">
        <f t="shared" si="85"/>
        <v>2.983098E-2</v>
      </c>
      <c r="N244" s="345">
        <f t="shared" si="72"/>
        <v>0</v>
      </c>
      <c r="P244" s="552"/>
      <c r="R244" s="243"/>
    </row>
    <row r="245" spans="1:18">
      <c r="A245" s="605">
        <f t="shared" si="63"/>
        <v>231</v>
      </c>
      <c r="B245" s="619">
        <v>39700</v>
      </c>
      <c r="C245" s="98" t="s">
        <v>418</v>
      </c>
      <c r="D245" s="709">
        <v>1913117.1099999999</v>
      </c>
      <c r="E245" s="338">
        <v>0</v>
      </c>
      <c r="F245" s="716">
        <f t="shared" si="68"/>
        <v>1913117.1099999999</v>
      </c>
      <c r="G245" s="360">
        <f>$G$232</f>
        <v>0.109</v>
      </c>
      <c r="H245" s="360">
        <f>$H$232</f>
        <v>0.49459999999999998</v>
      </c>
      <c r="I245" s="345">
        <f t="shared" si="69"/>
        <v>103138.821764054</v>
      </c>
      <c r="K245" s="709">
        <v>1913117.1099999996</v>
      </c>
      <c r="L245" s="360">
        <f t="shared" si="70"/>
        <v>0.109</v>
      </c>
      <c r="M245" s="360">
        <f t="shared" si="71"/>
        <v>0.49459999999999998</v>
      </c>
      <c r="N245" s="345">
        <f t="shared" si="72"/>
        <v>103138.82176405398</v>
      </c>
      <c r="P245" s="552"/>
      <c r="R245" s="243"/>
    </row>
    <row r="246" spans="1:18">
      <c r="A246" s="605">
        <f t="shared" si="63"/>
        <v>232</v>
      </c>
      <c r="B246" s="619">
        <v>39710</v>
      </c>
      <c r="C246" s="98" t="s">
        <v>1158</v>
      </c>
      <c r="D246" s="709">
        <v>92838.24</v>
      </c>
      <c r="E246" s="338">
        <v>0</v>
      </c>
      <c r="F246" s="716">
        <f>D246+E246</f>
        <v>92838.24</v>
      </c>
      <c r="G246" s="267">
        <v>1</v>
      </c>
      <c r="H246" s="360">
        <f>$H$233</f>
        <v>2.983098E-2</v>
      </c>
      <c r="I246" s="345">
        <f t="shared" si="69"/>
        <v>2769.4556806752003</v>
      </c>
      <c r="K246" s="709">
        <v>92838.24</v>
      </c>
      <c r="L246" s="360">
        <f>G246</f>
        <v>1</v>
      </c>
      <c r="M246" s="360">
        <f>H246</f>
        <v>2.983098E-2</v>
      </c>
      <c r="N246" s="345">
        <f t="shared" si="72"/>
        <v>2769.4556806752003</v>
      </c>
      <c r="P246" s="552"/>
      <c r="R246" s="243"/>
    </row>
    <row r="247" spans="1:18">
      <c r="A247" s="605">
        <f t="shared" si="63"/>
        <v>233</v>
      </c>
      <c r="B247" s="619">
        <v>39800</v>
      </c>
      <c r="C247" s="98" t="s">
        <v>623</v>
      </c>
      <c r="D247" s="709">
        <v>133347.03</v>
      </c>
      <c r="E247" s="338">
        <v>0</v>
      </c>
      <c r="F247" s="716">
        <f t="shared" si="68"/>
        <v>133347.03</v>
      </c>
      <c r="G247" s="360">
        <f t="shared" ref="G247:G255" si="86">$G$232</f>
        <v>0.109</v>
      </c>
      <c r="H247" s="360">
        <f t="shared" ref="H247:H255" si="87">$H$232</f>
        <v>0.49459999999999998</v>
      </c>
      <c r="I247" s="345">
        <f t="shared" si="69"/>
        <v>7188.9250731419997</v>
      </c>
      <c r="K247" s="709">
        <v>133347.03</v>
      </c>
      <c r="L247" s="360">
        <f t="shared" si="70"/>
        <v>0.109</v>
      </c>
      <c r="M247" s="360">
        <f t="shared" si="71"/>
        <v>0.49459999999999998</v>
      </c>
      <c r="N247" s="345">
        <f t="shared" si="72"/>
        <v>7188.9250731419997</v>
      </c>
      <c r="P247" s="552"/>
      <c r="R247" s="243"/>
    </row>
    <row r="248" spans="1:18">
      <c r="A248" s="605">
        <f t="shared" si="63"/>
        <v>234</v>
      </c>
      <c r="B248" s="619">
        <v>39810</v>
      </c>
      <c r="C248" s="98" t="s">
        <v>1423</v>
      </c>
      <c r="D248" s="709">
        <v>652864.54416091694</v>
      </c>
      <c r="E248" s="338">
        <v>0</v>
      </c>
      <c r="F248" s="716">
        <f t="shared" si="68"/>
        <v>652864.54416091694</v>
      </c>
      <c r="G248" s="187">
        <v>1</v>
      </c>
      <c r="H248" s="360">
        <f t="shared" ref="H248" si="88">$H$233</f>
        <v>2.983098E-2</v>
      </c>
      <c r="I248" s="345">
        <f t="shared" si="69"/>
        <v>19475.589159573428</v>
      </c>
      <c r="K248" s="709">
        <v>607525.98905014596</v>
      </c>
      <c r="L248" s="360">
        <f t="shared" si="70"/>
        <v>1</v>
      </c>
      <c r="M248" s="360">
        <f t="shared" si="71"/>
        <v>2.983098E-2</v>
      </c>
      <c r="N248" s="345">
        <f t="shared" si="72"/>
        <v>18123.095628835123</v>
      </c>
      <c r="P248" s="552"/>
      <c r="R248" s="243"/>
    </row>
    <row r="249" spans="1:18">
      <c r="A249" s="605">
        <f t="shared" si="63"/>
        <v>235</v>
      </c>
      <c r="B249" s="619">
        <v>39900</v>
      </c>
      <c r="C249" s="98" t="s">
        <v>1110</v>
      </c>
      <c r="D249" s="709">
        <v>0</v>
      </c>
      <c r="E249" s="338">
        <v>0</v>
      </c>
      <c r="F249" s="716">
        <f t="shared" si="68"/>
        <v>0</v>
      </c>
      <c r="G249" s="360">
        <f t="shared" si="86"/>
        <v>0.109</v>
      </c>
      <c r="H249" s="360">
        <f t="shared" si="87"/>
        <v>0.49459999999999998</v>
      </c>
      <c r="I249" s="345">
        <f t="shared" si="69"/>
        <v>0</v>
      </c>
      <c r="K249" s="709">
        <v>0</v>
      </c>
      <c r="L249" s="360">
        <f t="shared" si="70"/>
        <v>0.109</v>
      </c>
      <c r="M249" s="360">
        <f t="shared" si="71"/>
        <v>0.49459999999999998</v>
      </c>
      <c r="N249" s="345">
        <f t="shared" si="72"/>
        <v>0</v>
      </c>
      <c r="P249" s="552"/>
      <c r="R249" s="243"/>
    </row>
    <row r="250" spans="1:18">
      <c r="A250" s="605">
        <f t="shared" si="63"/>
        <v>236</v>
      </c>
      <c r="B250" s="619">
        <v>39901</v>
      </c>
      <c r="C250" s="98" t="s">
        <v>452</v>
      </c>
      <c r="D250" s="709">
        <v>5650663.1399999997</v>
      </c>
      <c r="E250" s="338">
        <v>0</v>
      </c>
      <c r="F250" s="716">
        <f t="shared" si="68"/>
        <v>5650663.1399999997</v>
      </c>
      <c r="G250" s="360">
        <f t="shared" si="86"/>
        <v>0.109</v>
      </c>
      <c r="H250" s="360">
        <f t="shared" si="87"/>
        <v>0.49459999999999998</v>
      </c>
      <c r="I250" s="345">
        <f t="shared" si="69"/>
        <v>304635.16080579598</v>
      </c>
      <c r="K250" s="709">
        <v>5650663.1399999997</v>
      </c>
      <c r="L250" s="360">
        <f t="shared" si="70"/>
        <v>0.109</v>
      </c>
      <c r="M250" s="360">
        <f t="shared" si="71"/>
        <v>0.49459999999999998</v>
      </c>
      <c r="N250" s="345">
        <f t="shared" si="72"/>
        <v>304635.16080579598</v>
      </c>
      <c r="P250" s="552"/>
      <c r="R250" s="243"/>
    </row>
    <row r="251" spans="1:18">
      <c r="A251" s="605">
        <f t="shared" si="63"/>
        <v>237</v>
      </c>
      <c r="B251" s="619">
        <v>39902</v>
      </c>
      <c r="C251" s="98" t="s">
        <v>924</v>
      </c>
      <c r="D251" s="709">
        <v>1824739.9100000001</v>
      </c>
      <c r="E251" s="338">
        <v>0</v>
      </c>
      <c r="F251" s="716">
        <f t="shared" si="68"/>
        <v>1824739.9100000001</v>
      </c>
      <c r="G251" s="360">
        <f t="shared" si="86"/>
        <v>0.109</v>
      </c>
      <c r="H251" s="360">
        <f t="shared" si="87"/>
        <v>0.49459999999999998</v>
      </c>
      <c r="I251" s="345">
        <f t="shared" si="69"/>
        <v>98374.28318397401</v>
      </c>
      <c r="K251" s="709">
        <v>1824739.9100000001</v>
      </c>
      <c r="L251" s="360">
        <f t="shared" si="70"/>
        <v>0.109</v>
      </c>
      <c r="M251" s="360">
        <f t="shared" si="71"/>
        <v>0.49459999999999998</v>
      </c>
      <c r="N251" s="345">
        <f t="shared" si="72"/>
        <v>98374.28318397401</v>
      </c>
      <c r="P251" s="552"/>
      <c r="R251" s="243"/>
    </row>
    <row r="252" spans="1:18">
      <c r="A252" s="605">
        <f t="shared" si="63"/>
        <v>238</v>
      </c>
      <c r="B252" s="619">
        <v>39903</v>
      </c>
      <c r="C252" s="98" t="s">
        <v>967</v>
      </c>
      <c r="D252" s="709">
        <v>659278.31000000006</v>
      </c>
      <c r="E252" s="338">
        <v>0</v>
      </c>
      <c r="F252" s="716">
        <f t="shared" si="68"/>
        <v>659278.31000000006</v>
      </c>
      <c r="G252" s="360">
        <f t="shared" si="86"/>
        <v>0.109</v>
      </c>
      <c r="H252" s="360">
        <f t="shared" si="87"/>
        <v>0.49459999999999998</v>
      </c>
      <c r="I252" s="345">
        <f>F252*G252*H252</f>
        <v>35542.616681734005</v>
      </c>
      <c r="K252" s="709">
        <v>659278.31000000029</v>
      </c>
      <c r="L252" s="360">
        <f t="shared" si="70"/>
        <v>0.109</v>
      </c>
      <c r="M252" s="360">
        <f t="shared" si="71"/>
        <v>0.49459999999999998</v>
      </c>
      <c r="N252" s="345">
        <f t="shared" si="72"/>
        <v>35542.616681734013</v>
      </c>
      <c r="P252" s="552"/>
      <c r="R252" s="243"/>
    </row>
    <row r="253" spans="1:18">
      <c r="A253" s="605">
        <f t="shared" si="63"/>
        <v>239</v>
      </c>
      <c r="B253" s="619">
        <v>39906</v>
      </c>
      <c r="C253" s="98" t="s">
        <v>429</v>
      </c>
      <c r="D253" s="709">
        <v>1673779.5899999999</v>
      </c>
      <c r="E253" s="338">
        <v>0</v>
      </c>
      <c r="F253" s="716">
        <f t="shared" si="68"/>
        <v>1673779.5899999999</v>
      </c>
      <c r="G253" s="360">
        <f t="shared" si="86"/>
        <v>0.109</v>
      </c>
      <c r="H253" s="360">
        <f t="shared" si="87"/>
        <v>0.49459999999999998</v>
      </c>
      <c r="I253" s="345">
        <f t="shared" si="69"/>
        <v>90235.80098832598</v>
      </c>
      <c r="K253" s="709">
        <v>1673779.5899999999</v>
      </c>
      <c r="L253" s="360">
        <f t="shared" si="70"/>
        <v>0.109</v>
      </c>
      <c r="M253" s="360">
        <f t="shared" si="71"/>
        <v>0.49459999999999998</v>
      </c>
      <c r="N253" s="345">
        <f t="shared" si="72"/>
        <v>90235.80098832598</v>
      </c>
      <c r="P253" s="552"/>
      <c r="R253" s="243"/>
    </row>
    <row r="254" spans="1:18">
      <c r="A254" s="605">
        <f t="shared" si="63"/>
        <v>240</v>
      </c>
      <c r="B254" s="619">
        <v>39907</v>
      </c>
      <c r="C254" s="98" t="s">
        <v>479</v>
      </c>
      <c r="D254" s="709">
        <v>0</v>
      </c>
      <c r="E254" s="338">
        <v>0</v>
      </c>
      <c r="F254" s="716">
        <f t="shared" si="68"/>
        <v>0</v>
      </c>
      <c r="G254" s="360">
        <f t="shared" si="86"/>
        <v>0.109</v>
      </c>
      <c r="H254" s="360">
        <f t="shared" si="87"/>
        <v>0.49459999999999998</v>
      </c>
      <c r="I254" s="345">
        <f t="shared" si="69"/>
        <v>0</v>
      </c>
      <c r="K254" s="709">
        <v>0</v>
      </c>
      <c r="L254" s="360">
        <f t="shared" si="70"/>
        <v>0.109</v>
      </c>
      <c r="M254" s="360">
        <f t="shared" si="71"/>
        <v>0.49459999999999998</v>
      </c>
      <c r="N254" s="345">
        <f t="shared" si="72"/>
        <v>0</v>
      </c>
      <c r="P254" s="552"/>
      <c r="R254" s="243"/>
    </row>
    <row r="255" spans="1:18">
      <c r="A255" s="605">
        <f t="shared" si="63"/>
        <v>241</v>
      </c>
      <c r="B255" s="619">
        <v>39908</v>
      </c>
      <c r="C255" s="98" t="s">
        <v>173</v>
      </c>
      <c r="D255" s="709">
        <v>104503554.15449008</v>
      </c>
      <c r="E255" s="338">
        <v>0</v>
      </c>
      <c r="F255" s="716">
        <f t="shared" si="68"/>
        <v>104503554.15449008</v>
      </c>
      <c r="G255" s="360">
        <f t="shared" si="86"/>
        <v>0.109</v>
      </c>
      <c r="H255" s="360">
        <f t="shared" si="87"/>
        <v>0.49459999999999998</v>
      </c>
      <c r="I255" s="345">
        <f t="shared" si="69"/>
        <v>5633932.9094443759</v>
      </c>
      <c r="K255" s="709">
        <v>103528616.29393125</v>
      </c>
      <c r="L255" s="360">
        <f t="shared" si="70"/>
        <v>0.109</v>
      </c>
      <c r="M255" s="360">
        <f t="shared" si="71"/>
        <v>0.49459999999999998</v>
      </c>
      <c r="N255" s="345">
        <f t="shared" si="72"/>
        <v>5581372.6444686446</v>
      </c>
      <c r="P255" s="552"/>
      <c r="R255" s="243"/>
    </row>
    <row r="256" spans="1:18">
      <c r="A256" s="605">
        <f t="shared" si="63"/>
        <v>242</v>
      </c>
      <c r="B256" s="619">
        <v>39910</v>
      </c>
      <c r="C256" s="98" t="s">
        <v>1159</v>
      </c>
      <c r="D256" s="709">
        <v>217244.96692900255</v>
      </c>
      <c r="E256" s="338">
        <v>0</v>
      </c>
      <c r="F256" s="716">
        <f>D256+E256</f>
        <v>217244.96692900255</v>
      </c>
      <c r="G256" s="267">
        <v>1</v>
      </c>
      <c r="H256" s="360">
        <f>$H$233</f>
        <v>2.983098E-2</v>
      </c>
      <c r="I256" s="345">
        <f t="shared" si="69"/>
        <v>6480.6302635597367</v>
      </c>
      <c r="K256" s="709">
        <v>197683.03121355971</v>
      </c>
      <c r="L256" s="360">
        <f>G256</f>
        <v>1</v>
      </c>
      <c r="M256" s="360">
        <f>H256</f>
        <v>2.983098E-2</v>
      </c>
      <c r="N256" s="345">
        <f t="shared" si="72"/>
        <v>5897.0785504710757</v>
      </c>
      <c r="P256" s="552"/>
      <c r="R256" s="243"/>
    </row>
    <row r="257" spans="1:18">
      <c r="A257" s="605">
        <f t="shared" si="63"/>
        <v>243</v>
      </c>
      <c r="B257" s="619">
        <v>39916</v>
      </c>
      <c r="C257" t="s">
        <v>1160</v>
      </c>
      <c r="D257" s="709">
        <v>116342.47</v>
      </c>
      <c r="E257" s="338">
        <v>0</v>
      </c>
      <c r="F257" s="716">
        <f t="shared" ref="F257:F260" si="89">D257+E257</f>
        <v>116342.47</v>
      </c>
      <c r="G257" s="267">
        <v>1</v>
      </c>
      <c r="H257" s="360">
        <f>$H$233</f>
        <v>2.983098E-2</v>
      </c>
      <c r="I257" s="345">
        <f t="shared" si="69"/>
        <v>3470.6098957206</v>
      </c>
      <c r="K257" s="709">
        <v>116342.46999999999</v>
      </c>
      <c r="L257" s="360">
        <f t="shared" ref="L257:L258" si="90">G257</f>
        <v>1</v>
      </c>
      <c r="M257" s="360">
        <f t="shared" ref="M257:M258" si="91">H257</f>
        <v>2.983098E-2</v>
      </c>
      <c r="N257" s="345">
        <f t="shared" si="72"/>
        <v>3470.6098957205995</v>
      </c>
      <c r="P257" s="552"/>
      <c r="R257" s="243"/>
    </row>
    <row r="258" spans="1:18">
      <c r="A258" s="605">
        <f t="shared" si="63"/>
        <v>244</v>
      </c>
      <c r="B258" s="619">
        <v>39917</v>
      </c>
      <c r="C258" t="s">
        <v>1161</v>
      </c>
      <c r="D258" s="709">
        <v>3299.04</v>
      </c>
      <c r="E258" s="338">
        <v>0</v>
      </c>
      <c r="F258" s="716">
        <f t="shared" si="89"/>
        <v>3299.04</v>
      </c>
      <c r="G258" s="267">
        <v>1</v>
      </c>
      <c r="H258" s="360">
        <f>$H$233</f>
        <v>2.983098E-2</v>
      </c>
      <c r="I258" s="345">
        <f t="shared" si="69"/>
        <v>98.413596259200006</v>
      </c>
      <c r="K258" s="709">
        <v>3299.0400000000004</v>
      </c>
      <c r="L258" s="360">
        <f t="shared" si="90"/>
        <v>1</v>
      </c>
      <c r="M258" s="360">
        <f t="shared" si="91"/>
        <v>2.983098E-2</v>
      </c>
      <c r="N258" s="345">
        <f t="shared" si="72"/>
        <v>98.413596259200006</v>
      </c>
      <c r="P258" s="552"/>
      <c r="R258" s="243"/>
    </row>
    <row r="259" spans="1:18">
      <c r="A259" s="605">
        <f t="shared" si="63"/>
        <v>245</v>
      </c>
      <c r="B259" s="619">
        <v>39918</v>
      </c>
      <c r="C259" t="s">
        <v>1424</v>
      </c>
      <c r="D259" s="709">
        <v>0</v>
      </c>
      <c r="E259" s="338">
        <v>0</v>
      </c>
      <c r="F259" s="716">
        <f t="shared" si="89"/>
        <v>0</v>
      </c>
      <c r="G259" s="267">
        <v>1</v>
      </c>
      <c r="H259" s="360">
        <f>$H$233</f>
        <v>2.983098E-2</v>
      </c>
      <c r="I259" s="345">
        <f t="shared" si="69"/>
        <v>0</v>
      </c>
      <c r="K259" s="709">
        <v>0</v>
      </c>
      <c r="L259" s="360">
        <f t="shared" ref="L259:L260" si="92">G259</f>
        <v>1</v>
      </c>
      <c r="M259" s="360">
        <f t="shared" ref="M259:M260" si="93">H259</f>
        <v>2.983098E-2</v>
      </c>
      <c r="N259" s="345">
        <f t="shared" si="72"/>
        <v>0</v>
      </c>
      <c r="P259" s="552"/>
      <c r="R259" s="243"/>
    </row>
    <row r="260" spans="1:18">
      <c r="A260" s="605">
        <f t="shared" si="63"/>
        <v>246</v>
      </c>
      <c r="B260" s="619">
        <v>39924</v>
      </c>
      <c r="C260" t="s">
        <v>1425</v>
      </c>
      <c r="D260" s="709">
        <v>0</v>
      </c>
      <c r="E260" s="338">
        <v>0</v>
      </c>
      <c r="F260" s="716">
        <f t="shared" si="89"/>
        <v>0</v>
      </c>
      <c r="G260" s="360">
        <f t="shared" ref="G260" si="94">$G$232</f>
        <v>0.109</v>
      </c>
      <c r="H260" s="360">
        <f t="shared" ref="H260" si="95">$H$232</f>
        <v>0.49459999999999998</v>
      </c>
      <c r="I260" s="345">
        <f t="shared" si="69"/>
        <v>0</v>
      </c>
      <c r="K260" s="709">
        <v>0</v>
      </c>
      <c r="L260" s="360">
        <f t="shared" si="92"/>
        <v>0.109</v>
      </c>
      <c r="M260" s="360">
        <f t="shared" si="93"/>
        <v>0.49459999999999998</v>
      </c>
      <c r="N260" s="345">
        <f t="shared" si="72"/>
        <v>0</v>
      </c>
      <c r="P260" s="552"/>
      <c r="R260" s="243"/>
    </row>
    <row r="261" spans="1:18">
      <c r="A261" s="605">
        <f t="shared" si="63"/>
        <v>247</v>
      </c>
      <c r="B261" s="30"/>
      <c r="C261" s="98"/>
      <c r="D261" s="339"/>
      <c r="E261" s="339"/>
      <c r="F261" s="339"/>
      <c r="I261" s="339"/>
      <c r="K261" s="339"/>
      <c r="N261" s="339"/>
    </row>
    <row r="262" spans="1:18" ht="15.75" thickBot="1">
      <c r="A262" s="605">
        <f t="shared" si="63"/>
        <v>248</v>
      </c>
      <c r="B262" s="30"/>
      <c r="C262" s="98" t="s">
        <v>1249</v>
      </c>
      <c r="D262" s="715">
        <f>SUM(D232:D260)</f>
        <v>155821563.85401472</v>
      </c>
      <c r="E262" s="715">
        <f>SUM(E232:E260)</f>
        <v>0</v>
      </c>
      <c r="F262" s="715">
        <f>SUM(F232:F260)</f>
        <v>155821563.85401472</v>
      </c>
      <c r="I262" s="715">
        <f>SUM(I232:I260)</f>
        <v>7987951.7578221513</v>
      </c>
      <c r="K262" s="715">
        <f>SUM(K232:K260)</f>
        <v>154724069.54259655</v>
      </c>
      <c r="N262" s="715">
        <f>SUM(N232:N260)</f>
        <v>7931346.231498328</v>
      </c>
      <c r="P262" s="338"/>
      <c r="Q262" s="338"/>
    </row>
    <row r="263" spans="1:18" ht="15.75" thickTop="1">
      <c r="A263" s="605">
        <f t="shared" si="63"/>
        <v>249</v>
      </c>
      <c r="B263" s="30"/>
      <c r="C263" s="98"/>
      <c r="D263" s="186"/>
      <c r="E263" s="186"/>
      <c r="F263" s="186"/>
      <c r="I263" s="186"/>
      <c r="K263" s="186"/>
      <c r="N263" s="186"/>
    </row>
    <row r="264" spans="1:18">
      <c r="A264" s="605">
        <f t="shared" si="63"/>
        <v>250</v>
      </c>
      <c r="B264" s="30"/>
      <c r="C264" s="30"/>
      <c r="D264" s="706"/>
      <c r="E264" s="713"/>
      <c r="F264" s="713"/>
      <c r="G264" s="360"/>
      <c r="H264" s="360"/>
      <c r="I264" s="713"/>
      <c r="K264" s="706"/>
      <c r="L264" s="360"/>
      <c r="M264" s="360"/>
      <c r="N264" s="713"/>
    </row>
    <row r="265" spans="1:18">
      <c r="A265" s="605">
        <f t="shared" si="63"/>
        <v>251</v>
      </c>
    </row>
    <row r="266" spans="1:18" ht="15.75" thickBot="1">
      <c r="A266" s="605">
        <f t="shared" si="63"/>
        <v>252</v>
      </c>
      <c r="C266" s="98" t="s">
        <v>720</v>
      </c>
      <c r="D266" s="715">
        <f>D262+D225+D179+D117</f>
        <v>1343699841.3633344</v>
      </c>
      <c r="E266" s="715">
        <f>E262+E225+E179+E117</f>
        <v>0</v>
      </c>
      <c r="F266" s="715">
        <f>F262+F225+F179+F117</f>
        <v>1343699841.3633344</v>
      </c>
      <c r="I266" s="715">
        <f>I262+I225+I179+I117</f>
        <v>931028844.08598149</v>
      </c>
      <c r="K266" s="715">
        <f>K262+K225+K179+K117</f>
        <v>1309113783.6427228</v>
      </c>
      <c r="N266" s="715">
        <f>N262+N225+N179+N117</f>
        <v>913547893.64877605</v>
      </c>
    </row>
    <row r="267" spans="1:18" ht="15.75" thickTop="1">
      <c r="A267" s="605">
        <f t="shared" si="63"/>
        <v>253</v>
      </c>
    </row>
    <row r="268" spans="1:18">
      <c r="A268" s="605">
        <f t="shared" si="63"/>
        <v>254</v>
      </c>
      <c r="C268" s="1051"/>
      <c r="D268" s="713"/>
      <c r="E268" s="713"/>
      <c r="F268" s="713"/>
      <c r="I268" s="713"/>
      <c r="K268" s="713"/>
      <c r="N268" s="713"/>
    </row>
    <row r="272" spans="1:18">
      <c r="C272" t="s">
        <v>492</v>
      </c>
    </row>
    <row r="273" spans="3:3">
      <c r="C273" t="s">
        <v>1611</v>
      </c>
    </row>
    <row r="275" spans="3:3">
      <c r="C275" s="652" t="s">
        <v>1551</v>
      </c>
    </row>
  </sheetData>
  <mergeCells count="4">
    <mergeCell ref="A1:N1"/>
    <mergeCell ref="A2:N2"/>
    <mergeCell ref="A3:N3"/>
    <mergeCell ref="A4:N4"/>
  </mergeCells>
  <phoneticPr fontId="20" type="noConversion"/>
  <pageMargins left="0.72" right="0.57999999999999996" top="1" bottom="1" header="0.5" footer="0.5"/>
  <pageSetup scale="52" orientation="landscape" r:id="rId1"/>
  <headerFooter alignWithMargins="0">
    <oddFooter>&amp;RSchedule &amp;A
Page &amp;P of &amp;N</oddFooter>
  </headerFooter>
  <rowBreaks count="6" manualBreakCount="6">
    <brk id="47" max="13" man="1"/>
    <brk id="86" max="13" man="1"/>
    <brk id="119" max="13" man="1"/>
    <brk id="152" max="13" man="1"/>
    <brk id="181" max="13" man="1"/>
    <brk id="228" max="1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>
    <tabColor rgb="FF92D050"/>
    <pageSetUpPr fitToPage="1"/>
  </sheetPr>
  <dimension ref="A1:T29"/>
  <sheetViews>
    <sheetView view="pageBreakPreview" zoomScale="80" zoomScaleNormal="100" zoomScaleSheetLayoutView="80" workbookViewId="0">
      <selection activeCell="H36" sqref="H36"/>
    </sheetView>
  </sheetViews>
  <sheetFormatPr defaultColWidth="10.109375" defaultRowHeight="15"/>
  <cols>
    <col min="1" max="1" width="5" style="1" customWidth="1"/>
    <col min="2" max="2" width="4.77734375" style="1" customWidth="1"/>
    <col min="3" max="3" width="16.109375" style="1" customWidth="1"/>
    <col min="4" max="4" width="5" style="1" customWidth="1"/>
    <col min="5" max="5" width="11" style="1" customWidth="1"/>
    <col min="6" max="6" width="5" style="1" customWidth="1"/>
    <col min="7" max="7" width="16.21875" style="1" customWidth="1"/>
    <col min="8" max="8" width="5" style="1" customWidth="1"/>
    <col min="9" max="9" width="10.109375" style="1"/>
    <col min="10" max="10" width="5" style="1" customWidth="1"/>
    <col min="11" max="11" width="10.109375" style="1"/>
    <col min="12" max="12" width="5" style="1" customWidth="1"/>
    <col min="13" max="13" width="10.6640625" style="1" customWidth="1"/>
    <col min="14" max="14" width="6.6640625" style="1" customWidth="1"/>
    <col min="15" max="15" width="12.5546875" style="1" customWidth="1"/>
    <col min="16" max="16" width="2.44140625" style="1" customWidth="1"/>
    <col min="17" max="17" width="10.109375" style="1"/>
    <col min="18" max="18" width="2.44140625" style="1" customWidth="1"/>
    <col min="19" max="19" width="10.109375" style="1"/>
    <col min="20" max="20" width="2.44140625" style="1" customWidth="1"/>
    <col min="21" max="21" width="10.109375" style="1"/>
    <col min="22" max="22" width="6.6640625" style="1" customWidth="1"/>
    <col min="23" max="16384" width="10.109375" style="1"/>
  </cols>
  <sheetData>
    <row r="1" spans="1:20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O1" s="10"/>
    </row>
    <row r="2" spans="1:20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</row>
    <row r="3" spans="1:20">
      <c r="A3" s="1072" t="s">
        <v>2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</row>
    <row r="4" spans="1:20">
      <c r="A4" s="1072" t="s">
        <v>1519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7" spans="1:20">
      <c r="A7" s="4" t="s">
        <v>1104</v>
      </c>
      <c r="M7" s="84" t="s">
        <v>1327</v>
      </c>
    </row>
    <row r="8" spans="1:20">
      <c r="A8" s="48" t="s">
        <v>588</v>
      </c>
      <c r="K8" s="4"/>
      <c r="M8" s="17" t="s">
        <v>747</v>
      </c>
    </row>
    <row r="9" spans="1:20">
      <c r="A9" s="5" t="s">
        <v>356</v>
      </c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704" t="str">
        <f>'J-1 Base'!$M$9</f>
        <v>Witness: Christian</v>
      </c>
    </row>
    <row r="10" spans="1:20">
      <c r="L10" s="15"/>
      <c r="M10" s="15"/>
      <c r="N10" s="15"/>
    </row>
    <row r="11" spans="1:20">
      <c r="A11" s="2" t="s">
        <v>88</v>
      </c>
      <c r="E11" s="2" t="s">
        <v>90</v>
      </c>
      <c r="I11" s="2" t="s">
        <v>98</v>
      </c>
      <c r="M11" s="2" t="s">
        <v>339</v>
      </c>
    </row>
    <row r="12" spans="1:20">
      <c r="A12" s="9" t="s">
        <v>94</v>
      </c>
      <c r="B12" s="6"/>
      <c r="C12" s="5" t="s">
        <v>338</v>
      </c>
      <c r="D12" s="6"/>
      <c r="E12" s="9" t="s">
        <v>96</v>
      </c>
      <c r="F12" s="6"/>
      <c r="G12" s="9" t="s">
        <v>99</v>
      </c>
      <c r="H12" s="6"/>
      <c r="I12" s="9" t="s">
        <v>39</v>
      </c>
      <c r="J12" s="6"/>
      <c r="K12" s="9" t="s">
        <v>1115</v>
      </c>
      <c r="L12" s="6"/>
      <c r="M12" s="9" t="s">
        <v>0</v>
      </c>
      <c r="O12" s="431"/>
      <c r="P12" s="10"/>
      <c r="Q12" s="10"/>
      <c r="R12" s="10"/>
      <c r="S12" s="10"/>
      <c r="T12" s="10"/>
    </row>
    <row r="13" spans="1:20">
      <c r="E13" s="2" t="s">
        <v>1042</v>
      </c>
      <c r="G13" s="2" t="s">
        <v>1043</v>
      </c>
      <c r="I13" s="2" t="s">
        <v>1044</v>
      </c>
      <c r="K13" s="2" t="s">
        <v>14</v>
      </c>
      <c r="M13" s="2" t="s">
        <v>36</v>
      </c>
      <c r="O13" s="359"/>
      <c r="P13" s="10"/>
      <c r="Q13" s="10"/>
      <c r="R13" s="10"/>
      <c r="S13" s="10"/>
      <c r="T13" s="10"/>
    </row>
    <row r="14" spans="1:20">
      <c r="G14" s="2" t="s">
        <v>596</v>
      </c>
      <c r="K14" s="2" t="s">
        <v>143</v>
      </c>
      <c r="M14" s="2" t="s">
        <v>143</v>
      </c>
      <c r="O14" s="10"/>
      <c r="P14" s="10"/>
      <c r="R14" s="10"/>
      <c r="S14" s="10"/>
      <c r="T14" s="10"/>
    </row>
    <row r="15" spans="1:20">
      <c r="O15" s="10"/>
      <c r="P15" s="10"/>
      <c r="R15" s="10"/>
      <c r="S15" s="10"/>
      <c r="T15" s="10"/>
    </row>
    <row r="16" spans="1:20">
      <c r="E16" s="10"/>
      <c r="F16" s="10"/>
      <c r="G16" s="10"/>
      <c r="H16" s="10"/>
      <c r="I16" s="11"/>
      <c r="J16" s="10"/>
      <c r="K16" s="3"/>
      <c r="L16" s="10"/>
      <c r="M16" s="3"/>
      <c r="N16" s="10"/>
      <c r="O16"/>
    </row>
    <row r="17" spans="1:20">
      <c r="E17" s="10"/>
      <c r="F17" s="10"/>
      <c r="G17" s="10"/>
      <c r="H17" s="10"/>
      <c r="I17" s="32"/>
      <c r="J17" s="10"/>
      <c r="K17" s="10"/>
      <c r="L17" s="10"/>
      <c r="M17" s="10"/>
      <c r="N17" s="10"/>
      <c r="O17"/>
    </row>
    <row r="18" spans="1:20" ht="15.75">
      <c r="C18" s="108" t="s">
        <v>1389</v>
      </c>
      <c r="E18" s="10"/>
      <c r="F18" s="10"/>
      <c r="G18" s="101"/>
      <c r="H18" s="10"/>
      <c r="I18" s="11"/>
      <c r="J18" s="10"/>
      <c r="K18" s="3"/>
      <c r="L18" s="10"/>
      <c r="M18" s="3"/>
      <c r="N18" s="10"/>
      <c r="O18"/>
    </row>
    <row r="19" spans="1:20">
      <c r="A19" s="4"/>
      <c r="C19" s="4"/>
      <c r="E19" s="10"/>
      <c r="F19" s="10"/>
      <c r="G19" s="10"/>
      <c r="H19" s="10"/>
      <c r="I19" s="10"/>
      <c r="J19" s="10"/>
      <c r="K19" s="3"/>
      <c r="L19" s="10"/>
      <c r="M19" s="10"/>
      <c r="N19" s="10"/>
      <c r="O19"/>
    </row>
    <row r="20" spans="1:20">
      <c r="A20" s="2">
        <v>1</v>
      </c>
      <c r="C20" s="4" t="s">
        <v>263</v>
      </c>
      <c r="E20" s="2"/>
      <c r="F20" s="10"/>
      <c r="G20" s="976">
        <f>J.1!P17</f>
        <v>37866.953405017921</v>
      </c>
      <c r="H20" s="10"/>
      <c r="I20" s="372">
        <f>G20/$G$28</f>
        <v>1.8922272560222364E-3</v>
      </c>
      <c r="J20" s="10"/>
      <c r="K20" s="977">
        <f>ROUND(+'J-2 F'!L20,4)</f>
        <v>0.1714</v>
      </c>
      <c r="L20" s="10"/>
      <c r="M20" s="955">
        <f>ROUND(I20*K20,4)</f>
        <v>2.9999999999999997E-4</v>
      </c>
      <c r="N20" s="10"/>
      <c r="O20"/>
      <c r="P20" s="10"/>
      <c r="Q20" s="10"/>
      <c r="R20" s="10"/>
      <c r="S20" s="10"/>
      <c r="T20" s="10"/>
    </row>
    <row r="21" spans="1:20">
      <c r="A21" s="38">
        <f>+A20+1</f>
        <v>2</v>
      </c>
      <c r="E21" s="10"/>
      <c r="F21" s="10"/>
      <c r="G21" s="44"/>
      <c r="H21" s="10"/>
      <c r="I21" s="11"/>
      <c r="J21" s="10"/>
      <c r="K21" s="63"/>
      <c r="L21" s="10"/>
      <c r="M21" s="33"/>
      <c r="N21" s="10"/>
      <c r="O21"/>
      <c r="P21" s="10"/>
      <c r="Q21" s="10"/>
      <c r="R21" s="10"/>
      <c r="S21" s="10"/>
      <c r="T21" s="10"/>
    </row>
    <row r="22" spans="1:20">
      <c r="A22" s="38">
        <f t="shared" ref="A22:A28" si="0">+A21+1</f>
        <v>3</v>
      </c>
      <c r="C22" s="4" t="s">
        <v>264</v>
      </c>
      <c r="E22" s="2" t="s">
        <v>267</v>
      </c>
      <c r="F22" s="10"/>
      <c r="G22" s="840">
        <f>+J.1!P19</f>
        <v>7790898.2290950017</v>
      </c>
      <c r="H22" s="10"/>
      <c r="I22" s="372">
        <f>G22/$G$28</f>
        <v>0.38931439295656112</v>
      </c>
      <c r="J22" s="10"/>
      <c r="K22" s="977">
        <f>ROUND('J-3 F'!K41,4)</f>
        <v>4.1099999999999998E-2</v>
      </c>
      <c r="L22" s="10"/>
      <c r="M22" s="955">
        <f>ROUND(I22*K22,4)</f>
        <v>1.6E-2</v>
      </c>
      <c r="N22" s="10"/>
      <c r="O22"/>
    </row>
    <row r="23" spans="1:20">
      <c r="A23" s="38">
        <f t="shared" si="0"/>
        <v>4</v>
      </c>
      <c r="E23" s="10"/>
      <c r="F23" s="10"/>
      <c r="G23" s="46"/>
      <c r="H23" s="10"/>
      <c r="I23" s="11"/>
      <c r="J23" s="10"/>
      <c r="K23" s="33"/>
      <c r="L23" s="10"/>
      <c r="M23" s="33"/>
      <c r="N23" s="10"/>
      <c r="O23"/>
    </row>
    <row r="24" spans="1:20">
      <c r="A24" s="38">
        <f t="shared" si="0"/>
        <v>5</v>
      </c>
      <c r="C24" s="4" t="s">
        <v>265</v>
      </c>
      <c r="E24" s="2" t="s">
        <v>268</v>
      </c>
      <c r="F24" s="10"/>
      <c r="G24" s="840">
        <f>+J.1!P23</f>
        <v>0</v>
      </c>
      <c r="H24" s="10"/>
      <c r="I24" s="372">
        <f>G24/$G$28</f>
        <v>0</v>
      </c>
      <c r="J24" s="10"/>
      <c r="K24" s="33">
        <v>0</v>
      </c>
      <c r="L24" s="10"/>
      <c r="M24" s="955">
        <f>ROUND(I24*K24,4)</f>
        <v>0</v>
      </c>
      <c r="N24" s="10"/>
      <c r="O24"/>
    </row>
    <row r="25" spans="1:20">
      <c r="A25" s="38">
        <f t="shared" si="0"/>
        <v>6</v>
      </c>
      <c r="E25" s="10"/>
      <c r="F25" s="10"/>
      <c r="G25" s="46"/>
      <c r="H25" s="10"/>
      <c r="I25" s="11"/>
      <c r="J25" s="10"/>
      <c r="K25" s="33"/>
      <c r="L25" s="10"/>
      <c r="M25" s="33"/>
      <c r="N25" s="10"/>
      <c r="O25"/>
    </row>
    <row r="26" spans="1:20">
      <c r="A26" s="38">
        <f t="shared" si="0"/>
        <v>7</v>
      </c>
      <c r="C26" s="4" t="s">
        <v>266</v>
      </c>
      <c r="E26" s="10"/>
      <c r="F26" s="10"/>
      <c r="G26" s="978">
        <f>+J.1!P25</f>
        <v>12183077.097279999</v>
      </c>
      <c r="H26" s="10"/>
      <c r="I26" s="963">
        <f>G26/$G$28</f>
        <v>0.60879337978741666</v>
      </c>
      <c r="J26" s="10"/>
      <c r="K26" s="954">
        <f>Allocation!E27</f>
        <v>0.1095</v>
      </c>
      <c r="L26" s="10"/>
      <c r="M26" s="958">
        <f>ROUND(I26*K26,4)</f>
        <v>6.6699999999999995E-2</v>
      </c>
      <c r="N26" s="10"/>
      <c r="O26"/>
    </row>
    <row r="27" spans="1:20">
      <c r="A27" s="38">
        <f t="shared" si="0"/>
        <v>8</v>
      </c>
      <c r="G27" s="10"/>
      <c r="I27" s="82"/>
      <c r="K27" s="3"/>
      <c r="M27" s="34"/>
      <c r="O27"/>
    </row>
    <row r="28" spans="1:20" ht="15.75" thickBot="1">
      <c r="A28" s="38">
        <f t="shared" si="0"/>
        <v>9</v>
      </c>
      <c r="C28" s="4" t="s">
        <v>380</v>
      </c>
      <c r="G28" s="754">
        <f>SUM(G20:G26)</f>
        <v>20011842.279780019</v>
      </c>
      <c r="I28" s="959">
        <f>SUM(I20:I26)</f>
        <v>1</v>
      </c>
      <c r="K28" s="11"/>
      <c r="M28" s="960">
        <f>(+M20+M22+M24+M26)</f>
        <v>8.299999999999999E-2</v>
      </c>
      <c r="O28"/>
    </row>
    <row r="29" spans="1:20" ht="15.75" thickTop="1"/>
  </sheetData>
  <mergeCells count="4">
    <mergeCell ref="A1:M1"/>
    <mergeCell ref="A2:M2"/>
    <mergeCell ref="A3:M3"/>
    <mergeCell ref="A4:M4"/>
  </mergeCells>
  <phoneticPr fontId="20" type="noConversion"/>
  <printOptions horizontalCentered="1"/>
  <pageMargins left="0.75" right="0.75" top="0.75" bottom="1.28" header="0.5" footer="0.43"/>
  <pageSetup scale="93" orientation="landscape" verticalDpi="300" r:id="rId1"/>
  <headerFooter alignWithMargins="0">
    <oddFooter>&amp;RSchedule &amp;A
Page &amp;P of &amp;N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>
    <tabColor rgb="FF92D050"/>
    <pageSetUpPr fitToPage="1"/>
  </sheetPr>
  <dimension ref="A1:N54"/>
  <sheetViews>
    <sheetView view="pageBreakPreview" zoomScale="80" zoomScaleNormal="100" zoomScaleSheetLayoutView="80" workbookViewId="0">
      <selection sqref="A1:K1"/>
    </sheetView>
  </sheetViews>
  <sheetFormatPr defaultColWidth="8.5546875" defaultRowHeight="15"/>
  <cols>
    <col min="1" max="1" width="3.88671875" customWidth="1"/>
    <col min="2" max="2" width="1" customWidth="1"/>
    <col min="3" max="3" width="53.5546875" bestFit="1" customWidth="1"/>
    <col min="4" max="4" width="4.109375" customWidth="1"/>
    <col min="5" max="5" width="14.88671875" customWidth="1"/>
    <col min="6" max="6" width="1.6640625" customWidth="1"/>
    <col min="7" max="7" width="6.44140625" customWidth="1"/>
    <col min="8" max="8" width="2" customWidth="1"/>
    <col min="9" max="9" width="13.33203125" customWidth="1"/>
    <col min="10" max="10" width="2.109375" customWidth="1"/>
    <col min="11" max="11" width="8.5546875" customWidth="1"/>
    <col min="13" max="13" width="12.6640625" customWidth="1"/>
  </cols>
  <sheetData>
    <row r="1" spans="1:12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</row>
    <row r="2" spans="1:12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</row>
    <row r="3" spans="1:12">
      <c r="A3" s="1053" t="s">
        <v>1045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</row>
    <row r="4" spans="1:12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</row>
    <row r="5" spans="1:1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2">
      <c r="K6" s="476" t="s">
        <v>1327</v>
      </c>
    </row>
    <row r="7" spans="1:12">
      <c r="A7" s="53" t="s">
        <v>1104</v>
      </c>
      <c r="K7" s="314" t="s">
        <v>46</v>
      </c>
    </row>
    <row r="8" spans="1:12">
      <c r="A8" s="48" t="s">
        <v>588</v>
      </c>
      <c r="K8" s="314" t="s">
        <v>822</v>
      </c>
    </row>
    <row r="9" spans="1:12">
      <c r="A9" s="54" t="s">
        <v>356</v>
      </c>
      <c r="B9" s="55"/>
      <c r="C9" s="55"/>
      <c r="D9" s="55"/>
      <c r="E9" s="55"/>
      <c r="F9" s="55"/>
      <c r="G9" s="55"/>
      <c r="H9" s="55"/>
      <c r="I9" s="55"/>
      <c r="J9" s="36"/>
      <c r="K9" s="704" t="str">
        <f>'J-1 Base'!$M$9</f>
        <v>Witness: Christian</v>
      </c>
    </row>
    <row r="10" spans="1:12">
      <c r="E10" s="37" t="s">
        <v>1010</v>
      </c>
      <c r="I10" s="57" t="s">
        <v>341</v>
      </c>
      <c r="K10" s="57" t="s">
        <v>1102</v>
      </c>
    </row>
    <row r="11" spans="1:12">
      <c r="A11" s="57" t="s">
        <v>88</v>
      </c>
      <c r="E11" s="57" t="s">
        <v>99</v>
      </c>
      <c r="G11" s="57" t="s">
        <v>260</v>
      </c>
      <c r="I11" s="57" t="s">
        <v>342</v>
      </c>
      <c r="K11" s="57" t="s">
        <v>260</v>
      </c>
    </row>
    <row r="12" spans="1:12">
      <c r="A12" s="58" t="s">
        <v>94</v>
      </c>
      <c r="B12" s="55"/>
      <c r="C12" s="58" t="s">
        <v>343</v>
      </c>
      <c r="D12" s="55"/>
      <c r="E12" s="58" t="s">
        <v>340</v>
      </c>
      <c r="F12" s="55"/>
      <c r="G12" s="58" t="s">
        <v>543</v>
      </c>
      <c r="H12" s="55"/>
      <c r="I12" s="58" t="s">
        <v>0</v>
      </c>
      <c r="J12" s="55"/>
      <c r="K12" s="58" t="s">
        <v>543</v>
      </c>
    </row>
    <row r="13" spans="1:12">
      <c r="C13" s="57" t="s">
        <v>1042</v>
      </c>
      <c r="E13" s="57" t="s">
        <v>1043</v>
      </c>
      <c r="G13" s="57" t="s">
        <v>1044</v>
      </c>
      <c r="I13" s="57" t="s">
        <v>14</v>
      </c>
      <c r="K13" s="57" t="s">
        <v>162</v>
      </c>
    </row>
    <row r="14" spans="1:12">
      <c r="E14" s="57"/>
      <c r="I14" s="57"/>
    </row>
    <row r="16" spans="1:12">
      <c r="A16" s="57">
        <v>1</v>
      </c>
      <c r="C16" s="699" t="str">
        <f>'J-3 B'!C16</f>
        <v>6.75% Debentures Unsecured due July 2028</v>
      </c>
      <c r="E16" s="730">
        <f>'J-3 B'!E16</f>
        <v>150000000</v>
      </c>
      <c r="F16" s="60"/>
      <c r="G16" s="979">
        <f>'J-3 B'!G16</f>
        <v>6.7500000000000004E-2</v>
      </c>
      <c r="H16" s="75"/>
      <c r="I16" s="691">
        <f t="shared" ref="I16" si="0">(E16*G16)</f>
        <v>10125000</v>
      </c>
      <c r="J16" s="60"/>
      <c r="K16" s="531"/>
      <c r="L16" s="60"/>
    </row>
    <row r="17" spans="1:12">
      <c r="A17" s="605">
        <f>A16+1</f>
        <v>2</v>
      </c>
      <c r="C17" s="699" t="str">
        <f>'J-3 B'!C17</f>
        <v>6.67% MTN A1 due Dec 2025</v>
      </c>
      <c r="E17" s="730">
        <f>'J-3 B'!E17</f>
        <v>10000000</v>
      </c>
      <c r="F17" s="60"/>
      <c r="G17" s="979">
        <f>'J-3 B'!G17</f>
        <v>6.6699999999999995E-2</v>
      </c>
      <c r="H17" s="75"/>
      <c r="I17" s="794">
        <f t="shared" ref="I17:I32" si="1">(E17*G17)</f>
        <v>667000</v>
      </c>
    </row>
    <row r="18" spans="1:12">
      <c r="A18" s="605">
        <f t="shared" ref="A18:A41" si="2">A17+1</f>
        <v>3</v>
      </c>
      <c r="C18" s="699" t="str">
        <f>'J-3 B'!C18</f>
        <v>5.95% Sr Note due 10/15/2034</v>
      </c>
      <c r="E18" s="730">
        <f>'J-3 B'!E18</f>
        <v>200000000</v>
      </c>
      <c r="G18" s="979">
        <f>'J-3 B'!G18</f>
        <v>5.9499999999999997E-2</v>
      </c>
      <c r="H18" s="60"/>
      <c r="I18" s="794">
        <f t="shared" si="1"/>
        <v>11900000</v>
      </c>
      <c r="J18" s="60"/>
      <c r="K18" s="531"/>
      <c r="L18" s="60"/>
    </row>
    <row r="19" spans="1:12">
      <c r="A19" s="605">
        <f t="shared" si="2"/>
        <v>4</v>
      </c>
      <c r="C19" s="699" t="str">
        <f>'J-3 B'!C19</f>
        <v>4.3% Sr Note due 10/1/2048</v>
      </c>
      <c r="E19" s="730">
        <f>'J-3 B'!E19</f>
        <v>600000000</v>
      </c>
      <c r="G19" s="979">
        <f>'J-3 B'!G19</f>
        <v>4.2999999999999997E-2</v>
      </c>
      <c r="H19" s="75"/>
      <c r="I19" s="794">
        <f t="shared" si="1"/>
        <v>25799999.999999996</v>
      </c>
      <c r="J19" s="60"/>
      <c r="K19" s="531"/>
      <c r="L19" s="60"/>
    </row>
    <row r="20" spans="1:12">
      <c r="A20" s="605">
        <f t="shared" si="2"/>
        <v>5</v>
      </c>
      <c r="C20" s="699" t="str">
        <f>'J-3 B'!C20</f>
        <v>Sr Note 5.50% Due 06/15/2041</v>
      </c>
      <c r="E20" s="730">
        <f>'J-3 B'!E20</f>
        <v>400000000</v>
      </c>
      <c r="G20" s="979">
        <f>'J-3 B'!G20</f>
        <v>5.5E-2</v>
      </c>
      <c r="H20" s="75"/>
      <c r="I20" s="794">
        <f t="shared" si="1"/>
        <v>22000000</v>
      </c>
      <c r="J20" s="60"/>
      <c r="K20" s="531"/>
      <c r="L20" s="60"/>
    </row>
    <row r="21" spans="1:12">
      <c r="A21" s="605">
        <f t="shared" si="2"/>
        <v>6</v>
      </c>
      <c r="C21" s="699" t="str">
        <f>'J-3 B'!C21</f>
        <v>4.15% Sr Note due 1/15/2043</v>
      </c>
      <c r="E21" s="730">
        <f>'J-3 B'!E21</f>
        <v>500000000</v>
      </c>
      <c r="G21" s="979">
        <f>'J-3 B'!G21</f>
        <v>4.1500000000000002E-2</v>
      </c>
      <c r="H21" s="75"/>
      <c r="I21" s="794">
        <f t="shared" si="1"/>
        <v>20750000</v>
      </c>
      <c r="J21" s="60"/>
      <c r="K21" s="531"/>
      <c r="L21" s="60"/>
    </row>
    <row r="22" spans="1:12">
      <c r="A22" s="605">
        <f t="shared" si="2"/>
        <v>7</v>
      </c>
      <c r="C22" s="699" t="str">
        <f>'J-3 B'!C22</f>
        <v>4.125% Sr Note due 10/15/2044 (500MM(2014) &amp; 250MM(2017)</v>
      </c>
      <c r="E22" s="730">
        <f>'J-3 B'!E22</f>
        <v>750000000</v>
      </c>
      <c r="G22" s="979">
        <f>'J-3 B'!G22</f>
        <v>4.1250000000000002E-2</v>
      </c>
      <c r="H22" s="75"/>
      <c r="I22" s="794">
        <f t="shared" si="1"/>
        <v>30937500</v>
      </c>
      <c r="J22" s="60"/>
      <c r="K22" s="531"/>
      <c r="L22" s="60"/>
    </row>
    <row r="23" spans="1:12">
      <c r="A23" s="605">
        <f t="shared" si="2"/>
        <v>8</v>
      </c>
      <c r="C23" s="699" t="str">
        <f>'J-3 B'!C23</f>
        <v>3.00% Sr Note due 6/15/2027</v>
      </c>
      <c r="E23" s="730">
        <f>'J-3 B'!E23</f>
        <v>500000000</v>
      </c>
      <c r="G23" s="979">
        <f>'J-3 B'!G23</f>
        <v>0.03</v>
      </c>
      <c r="H23" s="75"/>
      <c r="I23" s="794">
        <f t="shared" si="1"/>
        <v>15000000</v>
      </c>
      <c r="J23" s="60"/>
      <c r="K23" s="531"/>
      <c r="L23" s="60"/>
    </row>
    <row r="24" spans="1:12">
      <c r="A24" s="605">
        <f t="shared" si="2"/>
        <v>9</v>
      </c>
      <c r="C24" s="699" t="str">
        <f>'J-3 B'!C24</f>
        <v>4.125% Sr Note due 3/15/49</v>
      </c>
      <c r="E24" s="730">
        <f>'J-3 B'!E24</f>
        <v>450000000</v>
      </c>
      <c r="G24" s="979">
        <f>'J-3 B'!G24</f>
        <v>4.1250000000000002E-2</v>
      </c>
      <c r="H24" s="75"/>
      <c r="I24" s="794">
        <f t="shared" si="1"/>
        <v>18562500</v>
      </c>
      <c r="J24" s="60"/>
      <c r="K24" s="531"/>
      <c r="L24" s="60"/>
    </row>
    <row r="25" spans="1:12">
      <c r="A25" s="605">
        <f t="shared" si="2"/>
        <v>10</v>
      </c>
      <c r="C25" s="699" t="str">
        <f>'J-3 B'!C25</f>
        <v xml:space="preserve">2.625% Sr Notes Due 2029 </v>
      </c>
      <c r="E25" s="730">
        <f>'J-3 B'!E25</f>
        <v>500000000</v>
      </c>
      <c r="G25" s="979">
        <f>'J-3 B'!G25</f>
        <v>2.6249999999999999E-2</v>
      </c>
      <c r="H25" s="75"/>
      <c r="I25" s="794">
        <f t="shared" si="1"/>
        <v>13125000</v>
      </c>
      <c r="J25" s="60"/>
      <c r="K25" s="531"/>
    </row>
    <row r="26" spans="1:12">
      <c r="A26" s="605">
        <f t="shared" si="2"/>
        <v>11</v>
      </c>
      <c r="C26" s="699" t="str">
        <f>'J-3 B'!C26</f>
        <v xml:space="preserve">3.375% Sr Notes Due 2049 </v>
      </c>
      <c r="E26" s="730">
        <f>'J-3 B'!E26</f>
        <v>500000000</v>
      </c>
      <c r="G26" s="979">
        <f>'J-3 B'!G26</f>
        <v>3.3750000000000002E-2</v>
      </c>
      <c r="H26" s="75"/>
      <c r="I26" s="794">
        <f t="shared" si="1"/>
        <v>16875000</v>
      </c>
      <c r="K26" s="243"/>
    </row>
    <row r="27" spans="1:12">
      <c r="A27" s="605">
        <f t="shared" si="2"/>
        <v>12</v>
      </c>
      <c r="C27" s="699" t="str">
        <f>'J-3 B'!C27</f>
        <v xml:space="preserve">1.500% Sr Notes Due 2031 </v>
      </c>
      <c r="E27" s="730">
        <f>'J-3 B'!E27</f>
        <v>600000000</v>
      </c>
      <c r="G27" s="979">
        <f>'J-3 B'!G27</f>
        <v>1.4999999999999999E-2</v>
      </c>
      <c r="H27" s="75"/>
      <c r="I27" s="794">
        <f t="shared" si="1"/>
        <v>9000000</v>
      </c>
      <c r="K27" s="243"/>
    </row>
    <row r="28" spans="1:12">
      <c r="A28" s="605">
        <f t="shared" si="2"/>
        <v>13</v>
      </c>
      <c r="C28" s="699" t="str">
        <f>'J-3 B'!C28</f>
        <v xml:space="preserve">2.850% Sr Notes Due 2052 </v>
      </c>
      <c r="E28" s="730">
        <f>'J-3 B'!E28</f>
        <v>600000000</v>
      </c>
      <c r="G28" s="979">
        <f>'J-3 B'!G28</f>
        <v>2.8500000000000001E-2</v>
      </c>
      <c r="H28" s="75"/>
      <c r="I28" s="794">
        <f t="shared" si="1"/>
        <v>17100000</v>
      </c>
      <c r="K28" s="243"/>
    </row>
    <row r="29" spans="1:12">
      <c r="A29" s="605">
        <f t="shared" si="2"/>
        <v>14</v>
      </c>
      <c r="C29" s="699" t="str">
        <f>'J-3 B'!C29</f>
        <v>5.450% Sr Notes Due 2032</v>
      </c>
      <c r="E29" s="730">
        <f>'J-3 B'!E29</f>
        <v>300000000</v>
      </c>
      <c r="G29" s="979">
        <f>'J-3 B'!G29</f>
        <v>5.45E-2</v>
      </c>
      <c r="H29" s="75"/>
      <c r="I29" s="794">
        <f t="shared" si="1"/>
        <v>16350000</v>
      </c>
      <c r="K29" s="243"/>
      <c r="L29" s="594"/>
    </row>
    <row r="30" spans="1:12">
      <c r="A30" s="605">
        <f t="shared" si="2"/>
        <v>15</v>
      </c>
      <c r="C30" s="699" t="str">
        <f>'J-3 B'!C30</f>
        <v>5.750% Sr Notes Due 2052</v>
      </c>
      <c r="E30" s="730">
        <f>'J-3 B'!E30</f>
        <v>500000000</v>
      </c>
      <c r="G30" s="979">
        <f>'J-3 B'!G30</f>
        <v>5.7500000000000002E-2</v>
      </c>
      <c r="H30" s="75"/>
      <c r="I30" s="794">
        <f t="shared" si="1"/>
        <v>28750000</v>
      </c>
      <c r="K30" s="243"/>
      <c r="L30" s="594"/>
    </row>
    <row r="31" spans="1:12">
      <c r="A31" s="605">
        <f t="shared" si="2"/>
        <v>16</v>
      </c>
      <c r="C31" s="699" t="str">
        <f>'J-3 B'!C31</f>
        <v>5.900% Sr Notes Due 2033 400MM(2023)&amp; 325MM(2024)</v>
      </c>
      <c r="E31" s="730">
        <v>725000000</v>
      </c>
      <c r="G31" s="979">
        <f>'J-3 B'!G31</f>
        <v>5.8999999999999997E-2</v>
      </c>
      <c r="H31" s="75"/>
      <c r="I31" s="794">
        <f t="shared" si="1"/>
        <v>42775000</v>
      </c>
      <c r="K31" s="243"/>
      <c r="L31" s="997" t="s">
        <v>1599</v>
      </c>
    </row>
    <row r="32" spans="1:12">
      <c r="A32" s="605">
        <f t="shared" si="2"/>
        <v>17</v>
      </c>
      <c r="C32" s="699" t="str">
        <f>'J-3 B'!C32</f>
        <v>6.200% Sr Notes Due 2053</v>
      </c>
      <c r="E32" s="730">
        <v>500000000</v>
      </c>
      <c r="G32" s="979">
        <f>'J-3 B'!G32</f>
        <v>6.2E-2</v>
      </c>
      <c r="H32" s="75"/>
      <c r="I32" s="794">
        <f t="shared" si="1"/>
        <v>31000000</v>
      </c>
      <c r="K32" s="243"/>
      <c r="L32" s="997" t="s">
        <v>1600</v>
      </c>
    </row>
    <row r="33" spans="1:14">
      <c r="A33" s="605">
        <f t="shared" si="2"/>
        <v>18</v>
      </c>
      <c r="C33" s="53" t="s">
        <v>91</v>
      </c>
      <c r="E33" s="808">
        <f>SUM(E16:E32)</f>
        <v>7785000000</v>
      </c>
      <c r="F33" s="60"/>
      <c r="G33" s="132"/>
      <c r="I33" s="820">
        <f>SUM(I16:I32)</f>
        <v>330717000</v>
      </c>
    </row>
    <row r="34" spans="1:14">
      <c r="A34" s="605">
        <f t="shared" si="2"/>
        <v>19</v>
      </c>
      <c r="C34" s="53"/>
      <c r="E34" s="46"/>
      <c r="G34" s="132"/>
      <c r="I34" s="60"/>
    </row>
    <row r="35" spans="1:14" ht="15.75">
      <c r="A35" s="605">
        <f t="shared" si="2"/>
        <v>20</v>
      </c>
      <c r="C35" s="53" t="s">
        <v>1244</v>
      </c>
      <c r="E35" s="45"/>
      <c r="G35" s="132"/>
      <c r="I35" s="733">
        <f>'J-3 B'!I35</f>
        <v>-10128889.626952311</v>
      </c>
      <c r="L35" s="457"/>
    </row>
    <row r="36" spans="1:14" ht="15.75">
      <c r="A36" s="605">
        <f t="shared" si="2"/>
        <v>21</v>
      </c>
      <c r="C36" s="53" t="s">
        <v>1245</v>
      </c>
      <c r="E36" s="1022">
        <f>'J-3 B'!E36</f>
        <v>5898229.0950011332</v>
      </c>
      <c r="F36" s="60"/>
      <c r="G36" s="132"/>
      <c r="H36" s="75"/>
      <c r="I36" s="60"/>
      <c r="L36" s="457"/>
      <c r="N36" s="48"/>
    </row>
    <row r="37" spans="1:14" ht="15.75">
      <c r="A37" s="605">
        <f t="shared" si="2"/>
        <v>22</v>
      </c>
      <c r="C37" s="53" t="s">
        <v>1476</v>
      </c>
      <c r="E37" s="1022">
        <f>'J-3 B'!E37</f>
        <v>0</v>
      </c>
      <c r="G37" s="533"/>
      <c r="L37" s="457"/>
    </row>
    <row r="38" spans="1:14">
      <c r="A38" s="605">
        <f t="shared" si="2"/>
        <v>23</v>
      </c>
    </row>
    <row r="39" spans="1:14">
      <c r="A39" s="605">
        <f t="shared" si="2"/>
        <v>24</v>
      </c>
      <c r="E39" s="60"/>
      <c r="G39" s="533"/>
    </row>
    <row r="40" spans="1:14">
      <c r="A40" s="605">
        <f t="shared" si="2"/>
        <v>25</v>
      </c>
    </row>
    <row r="41" spans="1:14" ht="15.75" thickBot="1">
      <c r="A41" s="605">
        <f t="shared" si="2"/>
        <v>26</v>
      </c>
      <c r="C41" s="53" t="s">
        <v>1137</v>
      </c>
      <c r="E41" s="712">
        <f>+E33+E36+E37</f>
        <v>7790898229.0950012</v>
      </c>
      <c r="G41" s="533"/>
      <c r="I41" s="712">
        <f>+I33+I35</f>
        <v>320588110.37304771</v>
      </c>
      <c r="K41" s="980">
        <f>+I41/E41</f>
        <v>4.1149056366288531E-2</v>
      </c>
    </row>
    <row r="42" spans="1:14" ht="15.75" thickTop="1"/>
    <row r="43" spans="1:14">
      <c r="A43" s="53"/>
      <c r="C43" s="53"/>
    </row>
    <row r="44" spans="1:14">
      <c r="C44" s="53"/>
    </row>
    <row r="45" spans="1:14">
      <c r="C45" s="53"/>
    </row>
    <row r="47" spans="1:14">
      <c r="G47" s="519"/>
    </row>
    <row r="48" spans="1:14">
      <c r="G48" s="519"/>
    </row>
    <row r="49" spans="7:7">
      <c r="G49" s="519"/>
    </row>
    <row r="50" spans="7:7">
      <c r="G50" s="519"/>
    </row>
    <row r="51" spans="7:7">
      <c r="G51" s="519"/>
    </row>
    <row r="52" spans="7:7">
      <c r="G52" s="519"/>
    </row>
    <row r="53" spans="7:7">
      <c r="G53" s="519"/>
    </row>
    <row r="54" spans="7:7">
      <c r="G54" s="519"/>
    </row>
  </sheetData>
  <mergeCells count="4">
    <mergeCell ref="A1:K1"/>
    <mergeCell ref="A2:K2"/>
    <mergeCell ref="A3:K3"/>
    <mergeCell ref="A4:K4"/>
  </mergeCells>
  <phoneticPr fontId="20" type="noConversion"/>
  <printOptions horizontalCentered="1"/>
  <pageMargins left="0.81" right="0.46" top="1.24" bottom="0.75" header="0.5" footer="0.5"/>
  <pageSetup scale="69" orientation="portrait" verticalDpi="300" r:id="rId1"/>
  <headerFooter alignWithMargins="0">
    <oddFooter>&amp;RSchedule &amp;A
Page &amp;P of &amp;N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rgb="FF92D050"/>
    <pageSetUpPr fitToPage="1"/>
  </sheetPr>
  <dimension ref="A1:Q43"/>
  <sheetViews>
    <sheetView view="pageBreakPreview" zoomScale="80" zoomScaleNormal="100" zoomScaleSheetLayoutView="80" workbookViewId="0">
      <selection sqref="A1:L1"/>
    </sheetView>
  </sheetViews>
  <sheetFormatPr defaultColWidth="10.109375" defaultRowHeight="15"/>
  <cols>
    <col min="1" max="1" width="5.88671875" customWidth="1"/>
    <col min="2" max="2" width="2.109375" customWidth="1"/>
    <col min="3" max="3" width="16.109375" customWidth="1"/>
    <col min="4" max="4" width="11" customWidth="1"/>
    <col min="5" max="5" width="5.109375" customWidth="1"/>
    <col min="6" max="6" width="11.6640625" customWidth="1"/>
    <col min="7" max="7" width="4.21875" customWidth="1"/>
    <col min="9" max="9" width="4.21875" customWidth="1"/>
    <col min="11" max="11" width="5.77734375" customWidth="1"/>
    <col min="12" max="12" width="12.6640625" customWidth="1"/>
  </cols>
  <sheetData>
    <row r="1" spans="1:17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</row>
    <row r="2" spans="1:17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</row>
    <row r="3" spans="1:17">
      <c r="A3" s="1053" t="s">
        <v>993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</row>
    <row r="4" spans="1:17">
      <c r="A4" s="1057" t="str">
        <f>'Table of Contents'!A4:C4</f>
        <v>Forecasted Test Period:  Twelve Months Ended March 31, 2026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N4" s="60"/>
      <c r="O4" s="60"/>
      <c r="P4" s="60"/>
      <c r="Q4" s="60"/>
    </row>
    <row r="5" spans="1:17">
      <c r="N5" s="60"/>
      <c r="O5" s="60"/>
      <c r="P5" s="60"/>
      <c r="Q5" s="60"/>
    </row>
    <row r="6" spans="1:17">
      <c r="N6" s="60"/>
      <c r="O6" s="60"/>
      <c r="P6" s="60"/>
      <c r="Q6" s="60"/>
    </row>
    <row r="7" spans="1:17">
      <c r="A7" s="53" t="s">
        <v>1104</v>
      </c>
      <c r="L7" s="476" t="s">
        <v>1327</v>
      </c>
      <c r="N7" s="60"/>
      <c r="O7" s="60"/>
      <c r="P7" s="60"/>
      <c r="Q7" s="60"/>
    </row>
    <row r="8" spans="1:17">
      <c r="A8" s="53" t="s">
        <v>588</v>
      </c>
      <c r="K8" s="53"/>
      <c r="L8" s="314" t="s">
        <v>47</v>
      </c>
      <c r="N8" s="60"/>
      <c r="O8" s="60"/>
      <c r="P8" s="60"/>
      <c r="Q8" s="60"/>
    </row>
    <row r="9" spans="1:17">
      <c r="A9" s="54" t="s">
        <v>356</v>
      </c>
      <c r="B9" s="55"/>
      <c r="C9" s="55"/>
      <c r="D9" s="55"/>
      <c r="E9" s="55"/>
      <c r="F9" s="55"/>
      <c r="G9" s="55"/>
      <c r="H9" s="55"/>
      <c r="I9" s="55"/>
      <c r="J9" s="55"/>
      <c r="K9" s="54"/>
      <c r="L9" s="704" t="str">
        <f>'J-1 Base'!$M$9</f>
        <v>Witness: Christian</v>
      </c>
      <c r="N9" s="60"/>
      <c r="O9" s="60"/>
      <c r="P9" s="60"/>
      <c r="Q9" s="60"/>
    </row>
    <row r="10" spans="1:17">
      <c r="J10" s="57" t="s">
        <v>341</v>
      </c>
      <c r="L10" s="57" t="s">
        <v>1102</v>
      </c>
    </row>
    <row r="11" spans="1:17">
      <c r="A11" s="57"/>
      <c r="F11" s="57" t="s">
        <v>99</v>
      </c>
      <c r="H11" s="57" t="s">
        <v>260</v>
      </c>
      <c r="J11" s="57" t="s">
        <v>342</v>
      </c>
      <c r="L11" s="57" t="s">
        <v>260</v>
      </c>
    </row>
    <row r="12" spans="1:17">
      <c r="A12" s="58"/>
      <c r="B12" s="55"/>
      <c r="C12" s="58" t="s">
        <v>343</v>
      </c>
      <c r="D12" s="55"/>
      <c r="E12" s="55"/>
      <c r="F12" s="58" t="s">
        <v>340</v>
      </c>
      <c r="G12" s="55"/>
      <c r="H12" s="58" t="s">
        <v>543</v>
      </c>
      <c r="I12" s="55"/>
      <c r="J12" s="58" t="s">
        <v>0</v>
      </c>
      <c r="K12" s="55"/>
      <c r="L12" s="58" t="s">
        <v>543</v>
      </c>
    </row>
    <row r="13" spans="1:17">
      <c r="C13" s="57" t="s">
        <v>1042</v>
      </c>
      <c r="F13" s="57" t="s">
        <v>1043</v>
      </c>
      <c r="H13" s="57" t="s">
        <v>1044</v>
      </c>
      <c r="J13" s="57" t="s">
        <v>14</v>
      </c>
      <c r="L13" s="57" t="s">
        <v>162</v>
      </c>
    </row>
    <row r="14" spans="1:17">
      <c r="F14" s="57" t="s">
        <v>596</v>
      </c>
      <c r="J14" s="57" t="s">
        <v>596</v>
      </c>
    </row>
    <row r="16" spans="1:17">
      <c r="A16" s="57">
        <v>1</v>
      </c>
      <c r="C16" s="53" t="s">
        <v>869</v>
      </c>
      <c r="F16" s="695">
        <f>'J-2 B'!F16</f>
        <v>37866.953405017921</v>
      </c>
      <c r="G16" s="60"/>
      <c r="H16" s="981">
        <f>'J-2 B'!H16</f>
        <v>5.5082645185825813E-2</v>
      </c>
      <c r="I16" s="75"/>
      <c r="J16" s="359">
        <f>(F16*H16)</f>
        <v>2085.8119586768007</v>
      </c>
      <c r="K16" s="60"/>
      <c r="L16" s="60"/>
      <c r="M16" s="60"/>
    </row>
    <row r="17" spans="1:13">
      <c r="A17" s="37">
        <f>+A16+1</f>
        <v>2</v>
      </c>
      <c r="L17" s="60"/>
    </row>
    <row r="18" spans="1:13">
      <c r="A18" s="37">
        <f t="shared" ref="A18:A20" si="0">+A17+1</f>
        <v>3</v>
      </c>
      <c r="C18" s="53" t="s">
        <v>1232</v>
      </c>
      <c r="F18" s="60"/>
      <c r="G18" s="60"/>
      <c r="H18" s="60"/>
      <c r="I18" s="75"/>
      <c r="J18" s="695">
        <f>'J-2 B'!J18</f>
        <v>4403.0997933333338</v>
      </c>
      <c r="K18" s="60"/>
      <c r="L18" s="60"/>
      <c r="M18" s="60"/>
    </row>
    <row r="19" spans="1:13">
      <c r="A19" s="37">
        <f t="shared" si="0"/>
        <v>4</v>
      </c>
      <c r="F19" s="60"/>
      <c r="G19" s="60"/>
      <c r="H19" s="61"/>
      <c r="I19" s="60"/>
      <c r="J19" s="60"/>
      <c r="K19" s="60"/>
      <c r="L19" s="60"/>
      <c r="M19" s="60"/>
    </row>
    <row r="20" spans="1:13">
      <c r="A20" s="37">
        <f t="shared" si="0"/>
        <v>5</v>
      </c>
      <c r="C20" s="53" t="s">
        <v>868</v>
      </c>
      <c r="F20" s="933">
        <f>SUM(F16:F18)</f>
        <v>37866.953405017921</v>
      </c>
      <c r="G20" s="60"/>
      <c r="H20" s="60"/>
      <c r="I20" s="75"/>
      <c r="J20" s="933">
        <f>SUM(J16:J18)</f>
        <v>6488.9117520101345</v>
      </c>
      <c r="K20" s="60"/>
      <c r="L20" s="959">
        <f>(J20/F20)</f>
        <v>0.17136080852890212</v>
      </c>
      <c r="M20" s="60"/>
    </row>
    <row r="21" spans="1:13">
      <c r="F21" s="60"/>
      <c r="G21" s="60"/>
      <c r="H21" s="61"/>
      <c r="I21" s="75"/>
      <c r="J21" s="75"/>
      <c r="K21" s="60"/>
      <c r="L21" s="60"/>
      <c r="M21" s="60"/>
    </row>
    <row r="22" spans="1:13">
      <c r="F22" s="60"/>
      <c r="G22" s="60"/>
      <c r="H22" s="61"/>
      <c r="I22" s="75"/>
      <c r="J22" s="75"/>
      <c r="K22" s="60"/>
      <c r="L22" s="60"/>
      <c r="M22" s="60"/>
    </row>
    <row r="23" spans="1:13">
      <c r="F23" s="60"/>
      <c r="G23" s="60"/>
      <c r="H23" s="61"/>
      <c r="I23" s="75"/>
      <c r="J23" s="75"/>
      <c r="K23" s="60"/>
      <c r="L23" s="60"/>
      <c r="M23" s="60"/>
    </row>
    <row r="24" spans="1:13" ht="15.75">
      <c r="A24" s="12"/>
      <c r="G24" s="60"/>
      <c r="I24" s="75"/>
      <c r="L24" s="60"/>
    </row>
    <row r="25" spans="1:13">
      <c r="C25" s="53" t="s">
        <v>498</v>
      </c>
      <c r="G25" s="60"/>
      <c r="H25" s="61"/>
      <c r="I25" s="75"/>
      <c r="J25" s="75"/>
      <c r="L25" s="60"/>
    </row>
    <row r="26" spans="1:13">
      <c r="C26" s="53"/>
      <c r="G26" s="60"/>
      <c r="H26" s="61"/>
      <c r="I26" s="75"/>
      <c r="J26" s="75"/>
      <c r="L26" s="60"/>
    </row>
    <row r="27" spans="1:13">
      <c r="C27" s="48" t="s">
        <v>1585</v>
      </c>
    </row>
    <row r="28" spans="1:13">
      <c r="C28" s="53"/>
    </row>
    <row r="29" spans="1:13">
      <c r="C29" s="53"/>
    </row>
    <row r="30" spans="1:13">
      <c r="C30" s="53"/>
      <c r="G30" s="60"/>
      <c r="I30" s="75"/>
    </row>
    <row r="31" spans="1:13">
      <c r="G31" s="60"/>
      <c r="H31" s="60"/>
      <c r="I31" s="75"/>
      <c r="J31" s="75"/>
    </row>
    <row r="32" spans="1:13">
      <c r="C32" s="53"/>
      <c r="G32" s="60"/>
    </row>
    <row r="33" spans="1:3">
      <c r="C33" s="53"/>
    </row>
    <row r="35" spans="1:3">
      <c r="C35" s="53"/>
    </row>
    <row r="40" spans="1:3">
      <c r="A40" s="53"/>
      <c r="C40" s="53"/>
    </row>
    <row r="41" spans="1:3">
      <c r="C41" s="53"/>
    </row>
    <row r="42" spans="1:3">
      <c r="C42" s="53"/>
    </row>
    <row r="43" spans="1:3">
      <c r="C43" s="53"/>
    </row>
  </sheetData>
  <mergeCells count="4">
    <mergeCell ref="A1:L1"/>
    <mergeCell ref="A2:L2"/>
    <mergeCell ref="A3:L3"/>
    <mergeCell ref="A4:L4"/>
  </mergeCells>
  <phoneticPr fontId="20" type="noConversion"/>
  <pageMargins left="0.75" right="0.75" top="0.83" bottom="1.1499999999999999" header="0.5" footer="0.5"/>
  <pageSetup orientation="landscape" verticalDpi="300" r:id="rId1"/>
  <headerFooter alignWithMargins="0">
    <oddFooter>&amp;RSchedule &amp;A
Page &amp;P of &amp;N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2D050"/>
  </sheetPr>
  <dimension ref="A1:AJ142"/>
  <sheetViews>
    <sheetView view="pageBreakPreview" zoomScale="80" zoomScaleNormal="100" zoomScaleSheetLayoutView="80" workbookViewId="0">
      <selection activeCell="I17" sqref="I17"/>
    </sheetView>
  </sheetViews>
  <sheetFormatPr defaultColWidth="6.44140625" defaultRowHeight="15"/>
  <cols>
    <col min="1" max="1" width="5.33203125" style="1" customWidth="1"/>
    <col min="2" max="2" width="11.44140625" style="1" customWidth="1"/>
    <col min="3" max="4" width="6.44140625" style="1"/>
    <col min="5" max="5" width="7.109375" style="1" customWidth="1"/>
    <col min="6" max="6" width="7.33203125" style="1" customWidth="1"/>
    <col min="7" max="7" width="12.77734375" style="1" customWidth="1"/>
    <col min="8" max="8" width="13.6640625" style="1" customWidth="1"/>
    <col min="9" max="18" width="10.77734375" style="1" customWidth="1"/>
    <col min="19" max="19" width="9.44140625" style="1" customWidth="1"/>
    <col min="20" max="20" width="7.21875" style="1" customWidth="1"/>
    <col min="21" max="22" width="6.44140625" style="1"/>
    <col min="23" max="23" width="9.33203125" style="1" customWidth="1"/>
    <col min="24" max="24" width="6.44140625" style="1"/>
    <col min="25" max="25" width="10.6640625" style="1" customWidth="1"/>
    <col min="26" max="16384" width="6.44140625" style="1"/>
  </cols>
  <sheetData>
    <row r="1" spans="1:36" ht="15.75">
      <c r="A1" s="1057" t="str">
        <f>'Table of Contents'!A1:C1</f>
        <v>Atmos Energy Corporation, Kentucky/Mid-States Division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534"/>
    </row>
    <row r="2" spans="1:36">
      <c r="A2" s="1057" t="str">
        <f>'Table of Contents'!A2:C2</f>
        <v xml:space="preserve">Kentucky Jurisdiction Case No. 2024-00276 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535"/>
    </row>
    <row r="3" spans="1:36">
      <c r="A3" s="1072" t="s">
        <v>24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072"/>
      <c r="R3" s="1072"/>
      <c r="S3" s="14"/>
    </row>
    <row r="4" spans="1:36">
      <c r="A4" s="1057" t="str">
        <f>'Table of Contents'!A3:C3</f>
        <v>Base Period: Twelve Months Ended December 31, 2024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</row>
    <row r="5" spans="1:36">
      <c r="A5" s="1057" t="str">
        <f>'Table of Contents'!A4:C4</f>
        <v>Forecasted Test Period:  Twelve Months Ended March 31, 2026</v>
      </c>
      <c r="B5" s="1057"/>
      <c r="C5" s="1057"/>
      <c r="D5" s="1057"/>
      <c r="E5" s="1057"/>
      <c r="F5" s="1057"/>
      <c r="G5" s="1057"/>
      <c r="H5" s="1057"/>
      <c r="I5" s="1057"/>
      <c r="J5" s="1057"/>
      <c r="K5" s="1057"/>
      <c r="L5" s="1057"/>
      <c r="M5" s="1057"/>
      <c r="N5" s="1057"/>
      <c r="O5" s="1057"/>
      <c r="P5" s="1057"/>
      <c r="Q5" s="1057"/>
      <c r="R5" s="1057"/>
    </row>
    <row r="6" spans="1:36">
      <c r="A6" s="1072" t="s">
        <v>1188</v>
      </c>
      <c r="B6" s="1072"/>
      <c r="C6" s="1072"/>
      <c r="D6" s="1072"/>
      <c r="E6" s="1072"/>
      <c r="F6" s="1072"/>
      <c r="G6" s="1072"/>
      <c r="H6" s="1072"/>
      <c r="I6" s="1072"/>
      <c r="J6" s="1072"/>
      <c r="K6" s="1072"/>
      <c r="L6" s="1072"/>
      <c r="M6" s="1072"/>
      <c r="N6" s="1072"/>
      <c r="O6" s="1072"/>
      <c r="P6" s="1072"/>
      <c r="Q6" s="1072"/>
      <c r="R6" s="1072"/>
      <c r="S6" s="329"/>
    </row>
    <row r="7" spans="1:36">
      <c r="A7" s="2"/>
      <c r="N7" s="4"/>
    </row>
    <row r="8" spans="1:36">
      <c r="A8" s="4" t="s">
        <v>192</v>
      </c>
      <c r="N8" s="4"/>
      <c r="O8" s="4"/>
      <c r="Q8" s="4"/>
      <c r="R8" s="84" t="s">
        <v>1328</v>
      </c>
    </row>
    <row r="9" spans="1:36">
      <c r="A9" s="48" t="s">
        <v>1009</v>
      </c>
      <c r="N9" s="4"/>
      <c r="O9" s="4"/>
      <c r="Q9" s="4"/>
      <c r="R9" s="17" t="s">
        <v>44</v>
      </c>
    </row>
    <row r="10" spans="1:36">
      <c r="A10" s="5" t="s">
        <v>356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35"/>
      <c r="P10" s="6"/>
      <c r="Q10" s="5"/>
      <c r="R10" s="505" t="s">
        <v>1654</v>
      </c>
    </row>
    <row r="11" spans="1:36">
      <c r="T11" s="375"/>
    </row>
    <row r="12" spans="1:36">
      <c r="A12" s="4" t="s">
        <v>88</v>
      </c>
      <c r="G12" s="2" t="s">
        <v>41</v>
      </c>
      <c r="H12" s="2" t="s">
        <v>42</v>
      </c>
      <c r="I12" s="6"/>
      <c r="J12" s="6"/>
      <c r="K12" s="6"/>
      <c r="L12" s="6"/>
      <c r="M12" s="9" t="s">
        <v>592</v>
      </c>
      <c r="N12" s="9"/>
      <c r="O12" s="6"/>
      <c r="P12" s="6"/>
      <c r="Q12" s="6"/>
      <c r="R12" s="6"/>
    </row>
    <row r="13" spans="1:36">
      <c r="A13" s="5" t="s">
        <v>94</v>
      </c>
      <c r="B13" s="6"/>
      <c r="C13" s="9" t="s">
        <v>949</v>
      </c>
      <c r="D13" s="6"/>
      <c r="E13" s="6"/>
      <c r="F13" s="6"/>
      <c r="G13" s="9" t="s">
        <v>511</v>
      </c>
      <c r="H13" s="9" t="s">
        <v>511</v>
      </c>
      <c r="I13" s="374">
        <v>2023</v>
      </c>
      <c r="J13" s="1044">
        <v>2022</v>
      </c>
      <c r="K13" s="1044">
        <v>2021</v>
      </c>
      <c r="L13" s="1044">
        <v>2020</v>
      </c>
      <c r="M13" s="1044">
        <v>2019</v>
      </c>
      <c r="N13" s="1044">
        <v>2018</v>
      </c>
      <c r="O13" s="1044">
        <v>2017</v>
      </c>
      <c r="P13" s="1044">
        <v>2016</v>
      </c>
      <c r="Q13" s="1044">
        <v>2015</v>
      </c>
      <c r="R13" s="1044">
        <v>2014</v>
      </c>
    </row>
    <row r="14" spans="1:36">
      <c r="K14" s="1" t="s">
        <v>314</v>
      </c>
    </row>
    <row r="15" spans="1:36" ht="15.75">
      <c r="A15" s="2">
        <v>1</v>
      </c>
      <c r="B15" s="16" t="s">
        <v>1112</v>
      </c>
      <c r="C15" s="15"/>
      <c r="G15"/>
      <c r="H15"/>
      <c r="I15"/>
      <c r="J15"/>
      <c r="K15"/>
      <c r="L15"/>
      <c r="M15"/>
      <c r="N15"/>
      <c r="O15"/>
      <c r="P15"/>
      <c r="Q15"/>
      <c r="R15"/>
      <c r="S15" s="534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5.75">
      <c r="A16" s="605">
        <f>A15+1</f>
        <v>2</v>
      </c>
      <c r="B16" s="4" t="s">
        <v>299</v>
      </c>
      <c r="G16"/>
      <c r="H16"/>
      <c r="I16"/>
      <c r="J16"/>
      <c r="K16"/>
      <c r="L16"/>
      <c r="M16"/>
      <c r="N16"/>
      <c r="O16"/>
      <c r="P16"/>
      <c r="Q16"/>
      <c r="R16"/>
      <c r="S16" s="534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15.75">
      <c r="A17" s="605">
        <f t="shared" ref="A17:A80" si="0">A16+1</f>
        <v>3</v>
      </c>
      <c r="B17" s="4" t="s">
        <v>172</v>
      </c>
      <c r="G17" s="686">
        <f>('B.2 F'!I19+'B.2 F'!I127)/1000</f>
        <v>761.36941454999999</v>
      </c>
      <c r="H17" s="686">
        <f>('B.2 B'!I19+'B.2 B'!I127)/1000</f>
        <v>775.22442671499994</v>
      </c>
      <c r="I17" s="627">
        <v>128</v>
      </c>
      <c r="J17" s="627">
        <v>128</v>
      </c>
      <c r="K17" s="627">
        <v>128</v>
      </c>
      <c r="L17" s="627">
        <v>128</v>
      </c>
      <c r="M17" s="627">
        <v>128</v>
      </c>
      <c r="N17" s="627">
        <v>128</v>
      </c>
      <c r="O17" s="627">
        <v>128</v>
      </c>
      <c r="P17" s="627">
        <v>128</v>
      </c>
      <c r="Q17" s="627">
        <v>128</v>
      </c>
      <c r="R17" s="627">
        <v>128</v>
      </c>
      <c r="S17" s="534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>
      <c r="A18" s="605">
        <f t="shared" si="0"/>
        <v>4</v>
      </c>
      <c r="B18" s="4" t="s">
        <v>25</v>
      </c>
      <c r="G18" s="686">
        <f>('B.2 F'!I26)/1000</f>
        <v>0</v>
      </c>
      <c r="H18" s="686">
        <f>('B.2 B'!I26)/1000</f>
        <v>0</v>
      </c>
      <c r="I18" s="627">
        <v>0</v>
      </c>
      <c r="J18" s="627">
        <v>0</v>
      </c>
      <c r="K18" s="627">
        <v>0</v>
      </c>
      <c r="L18" s="627">
        <v>0</v>
      </c>
      <c r="M18" s="627">
        <v>0</v>
      </c>
      <c r="N18" s="627">
        <v>0</v>
      </c>
      <c r="O18" s="627">
        <v>0</v>
      </c>
      <c r="P18" s="627">
        <v>0</v>
      </c>
      <c r="Q18" s="627">
        <v>0</v>
      </c>
      <c r="R18" s="627">
        <v>636</v>
      </c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>
      <c r="A19" s="605">
        <f t="shared" si="0"/>
        <v>5</v>
      </c>
      <c r="B19" s="4" t="s">
        <v>26</v>
      </c>
      <c r="G19" s="686">
        <f>('B.2 F'!I47)/1000</f>
        <v>38353.976750000002</v>
      </c>
      <c r="H19" s="686">
        <f>('B.2 B'!I47)/1000</f>
        <v>35936.983749999999</v>
      </c>
      <c r="I19" s="627">
        <v>20622</v>
      </c>
      <c r="J19" s="627">
        <v>14924</v>
      </c>
      <c r="K19" s="627">
        <v>14473</v>
      </c>
      <c r="L19" s="627">
        <v>14473</v>
      </c>
      <c r="M19" s="627">
        <v>14471</v>
      </c>
      <c r="N19" s="627">
        <v>13328</v>
      </c>
      <c r="O19" s="627">
        <v>13329</v>
      </c>
      <c r="P19" s="627">
        <v>12454</v>
      </c>
      <c r="Q19" s="627">
        <v>11560</v>
      </c>
      <c r="R19" s="627">
        <v>10792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>
      <c r="A20" s="605">
        <f t="shared" si="0"/>
        <v>6</v>
      </c>
      <c r="B20" s="4" t="s">
        <v>27</v>
      </c>
      <c r="G20" s="686">
        <f>('B.2 F'!I60)/1000</f>
        <v>33507.776519999999</v>
      </c>
      <c r="H20" s="686">
        <f>('B.2 B'!I60)/1000</f>
        <v>33507.776519999999</v>
      </c>
      <c r="I20" s="627">
        <v>33159</v>
      </c>
      <c r="J20" s="627">
        <v>33198</v>
      </c>
      <c r="K20" s="627">
        <v>33001</v>
      </c>
      <c r="L20" s="627">
        <v>33149</v>
      </c>
      <c r="M20" s="627">
        <v>32817</v>
      </c>
      <c r="N20" s="627">
        <v>31462</v>
      </c>
      <c r="O20" s="627">
        <v>31784</v>
      </c>
      <c r="P20" s="627">
        <v>31814</v>
      </c>
      <c r="Q20" s="627">
        <v>31808</v>
      </c>
      <c r="R20" s="627">
        <v>31877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>
      <c r="A21" s="605">
        <f t="shared" si="0"/>
        <v>7</v>
      </c>
      <c r="B21" s="4" t="s">
        <v>473</v>
      </c>
      <c r="G21" s="686">
        <f>('B.2 F'!I86+'B.2 F'!I152)/1000</f>
        <v>841695.51389806031</v>
      </c>
      <c r="H21" s="686">
        <f>('B.2 B'!I86+'B.2 B'!I152)/1000</f>
        <v>815055.70728191396</v>
      </c>
      <c r="I21" s="627">
        <v>829749</v>
      </c>
      <c r="J21" s="627">
        <v>771670</v>
      </c>
      <c r="K21" s="627">
        <v>752511</v>
      </c>
      <c r="L21" s="627">
        <v>693559</v>
      </c>
      <c r="M21" s="627">
        <v>666530</v>
      </c>
      <c r="N21" s="627">
        <v>573567</v>
      </c>
      <c r="O21" s="627">
        <v>517179</v>
      </c>
      <c r="P21" s="627">
        <v>472849</v>
      </c>
      <c r="Q21" s="627">
        <v>413302</v>
      </c>
      <c r="R21" s="627">
        <v>381623</v>
      </c>
    </row>
    <row r="22" spans="1:36">
      <c r="A22" s="605">
        <f t="shared" si="0"/>
        <v>8</v>
      </c>
      <c r="B22" s="4" t="s">
        <v>922</v>
      </c>
      <c r="G22" s="686">
        <f>('B.2 F'!I115+'B.2 F'!I177+'B.2 F'!I225+'B.2 F'!I262)/1000</f>
        <v>49662.466482497679</v>
      </c>
      <c r="H22" s="686">
        <f>('B.2 B'!I115+'B.2 B'!I177+'B.2 B'!I225+'B.2 B'!I262)/1000</f>
        <v>45753.152107352522</v>
      </c>
      <c r="I22" s="627">
        <v>24307</v>
      </c>
      <c r="J22" s="627">
        <v>23484</v>
      </c>
      <c r="K22" s="627">
        <v>25021</v>
      </c>
      <c r="L22" s="627">
        <v>24782</v>
      </c>
      <c r="M22" s="627">
        <v>23892</v>
      </c>
      <c r="N22" s="627">
        <v>22758</v>
      </c>
      <c r="O22" s="627">
        <v>21675</v>
      </c>
      <c r="P22" s="627">
        <v>21271</v>
      </c>
      <c r="Q22" s="627">
        <v>18126</v>
      </c>
      <c r="R22" s="627">
        <v>16683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>
      <c r="A23" s="605">
        <f t="shared" si="0"/>
        <v>9</v>
      </c>
      <c r="B23" s="4" t="s">
        <v>364</v>
      </c>
      <c r="G23" s="57"/>
      <c r="H23" s="57"/>
      <c r="I23" s="627">
        <v>3278.5473199999997</v>
      </c>
      <c r="J23" s="627">
        <v>3278.5473199999997</v>
      </c>
      <c r="K23" s="627">
        <v>3278.5473199999997</v>
      </c>
      <c r="L23" s="627">
        <v>3279</v>
      </c>
      <c r="M23" s="627">
        <v>3279</v>
      </c>
      <c r="N23" s="627">
        <v>3279</v>
      </c>
      <c r="O23" s="627">
        <v>3279</v>
      </c>
      <c r="P23" s="627">
        <v>3279</v>
      </c>
      <c r="Q23" s="627">
        <v>3279</v>
      </c>
      <c r="R23" s="627">
        <v>3279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>
      <c r="A24" s="605">
        <f t="shared" si="0"/>
        <v>10</v>
      </c>
      <c r="B24" s="4" t="s">
        <v>314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>
      <c r="A25" s="605">
        <f t="shared" si="0"/>
        <v>11</v>
      </c>
      <c r="B25" s="4" t="s">
        <v>159</v>
      </c>
      <c r="G25" s="605">
        <f t="shared" ref="G25:R25" si="1">SUM(G17:G24)</f>
        <v>963981.10306510795</v>
      </c>
      <c r="H25" s="605">
        <f t="shared" si="1"/>
        <v>931028.84408598149</v>
      </c>
      <c r="I25" s="605">
        <f t="shared" si="1"/>
        <v>911243.54732000001</v>
      </c>
      <c r="J25" s="605">
        <f t="shared" si="1"/>
        <v>846682.54732000001</v>
      </c>
      <c r="K25" s="605">
        <f t="shared" si="1"/>
        <v>828412.54732000001</v>
      </c>
      <c r="L25" s="605">
        <f t="shared" si="1"/>
        <v>769370</v>
      </c>
      <c r="M25" s="605">
        <f t="shared" si="1"/>
        <v>741117</v>
      </c>
      <c r="N25" s="605">
        <f t="shared" si="1"/>
        <v>644522</v>
      </c>
      <c r="O25" s="605">
        <f t="shared" si="1"/>
        <v>587374</v>
      </c>
      <c r="P25" s="605">
        <f t="shared" si="1"/>
        <v>541795</v>
      </c>
      <c r="Q25" s="605">
        <f t="shared" si="1"/>
        <v>478203</v>
      </c>
      <c r="R25" s="605">
        <f t="shared" si="1"/>
        <v>445018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>
      <c r="A26" s="605">
        <f t="shared" si="0"/>
        <v>12</v>
      </c>
      <c r="B26" s="4" t="s">
        <v>365</v>
      </c>
      <c r="G26" s="982">
        <f>-'B.1 F '!D17/1000</f>
        <v>224697.46222111359</v>
      </c>
      <c r="H26" s="983">
        <f>-'B.1 B'!D17/1000</f>
        <v>204757.75061073719</v>
      </c>
      <c r="I26" s="627">
        <v>174869</v>
      </c>
      <c r="J26" s="627">
        <v>153918</v>
      </c>
      <c r="K26" s="627">
        <v>182190</v>
      </c>
      <c r="L26" s="627">
        <v>178144</v>
      </c>
      <c r="M26" s="627">
        <v>176418</v>
      </c>
      <c r="N26" s="627">
        <v>178946</v>
      </c>
      <c r="O26" s="627">
        <v>175150</v>
      </c>
      <c r="P26" s="627">
        <v>167228</v>
      </c>
      <c r="Q26" s="627">
        <v>165298</v>
      </c>
      <c r="R26" s="627">
        <v>160839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>
      <c r="A27" s="605">
        <f t="shared" si="0"/>
        <v>13</v>
      </c>
      <c r="B27" s="4" t="s">
        <v>366</v>
      </c>
      <c r="G27" s="605">
        <f t="shared" ref="G27:R27" si="2">G25-G26</f>
        <v>739283.64084399433</v>
      </c>
      <c r="H27" s="605">
        <f t="shared" si="2"/>
        <v>726271.09347524424</v>
      </c>
      <c r="I27" s="984">
        <f t="shared" si="2"/>
        <v>736374.54732000001</v>
      </c>
      <c r="J27" s="984">
        <f t="shared" si="2"/>
        <v>692764.54732000001</v>
      </c>
      <c r="K27" s="984">
        <f t="shared" si="2"/>
        <v>646222.54732000001</v>
      </c>
      <c r="L27" s="984">
        <f t="shared" si="2"/>
        <v>591226</v>
      </c>
      <c r="M27" s="984">
        <f t="shared" si="2"/>
        <v>564699</v>
      </c>
      <c r="N27" s="984">
        <f t="shared" si="2"/>
        <v>465576</v>
      </c>
      <c r="O27" s="984">
        <f t="shared" si="2"/>
        <v>412224</v>
      </c>
      <c r="P27" s="984">
        <f t="shared" si="2"/>
        <v>374567</v>
      </c>
      <c r="Q27" s="984">
        <f t="shared" si="2"/>
        <v>312905</v>
      </c>
      <c r="R27" s="984">
        <f t="shared" si="2"/>
        <v>284179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>
      <c r="A28" s="605">
        <f t="shared" si="0"/>
        <v>14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36">
      <c r="A29" s="605">
        <f t="shared" si="0"/>
        <v>15</v>
      </c>
      <c r="B29" s="4" t="s">
        <v>753</v>
      </c>
      <c r="G29" s="686">
        <f>'B.1 F '!D16/1000</f>
        <v>0</v>
      </c>
      <c r="H29" s="686">
        <f>'B.1 B'!D16/1000</f>
        <v>0</v>
      </c>
      <c r="I29" s="627">
        <v>6973</v>
      </c>
      <c r="J29" s="627">
        <v>9205</v>
      </c>
      <c r="K29" s="627">
        <v>12491</v>
      </c>
      <c r="L29" s="627">
        <v>6625</v>
      </c>
      <c r="M29" s="627">
        <v>6557</v>
      </c>
      <c r="N29" s="627">
        <v>42150</v>
      </c>
      <c r="O29" s="627">
        <v>32838</v>
      </c>
      <c r="P29" s="627">
        <v>10146.378000000001</v>
      </c>
      <c r="Q29" s="627">
        <v>26310.035</v>
      </c>
      <c r="R29" s="627">
        <v>12708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>
      <c r="A30" s="605">
        <f t="shared" si="0"/>
        <v>16</v>
      </c>
      <c r="B30" s="4" t="s">
        <v>314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>
      <c r="A31" s="605">
        <f t="shared" si="0"/>
        <v>17</v>
      </c>
      <c r="B31" s="4" t="s">
        <v>1136</v>
      </c>
      <c r="G31" s="605">
        <f t="shared" ref="G31:R31" si="3">SUM(G29:G30)</f>
        <v>0</v>
      </c>
      <c r="H31" s="605">
        <f t="shared" si="3"/>
        <v>0</v>
      </c>
      <c r="I31" s="605">
        <f t="shared" si="3"/>
        <v>6973</v>
      </c>
      <c r="J31" s="605">
        <f t="shared" si="3"/>
        <v>9205</v>
      </c>
      <c r="K31" s="605">
        <f t="shared" si="3"/>
        <v>12491</v>
      </c>
      <c r="L31" s="605">
        <f t="shared" si="3"/>
        <v>6625</v>
      </c>
      <c r="M31" s="605">
        <f t="shared" si="3"/>
        <v>6557</v>
      </c>
      <c r="N31" s="605">
        <f t="shared" si="3"/>
        <v>42150</v>
      </c>
      <c r="O31" s="605">
        <f t="shared" si="3"/>
        <v>32838</v>
      </c>
      <c r="P31" s="605">
        <f t="shared" si="3"/>
        <v>10146.378000000001</v>
      </c>
      <c r="Q31" s="605">
        <f t="shared" si="3"/>
        <v>26310.035</v>
      </c>
      <c r="R31" s="605">
        <f t="shared" si="3"/>
        <v>12708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>
      <c r="A32" s="605">
        <f t="shared" si="0"/>
        <v>18</v>
      </c>
      <c r="G32" s="57"/>
      <c r="H32" s="57"/>
      <c r="I32" s="57"/>
      <c r="J32" s="57"/>
      <c r="K32" s="57"/>
      <c r="L32" s="57"/>
      <c r="M32" s="57"/>
      <c r="N32" s="57"/>
      <c r="O32" s="37"/>
      <c r="P32" s="57"/>
      <c r="Q32" s="57"/>
      <c r="R32" s="57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>
      <c r="A33" s="605">
        <f t="shared" si="0"/>
        <v>19</v>
      </c>
      <c r="B33" s="4" t="s">
        <v>91</v>
      </c>
      <c r="G33" s="985">
        <f t="shared" ref="G33:R33" si="4">G27+G31</f>
        <v>739283.64084399433</v>
      </c>
      <c r="H33" s="985">
        <f t="shared" si="4"/>
        <v>726271.09347524424</v>
      </c>
      <c r="I33" s="985">
        <f t="shared" si="4"/>
        <v>743347.54732000001</v>
      </c>
      <c r="J33" s="985">
        <f t="shared" si="4"/>
        <v>701969.54732000001</v>
      </c>
      <c r="K33" s="985">
        <f t="shared" si="4"/>
        <v>658713.54732000001</v>
      </c>
      <c r="L33" s="985">
        <f t="shared" si="4"/>
        <v>597851</v>
      </c>
      <c r="M33" s="985">
        <f t="shared" si="4"/>
        <v>571256</v>
      </c>
      <c r="N33" s="985">
        <f t="shared" si="4"/>
        <v>507726</v>
      </c>
      <c r="O33" s="985">
        <f t="shared" si="4"/>
        <v>445062</v>
      </c>
      <c r="P33" s="985">
        <f t="shared" si="4"/>
        <v>384713.37800000003</v>
      </c>
      <c r="Q33" s="985">
        <f t="shared" si="4"/>
        <v>339215.03499999997</v>
      </c>
      <c r="R33" s="985">
        <f t="shared" si="4"/>
        <v>296887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>
      <c r="A34" s="605">
        <f t="shared" si="0"/>
        <v>20</v>
      </c>
      <c r="G34" s="57"/>
      <c r="H34" s="37"/>
      <c r="I34" s="57"/>
      <c r="J34" s="57"/>
      <c r="K34" s="57"/>
      <c r="L34" s="37"/>
      <c r="M34" s="57"/>
      <c r="N34" s="57"/>
      <c r="O34" s="57"/>
      <c r="P34" s="57"/>
      <c r="Q34" s="57"/>
      <c r="R34" s="57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>
      <c r="A35" s="605">
        <f t="shared" si="0"/>
        <v>21</v>
      </c>
      <c r="B35" s="4" t="s">
        <v>367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0</v>
      </c>
      <c r="N35" s="628">
        <v>0</v>
      </c>
      <c r="O35" s="628">
        <v>0</v>
      </c>
      <c r="P35" s="628">
        <v>0</v>
      </c>
      <c r="Q35" s="628">
        <v>0</v>
      </c>
      <c r="R35" s="628">
        <v>0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>
      <c r="A36" s="605">
        <f t="shared" si="0"/>
        <v>22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>
      <c r="A37" s="605">
        <f t="shared" si="0"/>
        <v>23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36">
      <c r="A38" s="605">
        <f t="shared" si="0"/>
        <v>24</v>
      </c>
      <c r="B38" s="90" t="s">
        <v>1189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10"/>
      <c r="T38" s="10"/>
      <c r="U38" s="10"/>
      <c r="AA38" s="3"/>
    </row>
    <row r="39" spans="1:36">
      <c r="A39" s="605">
        <f t="shared" si="0"/>
        <v>25</v>
      </c>
      <c r="B39" s="16" t="s">
        <v>1029</v>
      </c>
      <c r="C39" s="15"/>
      <c r="D39" s="1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10"/>
      <c r="T39" s="10"/>
      <c r="U39" s="10"/>
      <c r="X39" s="3"/>
      <c r="AA39" s="3"/>
      <c r="AC39" s="3"/>
      <c r="AD39" s="3"/>
      <c r="AE39" s="3"/>
      <c r="AF39" s="3"/>
      <c r="AG39" s="3"/>
      <c r="AH39" s="3"/>
    </row>
    <row r="40" spans="1:36" ht="15.75">
      <c r="A40" s="605">
        <f t="shared" si="0"/>
        <v>26</v>
      </c>
      <c r="B40" s="4" t="s">
        <v>1030</v>
      </c>
      <c r="G40" s="793">
        <f>'J-1 F'!G20</f>
        <v>37866.953405017921</v>
      </c>
      <c r="H40" s="793">
        <f>'J-1 Base'!G19</f>
        <v>37866.953405017921</v>
      </c>
      <c r="I40" s="627">
        <v>241933</v>
      </c>
      <c r="J40" s="627">
        <v>184967</v>
      </c>
      <c r="K40" s="627">
        <v>0</v>
      </c>
      <c r="L40" s="627">
        <v>0</v>
      </c>
      <c r="M40" s="627">
        <v>464915</v>
      </c>
      <c r="N40" s="627">
        <v>575780</v>
      </c>
      <c r="O40" s="627">
        <v>447745</v>
      </c>
      <c r="P40" s="627">
        <v>829811</v>
      </c>
      <c r="Q40" s="627">
        <v>457927</v>
      </c>
      <c r="R40" s="627">
        <v>196695</v>
      </c>
      <c r="S40" s="534"/>
      <c r="X40" s="3"/>
      <c r="Z40" s="3"/>
      <c r="AA40" s="3"/>
      <c r="AC40" s="3"/>
      <c r="AD40" s="3"/>
      <c r="AE40" s="3"/>
      <c r="AF40" s="3"/>
      <c r="AG40" s="3"/>
      <c r="AH40" s="3"/>
    </row>
    <row r="41" spans="1:36" ht="15.75">
      <c r="A41" s="605">
        <f t="shared" si="0"/>
        <v>27</v>
      </c>
      <c r="B41" s="4" t="s">
        <v>1031</v>
      </c>
      <c r="G41" s="793">
        <f>'J-1 F'!G22</f>
        <v>7790898.2290950017</v>
      </c>
      <c r="H41" s="793">
        <f>'J-1 Base'!G21</f>
        <v>7213975.1521719238</v>
      </c>
      <c r="I41" s="627">
        <v>6555701</v>
      </c>
      <c r="J41" s="627">
        <v>7962104</v>
      </c>
      <c r="K41" s="627">
        <v>7330657</v>
      </c>
      <c r="L41" s="627">
        <v>4531944</v>
      </c>
      <c r="M41" s="627">
        <v>3529452</v>
      </c>
      <c r="N41" s="627">
        <v>3068665</v>
      </c>
      <c r="O41" s="627">
        <v>3067045</v>
      </c>
      <c r="P41" s="627">
        <v>2438779</v>
      </c>
      <c r="Q41" s="627">
        <v>2437515</v>
      </c>
      <c r="R41" s="627">
        <v>2455986</v>
      </c>
      <c r="S41" s="534"/>
      <c r="AA41" s="3"/>
    </row>
    <row r="42" spans="1:36">
      <c r="A42" s="605">
        <f t="shared" si="0"/>
        <v>28</v>
      </c>
      <c r="B42" s="4" t="s">
        <v>247</v>
      </c>
      <c r="G42" s="57"/>
      <c r="H42" s="57"/>
      <c r="I42" s="627">
        <v>0</v>
      </c>
      <c r="J42" s="627">
        <v>0</v>
      </c>
      <c r="K42" s="627">
        <v>0</v>
      </c>
      <c r="L42" s="627">
        <v>0</v>
      </c>
      <c r="M42" s="627">
        <v>0</v>
      </c>
      <c r="N42" s="627">
        <v>0</v>
      </c>
      <c r="O42" s="627">
        <v>0</v>
      </c>
      <c r="P42" s="627">
        <v>0</v>
      </c>
      <c r="Q42" s="627">
        <v>0</v>
      </c>
      <c r="R42" s="627">
        <v>0</v>
      </c>
      <c r="X42" s="3"/>
      <c r="AA42" s="3"/>
      <c r="AC42" s="3"/>
      <c r="AD42" s="3"/>
      <c r="AE42" s="3"/>
      <c r="AF42" s="3"/>
      <c r="AG42" s="3"/>
      <c r="AH42" s="3"/>
    </row>
    <row r="43" spans="1:36" ht="15.75">
      <c r="A43" s="605">
        <f t="shared" si="0"/>
        <v>29</v>
      </c>
      <c r="B43" s="4" t="s">
        <v>248</v>
      </c>
      <c r="G43" s="986">
        <f>'J-1 F'!G26</f>
        <v>12183077.097279999</v>
      </c>
      <c r="H43" s="986">
        <f>'J-1 Base'!G25</f>
        <v>11296404.47738154</v>
      </c>
      <c r="I43" s="627">
        <v>10870064</v>
      </c>
      <c r="J43" s="627">
        <v>9419091</v>
      </c>
      <c r="K43" s="627">
        <v>7906889</v>
      </c>
      <c r="L43" s="627">
        <v>6791203</v>
      </c>
      <c r="M43" s="627">
        <v>5750223</v>
      </c>
      <c r="N43" s="627">
        <v>4769951</v>
      </c>
      <c r="O43" s="627">
        <v>3898666</v>
      </c>
      <c r="P43" s="627">
        <v>3463059</v>
      </c>
      <c r="Q43" s="627">
        <v>3194797</v>
      </c>
      <c r="R43" s="627">
        <v>3086232</v>
      </c>
      <c r="S43" s="534"/>
      <c r="AA43" s="3"/>
    </row>
    <row r="44" spans="1:36">
      <c r="A44" s="605">
        <f t="shared" si="0"/>
        <v>30</v>
      </c>
      <c r="G44" s="57"/>
      <c r="H44" s="57"/>
      <c r="I44" s="630"/>
      <c r="J44" s="630"/>
      <c r="K44" s="630"/>
      <c r="L44" s="630"/>
      <c r="M44" s="630"/>
      <c r="N44" s="630"/>
      <c r="O44" s="630"/>
      <c r="P44" s="630"/>
      <c r="Q44" s="630"/>
      <c r="R44" s="630"/>
      <c r="X44" s="3"/>
      <c r="Z44" s="3"/>
      <c r="AA44" s="3"/>
      <c r="AC44" s="3"/>
      <c r="AD44" s="3"/>
      <c r="AE44" s="3"/>
      <c r="AF44" s="3"/>
      <c r="AG44" s="3"/>
      <c r="AH44" s="3"/>
    </row>
    <row r="45" spans="1:36">
      <c r="A45" s="605">
        <f t="shared" si="0"/>
        <v>31</v>
      </c>
      <c r="B45" s="4" t="s">
        <v>91</v>
      </c>
      <c r="G45" s="987">
        <f>'J-1 F'!G28</f>
        <v>20011842.279780019</v>
      </c>
      <c r="H45" s="987">
        <f>'J-1 Base'!G27</f>
        <v>18548246.582958482</v>
      </c>
      <c r="I45" s="985">
        <f t="shared" ref="I45:R45" si="5">SUM(I40:I43)</f>
        <v>17667698</v>
      </c>
      <c r="J45" s="985">
        <f t="shared" si="5"/>
        <v>17566162</v>
      </c>
      <c r="K45" s="985">
        <f t="shared" si="5"/>
        <v>15237546</v>
      </c>
      <c r="L45" s="985">
        <f t="shared" si="5"/>
        <v>11323147</v>
      </c>
      <c r="M45" s="985">
        <f t="shared" si="5"/>
        <v>9744590</v>
      </c>
      <c r="N45" s="985">
        <f t="shared" si="5"/>
        <v>8414396</v>
      </c>
      <c r="O45" s="985">
        <f>SUM(O40:O43)</f>
        <v>7413456</v>
      </c>
      <c r="P45" s="985">
        <f t="shared" si="5"/>
        <v>6731649</v>
      </c>
      <c r="Q45" s="985">
        <f t="shared" si="5"/>
        <v>6090239</v>
      </c>
      <c r="R45" s="985">
        <f t="shared" si="5"/>
        <v>5738913</v>
      </c>
      <c r="AA45" s="3"/>
    </row>
    <row r="46" spans="1:36">
      <c r="A46" s="605">
        <f t="shared" si="0"/>
        <v>32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X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6">
      <c r="A47" s="605">
        <f t="shared" si="0"/>
        <v>33</v>
      </c>
      <c r="B47" s="16" t="s">
        <v>249</v>
      </c>
      <c r="C47" s="15"/>
      <c r="D47" s="15"/>
      <c r="E47" s="15"/>
      <c r="F47" s="1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AA47" s="3"/>
    </row>
    <row r="48" spans="1:36" ht="15.75">
      <c r="A48" s="605">
        <f t="shared" si="0"/>
        <v>34</v>
      </c>
      <c r="B48" s="4" t="s">
        <v>1145</v>
      </c>
      <c r="G48" s="793">
        <f>+I.1!L19</f>
        <v>187822.0132190111</v>
      </c>
      <c r="H48" s="793">
        <f>+I.1!J19</f>
        <v>154805.38238077352</v>
      </c>
      <c r="I48" s="627">
        <v>190732</v>
      </c>
      <c r="J48" s="627">
        <v>230005.21871000004</v>
      </c>
      <c r="K48" s="627">
        <v>170968.63918</v>
      </c>
      <c r="L48" s="627">
        <v>153508.38554000002</v>
      </c>
      <c r="M48" s="627">
        <v>177708.51032000003</v>
      </c>
      <c r="N48" s="627">
        <v>180854.48095000003</v>
      </c>
      <c r="O48" s="627">
        <v>164101.98418</v>
      </c>
      <c r="P48" s="627">
        <v>147431.20070000002</v>
      </c>
      <c r="Q48" s="627">
        <v>170467.55309000003</v>
      </c>
      <c r="R48" s="627">
        <v>196881.73706000001</v>
      </c>
      <c r="S48" s="534"/>
      <c r="AA48" s="3"/>
    </row>
    <row r="49" spans="1:34" ht="15.75">
      <c r="A49" s="605">
        <f t="shared" si="0"/>
        <v>35</v>
      </c>
      <c r="B49" s="4" t="s">
        <v>279</v>
      </c>
      <c r="G49" s="57"/>
      <c r="H49" s="57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534"/>
      <c r="X49" s="3"/>
      <c r="Z49" s="3"/>
      <c r="AA49" s="3"/>
      <c r="AC49" s="3"/>
      <c r="AD49" s="3"/>
      <c r="AE49" s="3"/>
      <c r="AF49" s="3"/>
      <c r="AG49" s="3"/>
      <c r="AH49" s="3"/>
    </row>
    <row r="50" spans="1:34">
      <c r="A50" s="605">
        <f t="shared" si="0"/>
        <v>36</v>
      </c>
      <c r="B50" s="4" t="s">
        <v>593</v>
      </c>
      <c r="G50" s="793">
        <f>+I.1!L29+I.1!L21</f>
        <v>156266.24351579096</v>
      </c>
      <c r="H50" s="793">
        <f>+I.1!J29+I.1!J21</f>
        <v>119281.61026091559</v>
      </c>
      <c r="I50" s="627">
        <v>150750</v>
      </c>
      <c r="J50" s="627">
        <v>191957.97605</v>
      </c>
      <c r="K50" s="627">
        <v>140845.91335000002</v>
      </c>
      <c r="L50" s="627">
        <v>118505.37428999999</v>
      </c>
      <c r="M50" s="627">
        <v>144251.98412000001</v>
      </c>
      <c r="N50" s="627">
        <v>145816.76319999999</v>
      </c>
      <c r="O50" s="627">
        <v>124455.12636000001</v>
      </c>
      <c r="P50" s="627">
        <v>113446.59728999999</v>
      </c>
      <c r="Q50" s="627">
        <v>141525.69095999998</v>
      </c>
      <c r="R50" s="627">
        <v>166451.88477999999</v>
      </c>
      <c r="Z50" s="3"/>
      <c r="AA50" s="3"/>
    </row>
    <row r="51" spans="1:34">
      <c r="A51" s="605">
        <f t="shared" si="0"/>
        <v>37</v>
      </c>
      <c r="B51" s="4" t="s">
        <v>250</v>
      </c>
      <c r="G51" s="631"/>
      <c r="H51" s="631"/>
      <c r="I51" s="629"/>
      <c r="J51" s="629"/>
      <c r="K51" s="629"/>
      <c r="L51" s="629"/>
      <c r="M51" s="629"/>
      <c r="N51" s="629"/>
      <c r="O51" s="629"/>
      <c r="P51" s="629"/>
      <c r="Q51" s="629"/>
      <c r="R51" s="629"/>
      <c r="X51" s="3"/>
      <c r="Z51" s="3"/>
      <c r="AA51" s="3"/>
      <c r="AC51" s="3"/>
      <c r="AD51" s="3"/>
      <c r="AE51" s="3"/>
      <c r="AF51" s="3"/>
      <c r="AG51" s="3"/>
      <c r="AH51" s="3"/>
    </row>
    <row r="52" spans="1:34">
      <c r="A52" s="605">
        <f t="shared" si="0"/>
        <v>38</v>
      </c>
      <c r="B52" s="4" t="s">
        <v>251</v>
      </c>
      <c r="G52" s="631"/>
      <c r="H52" s="631"/>
      <c r="I52" s="629"/>
      <c r="J52" s="629"/>
      <c r="K52" s="629"/>
      <c r="L52" s="629"/>
      <c r="M52" s="629"/>
      <c r="N52" s="629"/>
      <c r="O52" s="629"/>
      <c r="P52" s="629"/>
      <c r="Q52" s="629"/>
      <c r="R52" s="629"/>
      <c r="Z52" s="3"/>
      <c r="AA52" s="3"/>
    </row>
    <row r="53" spans="1:34">
      <c r="A53" s="605">
        <f t="shared" si="0"/>
        <v>39</v>
      </c>
      <c r="B53" s="4" t="s">
        <v>252</v>
      </c>
      <c r="G53" s="686">
        <f>+I.1!L43</f>
        <v>5823.544099585104</v>
      </c>
      <c r="H53" s="686">
        <f>+I.1!J43</f>
        <v>6995.2689350756436</v>
      </c>
      <c r="I53" s="627">
        <v>607</v>
      </c>
      <c r="J53" s="627">
        <v>5162.7196800000011</v>
      </c>
      <c r="K53" s="627">
        <v>3870.1726900000003</v>
      </c>
      <c r="L53" s="627">
        <v>3380.3330000000001</v>
      </c>
      <c r="M53" s="627">
        <v>6288.4629999999997</v>
      </c>
      <c r="N53" s="627">
        <v>8860.9265299999988</v>
      </c>
      <c r="O53" s="627">
        <v>9696.7549999999992</v>
      </c>
      <c r="P53" s="627">
        <v>9516.4333000000006</v>
      </c>
      <c r="Q53" s="627">
        <v>9884.3428100000001</v>
      </c>
      <c r="R53" s="627">
        <v>9671.5353700000014</v>
      </c>
      <c r="X53" s="3"/>
      <c r="Z53" s="3"/>
      <c r="AA53" s="3"/>
      <c r="AC53" s="3"/>
      <c r="AD53" s="3"/>
      <c r="AE53" s="3"/>
      <c r="AF53" s="3"/>
      <c r="AG53" s="3"/>
      <c r="AH53" s="3"/>
    </row>
    <row r="54" spans="1:34">
      <c r="A54" s="605">
        <f t="shared" si="0"/>
        <v>40</v>
      </c>
      <c r="B54" s="4" t="s">
        <v>253</v>
      </c>
      <c r="G54" s="632"/>
      <c r="H54" s="632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Z54" s="3"/>
      <c r="AA54" s="3"/>
    </row>
    <row r="55" spans="1:34">
      <c r="A55" s="605">
        <f t="shared" si="0"/>
        <v>41</v>
      </c>
      <c r="B55" s="4" t="s">
        <v>764</v>
      </c>
      <c r="G55" s="605">
        <f t="shared" ref="G55:R55" si="6">G48-G50-G53-G54</f>
        <v>25732.225603635037</v>
      </c>
      <c r="H55" s="605">
        <f t="shared" si="6"/>
        <v>28528.503184782279</v>
      </c>
      <c r="I55" s="984">
        <f t="shared" si="6"/>
        <v>39375</v>
      </c>
      <c r="J55" s="984">
        <f t="shared" si="6"/>
        <v>32884.522980000045</v>
      </c>
      <c r="K55" s="984">
        <f t="shared" si="6"/>
        <v>26252.553139999982</v>
      </c>
      <c r="L55" s="984">
        <f t="shared" si="6"/>
        <v>31622.678250000026</v>
      </c>
      <c r="M55" s="984">
        <f t="shared" si="6"/>
        <v>27168.063200000022</v>
      </c>
      <c r="N55" s="984">
        <f t="shared" si="6"/>
        <v>26176.791220000043</v>
      </c>
      <c r="O55" s="984">
        <f t="shared" si="6"/>
        <v>29950.102819999993</v>
      </c>
      <c r="P55" s="984">
        <f t="shared" si="6"/>
        <v>24468.170110000025</v>
      </c>
      <c r="Q55" s="984">
        <f t="shared" si="6"/>
        <v>19057.51932000005</v>
      </c>
      <c r="R55" s="984">
        <f t="shared" si="6"/>
        <v>20758.31691000002</v>
      </c>
      <c r="Z55" s="3"/>
      <c r="AA55" s="3"/>
    </row>
    <row r="56" spans="1:34" ht="15.75">
      <c r="A56" s="605">
        <f t="shared" si="0"/>
        <v>42</v>
      </c>
      <c r="B56" s="4" t="s">
        <v>938</v>
      </c>
      <c r="G56" s="631">
        <v>0</v>
      </c>
      <c r="H56" s="631">
        <v>0</v>
      </c>
      <c r="I56" s="627">
        <v>908</v>
      </c>
      <c r="J56" s="627">
        <v>1212</v>
      </c>
      <c r="K56" s="627">
        <v>685</v>
      </c>
      <c r="L56" s="627">
        <v>615</v>
      </c>
      <c r="M56" s="627">
        <v>1513</v>
      </c>
      <c r="N56" s="627">
        <v>1239</v>
      </c>
      <c r="O56" s="627">
        <v>379</v>
      </c>
      <c r="P56" s="627">
        <v>179</v>
      </c>
      <c r="Q56" s="627">
        <v>182</v>
      </c>
      <c r="R56" s="627">
        <v>139</v>
      </c>
      <c r="S56" s="534"/>
      <c r="Z56" s="3"/>
      <c r="AA56" s="3"/>
      <c r="AC56" s="3"/>
      <c r="AD56" s="3"/>
      <c r="AE56" s="3"/>
      <c r="AF56" s="3"/>
      <c r="AG56" s="3"/>
      <c r="AH56" s="3"/>
    </row>
    <row r="57" spans="1:34">
      <c r="A57" s="605">
        <f t="shared" si="0"/>
        <v>43</v>
      </c>
      <c r="B57" s="4" t="s">
        <v>1032</v>
      </c>
      <c r="G57" s="986">
        <f>+I.1!L38</f>
        <v>2026.2992100000004</v>
      </c>
      <c r="H57" s="986">
        <f>+I.1!J38</f>
        <v>2380.5889100000004</v>
      </c>
      <c r="I57" s="627">
        <v>763</v>
      </c>
      <c r="J57" s="627">
        <v>2213</v>
      </c>
      <c r="K57" s="627">
        <v>-548</v>
      </c>
      <c r="L57" s="627">
        <v>1418</v>
      </c>
      <c r="M57" s="627">
        <v>867</v>
      </c>
      <c r="N57" s="627">
        <v>942</v>
      </c>
      <c r="O57" s="627">
        <v>2135</v>
      </c>
      <c r="P57" s="627">
        <v>1908</v>
      </c>
      <c r="Q57" s="627">
        <v>1881</v>
      </c>
      <c r="R57" s="627">
        <v>1880</v>
      </c>
    </row>
    <row r="58" spans="1:34">
      <c r="A58" s="605">
        <f t="shared" si="0"/>
        <v>44</v>
      </c>
      <c r="B58" s="4" t="s">
        <v>1033</v>
      </c>
      <c r="G58" s="605">
        <f t="shared" ref="G58:R58" si="7">G55+G56+G57</f>
        <v>27758.524813635038</v>
      </c>
      <c r="H58" s="605">
        <f t="shared" si="7"/>
        <v>30909.092094782281</v>
      </c>
      <c r="I58" s="984">
        <f t="shared" si="7"/>
        <v>41046</v>
      </c>
      <c r="J58" s="984">
        <f t="shared" si="7"/>
        <v>36309.522980000045</v>
      </c>
      <c r="K58" s="984">
        <f t="shared" si="7"/>
        <v>26389.553139999982</v>
      </c>
      <c r="L58" s="984">
        <f t="shared" si="7"/>
        <v>33655.678250000026</v>
      </c>
      <c r="M58" s="984">
        <f t="shared" si="7"/>
        <v>29548.063200000022</v>
      </c>
      <c r="N58" s="984">
        <f>N55+N56+N57</f>
        <v>28357.791220000043</v>
      </c>
      <c r="O58" s="984">
        <f t="shared" si="7"/>
        <v>32464.102819999993</v>
      </c>
      <c r="P58" s="984">
        <f t="shared" si="7"/>
        <v>26555.170110000025</v>
      </c>
      <c r="Q58" s="984">
        <f t="shared" si="7"/>
        <v>21120.51932000005</v>
      </c>
      <c r="R58" s="984">
        <f t="shared" si="7"/>
        <v>22777.31691000002</v>
      </c>
    </row>
    <row r="59" spans="1:34">
      <c r="A59" s="605">
        <f t="shared" si="0"/>
        <v>45</v>
      </c>
      <c r="B59" s="4" t="s">
        <v>1034</v>
      </c>
      <c r="G59" s="986">
        <f>+I.1!L41</f>
        <v>10241.210798650567</v>
      </c>
      <c r="H59" s="986">
        <f>+I.1!J41</f>
        <v>9867.210989474579</v>
      </c>
      <c r="I59" s="1043">
        <v>9544</v>
      </c>
      <c r="J59" s="1043">
        <v>9886</v>
      </c>
      <c r="K59" s="1043">
        <v>9199</v>
      </c>
      <c r="L59" s="1043">
        <v>8924</v>
      </c>
      <c r="M59" s="1043">
        <v>8208</v>
      </c>
      <c r="N59" s="1043">
        <v>8022</v>
      </c>
      <c r="O59" s="1043">
        <v>8009</v>
      </c>
      <c r="P59" s="1043">
        <v>7377</v>
      </c>
      <c r="Q59" s="1043">
        <v>6744</v>
      </c>
      <c r="R59" s="1043">
        <v>6419</v>
      </c>
    </row>
    <row r="60" spans="1:34">
      <c r="A60" s="605">
        <f t="shared" si="0"/>
        <v>46</v>
      </c>
      <c r="B60" s="4" t="s">
        <v>1035</v>
      </c>
      <c r="G60" s="605">
        <f t="shared" ref="G60:R60" si="8">G58-G59</f>
        <v>17517.314014984469</v>
      </c>
      <c r="H60" s="605">
        <f t="shared" si="8"/>
        <v>21041.881105307701</v>
      </c>
      <c r="I60" s="605">
        <f t="shared" si="8"/>
        <v>31502</v>
      </c>
      <c r="J60" s="605">
        <f t="shared" si="8"/>
        <v>26423.522980000045</v>
      </c>
      <c r="K60" s="605">
        <f t="shared" si="8"/>
        <v>17190.553139999982</v>
      </c>
      <c r="L60" s="605">
        <f t="shared" si="8"/>
        <v>24731.678250000026</v>
      </c>
      <c r="M60" s="605">
        <f t="shared" si="8"/>
        <v>21340.063200000022</v>
      </c>
      <c r="N60" s="605">
        <f t="shared" si="8"/>
        <v>20335.791220000043</v>
      </c>
      <c r="O60" s="605">
        <f t="shared" si="8"/>
        <v>24455.102819999993</v>
      </c>
      <c r="P60" s="605">
        <f t="shared" si="8"/>
        <v>19178.170110000025</v>
      </c>
      <c r="Q60" s="605">
        <f t="shared" si="8"/>
        <v>14376.51932000005</v>
      </c>
      <c r="R60" s="605">
        <f t="shared" si="8"/>
        <v>16358.31691000002</v>
      </c>
    </row>
    <row r="61" spans="1:34">
      <c r="A61" s="605">
        <f t="shared" si="0"/>
        <v>47</v>
      </c>
      <c r="B61" s="4" t="s">
        <v>1036</v>
      </c>
      <c r="G61" s="58" t="s">
        <v>330</v>
      </c>
      <c r="H61" s="58" t="s">
        <v>330</v>
      </c>
      <c r="I61" s="58" t="s">
        <v>330</v>
      </c>
      <c r="J61" s="58" t="s">
        <v>330</v>
      </c>
      <c r="K61" s="58" t="s">
        <v>330</v>
      </c>
      <c r="L61" s="58" t="s">
        <v>330</v>
      </c>
      <c r="M61" s="58" t="s">
        <v>330</v>
      </c>
      <c r="N61" s="58" t="s">
        <v>330</v>
      </c>
      <c r="O61" s="58" t="s">
        <v>330</v>
      </c>
      <c r="P61" s="58" t="s">
        <v>330</v>
      </c>
      <c r="Q61" s="58" t="s">
        <v>330</v>
      </c>
      <c r="R61" s="58" t="s">
        <v>330</v>
      </c>
    </row>
    <row r="62" spans="1:34" ht="15.75">
      <c r="A62" s="605">
        <f t="shared" si="0"/>
        <v>48</v>
      </c>
      <c r="B62" s="4" t="s">
        <v>363</v>
      </c>
      <c r="G62" s="985">
        <f t="shared" ref="G62:R62" si="9">G60</f>
        <v>17517.314014984469</v>
      </c>
      <c r="H62" s="985">
        <f t="shared" si="9"/>
        <v>21041.881105307701</v>
      </c>
      <c r="I62" s="985">
        <f t="shared" si="9"/>
        <v>31502</v>
      </c>
      <c r="J62" s="985">
        <f t="shared" si="9"/>
        <v>26423.522980000045</v>
      </c>
      <c r="K62" s="985">
        <f t="shared" si="9"/>
        <v>17190.553139999982</v>
      </c>
      <c r="L62" s="985">
        <f t="shared" si="9"/>
        <v>24731.678250000026</v>
      </c>
      <c r="M62" s="985">
        <f t="shared" si="9"/>
        <v>21340.063200000022</v>
      </c>
      <c r="N62" s="985">
        <f t="shared" si="9"/>
        <v>20335.791220000043</v>
      </c>
      <c r="O62" s="985">
        <f t="shared" si="9"/>
        <v>24455.102819999993</v>
      </c>
      <c r="P62" s="985">
        <f t="shared" si="9"/>
        <v>19178.170110000025</v>
      </c>
      <c r="Q62" s="985">
        <f t="shared" si="9"/>
        <v>14376.51932000005</v>
      </c>
      <c r="R62" s="985">
        <f t="shared" si="9"/>
        <v>16358.31691000002</v>
      </c>
      <c r="S62" s="534"/>
    </row>
    <row r="63" spans="1:34">
      <c r="A63" s="605">
        <f t="shared" si="0"/>
        <v>49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1:34">
      <c r="A64" s="605">
        <f t="shared" si="0"/>
        <v>50</v>
      </c>
      <c r="B64" s="4" t="s">
        <v>699</v>
      </c>
      <c r="G64" s="988">
        <f t="shared" ref="G64:R64" si="10">ROUND(G56/G62,4)</f>
        <v>0</v>
      </c>
      <c r="H64" s="988">
        <f t="shared" si="10"/>
        <v>0</v>
      </c>
      <c r="I64" s="988">
        <f t="shared" ref="I64" si="11">ROUND(I56/I62,4)</f>
        <v>2.8799999999999999E-2</v>
      </c>
      <c r="J64" s="988">
        <f t="shared" si="10"/>
        <v>4.5900000000000003E-2</v>
      </c>
      <c r="K64" s="988">
        <f t="shared" si="10"/>
        <v>3.9800000000000002E-2</v>
      </c>
      <c r="L64" s="988">
        <f t="shared" si="10"/>
        <v>2.4899999999999999E-2</v>
      </c>
      <c r="M64" s="988">
        <f t="shared" si="10"/>
        <v>7.0900000000000005E-2</v>
      </c>
      <c r="N64" s="988">
        <f t="shared" si="10"/>
        <v>6.0900000000000003E-2</v>
      </c>
      <c r="O64" s="988">
        <f t="shared" si="10"/>
        <v>1.55E-2</v>
      </c>
      <c r="P64" s="988">
        <f t="shared" si="10"/>
        <v>9.2999999999999992E-3</v>
      </c>
      <c r="Q64" s="988">
        <f t="shared" si="10"/>
        <v>1.2699999999999999E-2</v>
      </c>
      <c r="R64" s="988">
        <f t="shared" si="10"/>
        <v>8.5000000000000006E-3</v>
      </c>
    </row>
    <row r="65" spans="1:19">
      <c r="A65" s="605">
        <f t="shared" si="0"/>
        <v>51</v>
      </c>
      <c r="B65" s="4" t="s">
        <v>700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</row>
    <row r="66" spans="1:19">
      <c r="A66" s="605">
        <f t="shared" si="0"/>
        <v>52</v>
      </c>
      <c r="B66" s="4" t="s">
        <v>701</v>
      </c>
      <c r="G66" s="988">
        <f t="shared" ref="G66:R66" si="12">ROUND(G56/G62,4)</f>
        <v>0</v>
      </c>
      <c r="H66" s="988">
        <f t="shared" si="12"/>
        <v>0</v>
      </c>
      <c r="I66" s="988">
        <f>ROUND(I56/I62,4)</f>
        <v>2.8799999999999999E-2</v>
      </c>
      <c r="J66" s="988">
        <f>ROUND(J56/J62,4)</f>
        <v>4.5900000000000003E-2</v>
      </c>
      <c r="K66" s="988">
        <f t="shared" si="12"/>
        <v>3.9800000000000002E-2</v>
      </c>
      <c r="L66" s="988">
        <f t="shared" si="12"/>
        <v>2.4899999999999999E-2</v>
      </c>
      <c r="M66" s="988">
        <f t="shared" si="12"/>
        <v>7.0900000000000005E-2</v>
      </c>
      <c r="N66" s="988">
        <f t="shared" si="12"/>
        <v>6.0900000000000003E-2</v>
      </c>
      <c r="O66" s="988">
        <f t="shared" si="12"/>
        <v>1.55E-2</v>
      </c>
      <c r="P66" s="988">
        <f t="shared" si="12"/>
        <v>9.2999999999999992E-3</v>
      </c>
      <c r="Q66" s="988">
        <f t="shared" si="12"/>
        <v>1.2699999999999999E-2</v>
      </c>
      <c r="R66" s="988">
        <f t="shared" si="12"/>
        <v>8.5000000000000006E-3</v>
      </c>
    </row>
    <row r="67" spans="1:19">
      <c r="A67" s="605">
        <f t="shared" si="0"/>
        <v>53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1:19">
      <c r="A68" s="605">
        <f t="shared" si="0"/>
        <v>54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1:19">
      <c r="A69" s="605">
        <f t="shared" si="0"/>
        <v>55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1:19">
      <c r="A70" s="605">
        <f t="shared" si="0"/>
        <v>56</v>
      </c>
      <c r="B70" s="16" t="s">
        <v>1653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1:19">
      <c r="A71" s="605">
        <f t="shared" si="0"/>
        <v>57</v>
      </c>
      <c r="B71" s="4" t="s">
        <v>702</v>
      </c>
      <c r="C71" s="15"/>
      <c r="G71" s="767">
        <f>+'J-1 F'!K20</f>
        <v>0.1714</v>
      </c>
      <c r="H71" s="767">
        <f>+'J-1 Base'!K19</f>
        <v>0.17136080852890212</v>
      </c>
      <c r="I71" s="925">
        <v>9.35E-2</v>
      </c>
      <c r="J71" s="925">
        <v>0.2954</v>
      </c>
      <c r="K71" s="925">
        <v>0.53979999999999995</v>
      </c>
      <c r="L71" s="925">
        <v>0.22459999999999999</v>
      </c>
      <c r="M71" s="925">
        <v>8.0600000000000005E-2</v>
      </c>
      <c r="N71" s="925">
        <v>3.4000000000000002E-2</v>
      </c>
      <c r="O71" s="925">
        <v>1.6799999999999999E-2</v>
      </c>
      <c r="P71" s="925">
        <v>1.12E-2</v>
      </c>
      <c r="Q71" s="925">
        <v>1.09E-2</v>
      </c>
      <c r="R71" s="925">
        <v>1.49E-2</v>
      </c>
    </row>
    <row r="72" spans="1:19">
      <c r="A72" s="605">
        <f t="shared" si="0"/>
        <v>58</v>
      </c>
      <c r="B72" s="4" t="s">
        <v>703</v>
      </c>
      <c r="F72" s="10"/>
      <c r="G72" s="767">
        <f>+'J-1 F'!K22</f>
        <v>4.1099999999999998E-2</v>
      </c>
      <c r="H72" s="767">
        <f>+'J-1 Base'!K21</f>
        <v>3.9699999999999999E-2</v>
      </c>
      <c r="I72" s="925">
        <v>3.61E-2</v>
      </c>
      <c r="J72" s="925">
        <v>3.1600000000000003E-2</v>
      </c>
      <c r="K72" s="925">
        <v>3.15E-2</v>
      </c>
      <c r="L72" s="925">
        <v>4.2599999999999999E-2</v>
      </c>
      <c r="M72" s="925">
        <v>4.6899999999999997E-2</v>
      </c>
      <c r="N72" s="925">
        <v>5.1900000000000002E-2</v>
      </c>
      <c r="O72" s="925">
        <v>5.45E-2</v>
      </c>
      <c r="P72" s="925">
        <v>5.8900000000000001E-2</v>
      </c>
      <c r="Q72" s="925">
        <v>5.8999999999999997E-2</v>
      </c>
      <c r="R72" s="925">
        <v>6.0299999999999999E-2</v>
      </c>
    </row>
    <row r="73" spans="1:19">
      <c r="A73" s="605">
        <f t="shared" si="0"/>
        <v>59</v>
      </c>
      <c r="B73" s="4" t="s">
        <v>940</v>
      </c>
      <c r="F73" s="10"/>
      <c r="G73" s="57" t="s">
        <v>330</v>
      </c>
      <c r="H73" s="57" t="s">
        <v>330</v>
      </c>
      <c r="I73" s="627" t="s">
        <v>330</v>
      </c>
      <c r="J73" s="627" t="s">
        <v>330</v>
      </c>
      <c r="K73" s="627" t="s">
        <v>330</v>
      </c>
      <c r="L73" s="627" t="s">
        <v>330</v>
      </c>
      <c r="M73" s="627" t="s">
        <v>330</v>
      </c>
      <c r="N73" s="627" t="s">
        <v>330</v>
      </c>
      <c r="O73" s="627" t="s">
        <v>330</v>
      </c>
      <c r="P73" s="627" t="s">
        <v>330</v>
      </c>
      <c r="Q73" s="627" t="s">
        <v>330</v>
      </c>
      <c r="R73" s="627" t="s">
        <v>330</v>
      </c>
    </row>
    <row r="74" spans="1:19">
      <c r="A74" s="605">
        <f t="shared" si="0"/>
        <v>60</v>
      </c>
      <c r="F74" s="10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9">
      <c r="A75" s="605">
        <f t="shared" si="0"/>
        <v>61</v>
      </c>
      <c r="B75" s="16" t="s">
        <v>948</v>
      </c>
      <c r="F75" s="10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</row>
    <row r="76" spans="1:19" ht="15.75">
      <c r="A76" s="605">
        <f t="shared" si="0"/>
        <v>62</v>
      </c>
      <c r="B76" s="4" t="s">
        <v>778</v>
      </c>
      <c r="C76" s="15"/>
      <c r="D76" s="15"/>
      <c r="F76" s="10"/>
      <c r="G76" s="989">
        <f>(+G53+G58)/G59</f>
        <v>3.2791111884587987</v>
      </c>
      <c r="H76" s="989">
        <f>(+H53+H58)/H59</f>
        <v>3.8414462881447209</v>
      </c>
      <c r="I76" s="990">
        <v>7.45</v>
      </c>
      <c r="J76" s="990">
        <v>8.25</v>
      </c>
      <c r="K76" s="990">
        <v>9.4039832272477</v>
      </c>
      <c r="L76" s="990">
        <v>8.9</v>
      </c>
      <c r="M76" s="990">
        <v>6.98</v>
      </c>
      <c r="N76" s="990">
        <v>6.14</v>
      </c>
      <c r="O76" s="990">
        <v>5.85</v>
      </c>
      <c r="P76" s="990">
        <v>5.7223635160087802</v>
      </c>
      <c r="Q76" s="990">
        <v>5.26</v>
      </c>
      <c r="R76" s="990">
        <v>4.6900000000000004</v>
      </c>
      <c r="S76" s="534"/>
    </row>
    <row r="77" spans="1:19">
      <c r="A77" s="605">
        <f t="shared" si="0"/>
        <v>63</v>
      </c>
      <c r="B77" s="4" t="s">
        <v>779</v>
      </c>
      <c r="F77" s="10"/>
      <c r="G77" s="989">
        <f>(+G53+G58-G56)/G59</f>
        <v>3.2791111884587987</v>
      </c>
      <c r="H77" s="989">
        <f>(+H53+H58-H56)/H59</f>
        <v>3.8414462881447209</v>
      </c>
      <c r="I77" s="990">
        <v>8.2799999999999994</v>
      </c>
      <c r="J77" s="990">
        <v>9.2899999999999991</v>
      </c>
      <c r="K77" s="990">
        <v>10.81</v>
      </c>
      <c r="L77" s="990">
        <v>9.84</v>
      </c>
      <c r="M77" s="990">
        <v>7.3</v>
      </c>
      <c r="N77" s="990">
        <v>6.73</v>
      </c>
      <c r="O77" s="990">
        <v>6.03</v>
      </c>
      <c r="P77" s="990">
        <v>5.74</v>
      </c>
      <c r="Q77" s="990">
        <v>5.2803035946008698</v>
      </c>
      <c r="R77" s="990">
        <v>4.7</v>
      </c>
    </row>
    <row r="78" spans="1:19">
      <c r="A78" s="605">
        <f t="shared" si="0"/>
        <v>64</v>
      </c>
      <c r="B78" s="4" t="s">
        <v>1065</v>
      </c>
      <c r="F78" s="10"/>
      <c r="G78" s="989">
        <f>G58/G59</f>
        <v>2.7104729469383289</v>
      </c>
      <c r="H78" s="989">
        <f>H58/H59</f>
        <v>3.1325054392526135</v>
      </c>
      <c r="I78" s="990">
        <v>6.71</v>
      </c>
      <c r="J78" s="990">
        <v>7.58</v>
      </c>
      <c r="K78" s="990">
        <v>7.8</v>
      </c>
      <c r="L78" s="990">
        <v>7.34</v>
      </c>
      <c r="M78" s="990">
        <v>5.69</v>
      </c>
      <c r="N78" s="990">
        <v>6.07</v>
      </c>
      <c r="O78" s="990">
        <v>4.0599999999999996</v>
      </c>
      <c r="P78" s="990">
        <v>3.2418469012036302</v>
      </c>
      <c r="Q78" s="990">
        <v>3.71053242831703</v>
      </c>
      <c r="R78" s="990">
        <v>3.2418469012036302</v>
      </c>
    </row>
    <row r="79" spans="1:19">
      <c r="A79" s="605">
        <f t="shared" si="0"/>
        <v>65</v>
      </c>
      <c r="B79" s="4" t="s">
        <v>1540</v>
      </c>
      <c r="F79" s="10"/>
      <c r="G79" s="57" t="s">
        <v>330</v>
      </c>
      <c r="H79" s="57" t="s">
        <v>330</v>
      </c>
      <c r="I79" s="990" t="s">
        <v>330</v>
      </c>
      <c r="J79" s="990" t="s">
        <v>330</v>
      </c>
      <c r="K79" s="990" t="s">
        <v>330</v>
      </c>
      <c r="L79" s="990" t="s">
        <v>330</v>
      </c>
      <c r="M79" s="990" t="s">
        <v>330</v>
      </c>
      <c r="N79" s="990" t="s">
        <v>330</v>
      </c>
      <c r="O79" s="990">
        <v>5.45</v>
      </c>
      <c r="P79" s="990">
        <v>5.16</v>
      </c>
      <c r="Q79" s="990">
        <v>4.7699999999999996</v>
      </c>
      <c r="R79" s="990">
        <v>4.1100000000000003</v>
      </c>
    </row>
    <row r="80" spans="1:19">
      <c r="A80" s="605">
        <f t="shared" si="0"/>
        <v>66</v>
      </c>
      <c r="B80" s="4" t="s">
        <v>1066</v>
      </c>
      <c r="F80" s="10"/>
      <c r="G80" s="989">
        <f>(G58-G56)/G59</f>
        <v>2.7104729469383289</v>
      </c>
      <c r="H80" s="989">
        <f>(H58-H56)/H59</f>
        <v>3.1325054392526135</v>
      </c>
      <c r="I80" s="990">
        <v>7.45</v>
      </c>
      <c r="J80" s="990">
        <v>8.5299999999999994</v>
      </c>
      <c r="K80" s="990">
        <v>8.9700000000000006</v>
      </c>
      <c r="L80" s="990">
        <v>8.1199999999999992</v>
      </c>
      <c r="M80" s="990">
        <v>5.96</v>
      </c>
      <c r="N80" s="990">
        <v>6.6548206214954204</v>
      </c>
      <c r="O80" s="990">
        <v>4.1844286165981597</v>
      </c>
      <c r="P80" s="990">
        <v>4.0713051167125398</v>
      </c>
      <c r="Q80" s="990">
        <v>3.73</v>
      </c>
      <c r="R80" s="990">
        <v>3.25</v>
      </c>
    </row>
    <row r="81" spans="1:19">
      <c r="A81" s="605">
        <f t="shared" ref="A81:A132" si="13">A80+1</f>
        <v>67</v>
      </c>
      <c r="B81" s="4" t="s">
        <v>1067</v>
      </c>
      <c r="F81" s="10"/>
      <c r="G81" s="57" t="s">
        <v>330</v>
      </c>
      <c r="H81" s="57" t="s">
        <v>330</v>
      </c>
      <c r="I81" s="990" t="s">
        <v>330</v>
      </c>
      <c r="J81" s="990" t="s">
        <v>330</v>
      </c>
      <c r="K81" s="990" t="s">
        <v>330</v>
      </c>
      <c r="L81" s="990" t="s">
        <v>330</v>
      </c>
      <c r="M81" s="990" t="s">
        <v>330</v>
      </c>
      <c r="N81" s="990" t="s">
        <v>330</v>
      </c>
      <c r="O81" s="990" t="s">
        <v>330</v>
      </c>
      <c r="P81" s="990" t="s">
        <v>330</v>
      </c>
      <c r="Q81" s="990" t="s">
        <v>330</v>
      </c>
      <c r="R81" s="990" t="s">
        <v>330</v>
      </c>
    </row>
    <row r="82" spans="1:19">
      <c r="A82" s="605">
        <f t="shared" si="13"/>
        <v>68</v>
      </c>
      <c r="B82" s="4" t="s">
        <v>1541</v>
      </c>
      <c r="G82" s="57" t="s">
        <v>330</v>
      </c>
      <c r="H82" s="57" t="s">
        <v>330</v>
      </c>
      <c r="I82" s="990" t="s">
        <v>330</v>
      </c>
      <c r="J82" s="990" t="s">
        <v>330</v>
      </c>
      <c r="K82" s="990" t="s">
        <v>330</v>
      </c>
      <c r="L82" s="990" t="s">
        <v>330</v>
      </c>
      <c r="M82" s="990" t="s">
        <v>330</v>
      </c>
      <c r="N82" s="990" t="s">
        <v>330</v>
      </c>
      <c r="O82" s="990">
        <v>3.81</v>
      </c>
      <c r="P82" s="990">
        <v>3.64</v>
      </c>
      <c r="Q82" s="990">
        <v>3.32</v>
      </c>
      <c r="R82" s="990">
        <v>3.02</v>
      </c>
    </row>
    <row r="83" spans="1:19">
      <c r="A83" s="605">
        <f t="shared" si="13"/>
        <v>69</v>
      </c>
      <c r="F83" s="11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9">
      <c r="A84" s="605">
        <f t="shared" si="13"/>
        <v>70</v>
      </c>
      <c r="B84" s="16" t="s">
        <v>1068</v>
      </c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</row>
    <row r="85" spans="1:19" ht="15.75">
      <c r="A85" s="605">
        <f t="shared" si="13"/>
        <v>71</v>
      </c>
      <c r="B85" s="4" t="s">
        <v>716</v>
      </c>
      <c r="C85" s="15"/>
      <c r="D85" s="15"/>
      <c r="G85" s="57" t="s">
        <v>330</v>
      </c>
      <c r="H85" s="57" t="s">
        <v>330</v>
      </c>
      <c r="I85" s="627" t="s">
        <v>1746</v>
      </c>
      <c r="J85" s="627" t="s">
        <v>1746</v>
      </c>
      <c r="K85" s="627" t="s">
        <v>1746</v>
      </c>
      <c r="L85" s="627" t="s">
        <v>1746</v>
      </c>
      <c r="M85" s="627" t="s">
        <v>1747</v>
      </c>
      <c r="N85" s="627" t="s">
        <v>1747</v>
      </c>
      <c r="O85" s="627" t="s">
        <v>1747</v>
      </c>
      <c r="P85" s="627" t="s">
        <v>1747</v>
      </c>
      <c r="Q85" s="627" t="s">
        <v>1747</v>
      </c>
      <c r="R85" s="627" t="s">
        <v>1747</v>
      </c>
      <c r="S85" s="534"/>
    </row>
    <row r="86" spans="1:19" ht="15.75">
      <c r="A86" s="605">
        <f t="shared" si="13"/>
        <v>72</v>
      </c>
      <c r="B86" s="4" t="s">
        <v>717</v>
      </c>
      <c r="F86" s="10"/>
      <c r="G86" s="57" t="s">
        <v>330</v>
      </c>
      <c r="H86" s="57" t="s">
        <v>330</v>
      </c>
      <c r="I86" s="627" t="s">
        <v>1748</v>
      </c>
      <c r="J86" s="627" t="s">
        <v>1748</v>
      </c>
      <c r="K86" s="627" t="s">
        <v>1748</v>
      </c>
      <c r="L86" s="627" t="s">
        <v>1746</v>
      </c>
      <c r="M86" s="627" t="s">
        <v>164</v>
      </c>
      <c r="N86" s="627" t="s">
        <v>164</v>
      </c>
      <c r="O86" s="627" t="s">
        <v>164</v>
      </c>
      <c r="P86" s="627" t="s">
        <v>164</v>
      </c>
      <c r="Q86" s="627" t="s">
        <v>1748</v>
      </c>
      <c r="R86" s="627" t="s">
        <v>1748</v>
      </c>
      <c r="S86" s="534"/>
    </row>
    <row r="87" spans="1:19">
      <c r="A87" s="605">
        <f t="shared" si="13"/>
        <v>73</v>
      </c>
      <c r="B87" s="4" t="s">
        <v>549</v>
      </c>
      <c r="G87" s="57" t="s">
        <v>330</v>
      </c>
      <c r="H87" s="57" t="s">
        <v>330</v>
      </c>
      <c r="I87" s="627" t="s">
        <v>330</v>
      </c>
      <c r="J87" s="627" t="s">
        <v>330</v>
      </c>
      <c r="K87" s="627" t="s">
        <v>330</v>
      </c>
      <c r="L87" s="627" t="s">
        <v>330</v>
      </c>
      <c r="M87" s="627" t="s">
        <v>330</v>
      </c>
      <c r="N87" s="627" t="s">
        <v>330</v>
      </c>
      <c r="O87" s="627" t="s">
        <v>330</v>
      </c>
      <c r="P87" s="627" t="s">
        <v>330</v>
      </c>
      <c r="Q87" s="627" t="s">
        <v>330</v>
      </c>
      <c r="R87" s="627" t="s">
        <v>330</v>
      </c>
    </row>
    <row r="88" spans="1:19">
      <c r="A88" s="605">
        <f t="shared" si="13"/>
        <v>74</v>
      </c>
      <c r="B88" s="4" t="s">
        <v>550</v>
      </c>
      <c r="G88" s="57" t="s">
        <v>330</v>
      </c>
      <c r="H88" s="57" t="s">
        <v>330</v>
      </c>
      <c r="I88" s="627" t="s">
        <v>330</v>
      </c>
      <c r="J88" s="627" t="s">
        <v>330</v>
      </c>
      <c r="K88" s="627" t="s">
        <v>330</v>
      </c>
      <c r="L88" s="627" t="s">
        <v>330</v>
      </c>
      <c r="M88" s="627" t="s">
        <v>330</v>
      </c>
      <c r="N88" s="627" t="s">
        <v>330</v>
      </c>
      <c r="O88" s="627" t="s">
        <v>330</v>
      </c>
      <c r="P88" s="627" t="s">
        <v>330</v>
      </c>
      <c r="Q88" s="627" t="s">
        <v>330</v>
      </c>
      <c r="R88" s="627" t="s">
        <v>330</v>
      </c>
    </row>
    <row r="89" spans="1:19">
      <c r="A89" s="605">
        <f t="shared" si="13"/>
        <v>75</v>
      </c>
      <c r="G89" s="57" t="s">
        <v>314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</row>
    <row r="90" spans="1:19">
      <c r="A90" s="605">
        <f t="shared" si="13"/>
        <v>76</v>
      </c>
      <c r="B90" s="16" t="s">
        <v>551</v>
      </c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9" ht="15.75">
      <c r="A91" s="605">
        <f t="shared" si="13"/>
        <v>77</v>
      </c>
      <c r="B91" s="4" t="s">
        <v>552</v>
      </c>
      <c r="C91" s="15"/>
      <c r="D91" s="15"/>
      <c r="E91" s="15"/>
      <c r="G91" s="57" t="s">
        <v>330</v>
      </c>
      <c r="H91" s="57" t="s">
        <v>330</v>
      </c>
      <c r="I91" s="627">
        <v>148493</v>
      </c>
      <c r="J91" s="627">
        <v>140897</v>
      </c>
      <c r="K91" s="627">
        <v>132420</v>
      </c>
      <c r="L91" s="627">
        <v>125882</v>
      </c>
      <c r="M91" s="627">
        <v>119339</v>
      </c>
      <c r="N91" s="627">
        <v>111274</v>
      </c>
      <c r="O91" s="627">
        <v>106105</v>
      </c>
      <c r="P91" s="627">
        <v>103931</v>
      </c>
      <c r="Q91" s="627">
        <v>101479</v>
      </c>
      <c r="R91" s="627">
        <v>100388</v>
      </c>
      <c r="S91" s="534"/>
    </row>
    <row r="92" spans="1:19">
      <c r="A92" s="605">
        <f t="shared" si="13"/>
        <v>78</v>
      </c>
      <c r="B92" s="4" t="s">
        <v>828</v>
      </c>
      <c r="G92" s="57" t="s">
        <v>330</v>
      </c>
      <c r="H92" s="57" t="s">
        <v>330</v>
      </c>
      <c r="I92" s="627"/>
      <c r="J92" s="627"/>
      <c r="K92" s="627"/>
      <c r="L92" s="627"/>
      <c r="M92" s="627"/>
      <c r="N92" s="627"/>
      <c r="O92" s="627"/>
      <c r="P92" s="627"/>
      <c r="Q92" s="627"/>
      <c r="R92" s="627"/>
    </row>
    <row r="93" spans="1:19" ht="15.75">
      <c r="A93" s="605">
        <f t="shared" si="13"/>
        <v>79</v>
      </c>
      <c r="B93" s="4" t="s">
        <v>604</v>
      </c>
      <c r="G93" s="57" t="s">
        <v>330</v>
      </c>
      <c r="H93" s="57" t="s">
        <v>330</v>
      </c>
      <c r="I93" s="627">
        <v>145166</v>
      </c>
      <c r="J93" s="627">
        <v>138096</v>
      </c>
      <c r="K93" s="627">
        <v>129834</v>
      </c>
      <c r="L93" s="627">
        <v>122872</v>
      </c>
      <c r="M93" s="627">
        <v>117461</v>
      </c>
      <c r="N93" s="627">
        <v>111012</v>
      </c>
      <c r="O93" s="627">
        <v>106100</v>
      </c>
      <c r="P93" s="627">
        <v>103524</v>
      </c>
      <c r="Q93" s="627">
        <v>101892</v>
      </c>
      <c r="R93" s="627">
        <v>97608</v>
      </c>
      <c r="S93" s="534"/>
    </row>
    <row r="94" spans="1:19">
      <c r="A94" s="605">
        <f t="shared" si="13"/>
        <v>80</v>
      </c>
      <c r="B94" s="4" t="s">
        <v>994</v>
      </c>
      <c r="G94" s="57" t="s">
        <v>330</v>
      </c>
      <c r="H94" s="57" t="s">
        <v>330</v>
      </c>
      <c r="I94" s="990">
        <v>6.1</v>
      </c>
      <c r="J94" s="990">
        <v>5.6</v>
      </c>
      <c r="K94" s="990">
        <v>5.12</v>
      </c>
      <c r="L94" s="990">
        <v>4.8899999999999997</v>
      </c>
      <c r="M94" s="990">
        <v>4.3499999999999996</v>
      </c>
      <c r="N94" s="990">
        <v>5.43</v>
      </c>
      <c r="O94" s="990">
        <v>3.73</v>
      </c>
      <c r="P94" s="990">
        <v>3.38</v>
      </c>
      <c r="Q94" s="990">
        <v>3.09</v>
      </c>
      <c r="R94" s="990">
        <v>2.96</v>
      </c>
    </row>
    <row r="95" spans="1:19">
      <c r="A95" s="605">
        <f t="shared" si="13"/>
        <v>81</v>
      </c>
      <c r="B95" s="4" t="s">
        <v>995</v>
      </c>
      <c r="G95" s="57" t="s">
        <v>330</v>
      </c>
      <c r="H95" s="57" t="s">
        <v>330</v>
      </c>
      <c r="I95" s="990">
        <v>2.96</v>
      </c>
      <c r="J95" s="990">
        <v>2.72</v>
      </c>
      <c r="K95" s="990">
        <v>2.5</v>
      </c>
      <c r="L95" s="990">
        <v>2.2999999999999998</v>
      </c>
      <c r="M95" s="990">
        <v>2.1</v>
      </c>
      <c r="N95" s="990">
        <v>1.94</v>
      </c>
      <c r="O95" s="990">
        <v>1.8</v>
      </c>
      <c r="P95" s="990">
        <v>1.68</v>
      </c>
      <c r="Q95" s="990">
        <v>1.56</v>
      </c>
      <c r="R95" s="990">
        <v>1.48</v>
      </c>
    </row>
    <row r="96" spans="1:19" ht="15.75">
      <c r="A96" s="605">
        <f t="shared" si="13"/>
        <v>82</v>
      </c>
      <c r="B96" s="4" t="s">
        <v>812</v>
      </c>
      <c r="G96" s="57" t="s">
        <v>330</v>
      </c>
      <c r="H96" s="57" t="s">
        <v>330</v>
      </c>
      <c r="I96" s="990">
        <v>2.96</v>
      </c>
      <c r="J96" s="990">
        <v>2.72</v>
      </c>
      <c r="K96" s="990">
        <v>2.5</v>
      </c>
      <c r="L96" s="990">
        <v>2.2999999999999998</v>
      </c>
      <c r="M96" s="990">
        <v>2.1</v>
      </c>
      <c r="N96" s="990">
        <v>1.94</v>
      </c>
      <c r="O96" s="990">
        <v>1.8</v>
      </c>
      <c r="P96" s="990">
        <v>1.68</v>
      </c>
      <c r="Q96" s="990">
        <v>1.56</v>
      </c>
      <c r="R96" s="990">
        <v>1.48</v>
      </c>
      <c r="S96" s="534"/>
    </row>
    <row r="97" spans="1:19">
      <c r="A97" s="605">
        <f t="shared" si="13"/>
        <v>83</v>
      </c>
      <c r="B97" s="4" t="s">
        <v>504</v>
      </c>
      <c r="G97" s="57" t="s">
        <v>330</v>
      </c>
      <c r="H97" s="57" t="s">
        <v>330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9">
      <c r="A98" s="605">
        <f t="shared" si="13"/>
        <v>84</v>
      </c>
      <c r="B98" s="4" t="s">
        <v>32</v>
      </c>
      <c r="G98" s="57" t="s">
        <v>330</v>
      </c>
      <c r="H98" s="57" t="s">
        <v>330</v>
      </c>
      <c r="I98" s="991">
        <f>I96/I94</f>
        <v>0.48524590163934428</v>
      </c>
      <c r="J98" s="991">
        <f>J96/J94</f>
        <v>0.48571428571428577</v>
      </c>
      <c r="K98" s="991">
        <f>K96/K94</f>
        <v>0.48828125</v>
      </c>
      <c r="L98" s="991">
        <f>L96/L94</f>
        <v>0.47034764826175868</v>
      </c>
      <c r="M98" s="748">
        <f t="shared" ref="M98:R98" si="14">M96/M94</f>
        <v>0.48275862068965525</v>
      </c>
      <c r="N98" s="748">
        <f t="shared" si="14"/>
        <v>0.35727440147329653</v>
      </c>
      <c r="O98" s="748">
        <f t="shared" si="14"/>
        <v>0.48257372654155495</v>
      </c>
      <c r="P98" s="748">
        <f t="shared" si="14"/>
        <v>0.49704142011834318</v>
      </c>
      <c r="Q98" s="748">
        <f t="shared" si="14"/>
        <v>0.50485436893203883</v>
      </c>
      <c r="R98" s="748">
        <f t="shared" si="14"/>
        <v>0.5</v>
      </c>
    </row>
    <row r="99" spans="1:19">
      <c r="A99" s="605">
        <f t="shared" si="13"/>
        <v>85</v>
      </c>
      <c r="B99" s="4" t="s">
        <v>505</v>
      </c>
      <c r="G99" s="57" t="s">
        <v>330</v>
      </c>
      <c r="H99" s="57" t="s">
        <v>330</v>
      </c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9" ht="15.75">
      <c r="A100" s="605">
        <f t="shared" si="13"/>
        <v>86</v>
      </c>
      <c r="B100" s="4" t="s">
        <v>506</v>
      </c>
      <c r="G100" s="57" t="s">
        <v>330</v>
      </c>
      <c r="H100" s="57" t="s">
        <v>330</v>
      </c>
      <c r="I100" s="990">
        <v>114.90213870967739</v>
      </c>
      <c r="J100" s="990">
        <v>110.11558387096773</v>
      </c>
      <c r="K100" s="990">
        <v>92.042019672131133</v>
      </c>
      <c r="L100" s="990">
        <v>111.58455322580643</v>
      </c>
      <c r="M100" s="990">
        <v>99.5</v>
      </c>
      <c r="N100" s="990">
        <v>92.29</v>
      </c>
      <c r="O100" s="990">
        <v>74.73</v>
      </c>
      <c r="P100" s="990">
        <v>64.25</v>
      </c>
      <c r="Q100" s="990">
        <v>58.08</v>
      </c>
      <c r="R100" s="990">
        <v>47.06</v>
      </c>
      <c r="S100" s="534"/>
    </row>
    <row r="101" spans="1:19">
      <c r="A101" s="605">
        <f t="shared" si="13"/>
        <v>87</v>
      </c>
      <c r="B101" s="4" t="s">
        <v>507</v>
      </c>
      <c r="G101" s="57" t="s">
        <v>330</v>
      </c>
      <c r="H101" s="57" t="s">
        <v>330</v>
      </c>
      <c r="I101" s="990">
        <v>112.55743225806452</v>
      </c>
      <c r="J101" s="990">
        <v>107.90324032258064</v>
      </c>
      <c r="K101" s="990">
        <v>89.981811475409842</v>
      </c>
      <c r="L101" s="990">
        <v>107.72552741935483</v>
      </c>
      <c r="M101" s="990">
        <v>89.33</v>
      </c>
      <c r="N101" s="990">
        <v>84.41</v>
      </c>
      <c r="O101" s="990">
        <v>68.959999999999994</v>
      </c>
      <c r="P101" s="990">
        <v>57.82</v>
      </c>
      <c r="Q101" s="990">
        <v>47.35</v>
      </c>
      <c r="R101" s="990">
        <v>41.08</v>
      </c>
    </row>
    <row r="102" spans="1:19">
      <c r="A102" s="605">
        <f t="shared" si="13"/>
        <v>88</v>
      </c>
      <c r="B102" s="4" t="s">
        <v>508</v>
      </c>
      <c r="G102" s="57" t="s">
        <v>330</v>
      </c>
      <c r="H102" s="57" t="s">
        <v>330</v>
      </c>
      <c r="I102" s="990">
        <v>116.69829193548387</v>
      </c>
      <c r="J102" s="990">
        <v>115.75269354838707</v>
      </c>
      <c r="K102" s="990">
        <v>101.02285555555554</v>
      </c>
      <c r="L102" s="990">
        <v>102.5549761904762</v>
      </c>
      <c r="M102" s="990">
        <v>103.72</v>
      </c>
      <c r="N102" s="990">
        <v>85.89</v>
      </c>
      <c r="O102" s="990">
        <v>80.400000000000006</v>
      </c>
      <c r="P102" s="990">
        <v>74.33</v>
      </c>
      <c r="Q102" s="990">
        <v>58.81</v>
      </c>
      <c r="R102" s="990">
        <v>48.01</v>
      </c>
    </row>
    <row r="103" spans="1:19">
      <c r="A103" s="605">
        <f t="shared" si="13"/>
        <v>89</v>
      </c>
      <c r="B103" s="4" t="s">
        <v>509</v>
      </c>
      <c r="G103" s="57" t="s">
        <v>330</v>
      </c>
      <c r="H103" s="57" t="s">
        <v>330</v>
      </c>
      <c r="I103" s="990">
        <v>114.65685161290322</v>
      </c>
      <c r="J103" s="990">
        <v>113.4316596774194</v>
      </c>
      <c r="K103" s="990">
        <v>99.552065079365079</v>
      </c>
      <c r="L103" s="990">
        <v>99.281507936507921</v>
      </c>
      <c r="M103" s="990">
        <v>89.85</v>
      </c>
      <c r="N103" s="990">
        <v>78.03</v>
      </c>
      <c r="O103" s="990">
        <v>73.209999999999994</v>
      </c>
      <c r="P103" s="990">
        <v>61.74</v>
      </c>
      <c r="Q103" s="990">
        <v>52.02</v>
      </c>
      <c r="R103" s="990">
        <v>44.19</v>
      </c>
    </row>
    <row r="104" spans="1:19">
      <c r="A104" s="605">
        <f t="shared" si="13"/>
        <v>90</v>
      </c>
      <c r="B104" s="4" t="s">
        <v>510</v>
      </c>
      <c r="G104" s="57" t="s">
        <v>330</v>
      </c>
      <c r="H104" s="57" t="s">
        <v>330</v>
      </c>
      <c r="I104" s="990">
        <v>117.70365079365078</v>
      </c>
      <c r="J104" s="990">
        <v>115.61934062499998</v>
      </c>
      <c r="K104" s="990">
        <v>97.517995312500034</v>
      </c>
      <c r="L104" s="990">
        <v>100.81804687500001</v>
      </c>
      <c r="M104" s="990">
        <v>107.93</v>
      </c>
      <c r="N104" s="990">
        <v>90.53</v>
      </c>
      <c r="O104" s="990">
        <v>85.54</v>
      </c>
      <c r="P104" s="990">
        <v>81.319999999999993</v>
      </c>
      <c r="Q104" s="990">
        <v>56.41</v>
      </c>
      <c r="R104" s="990">
        <v>53.4</v>
      </c>
    </row>
    <row r="105" spans="1:19">
      <c r="A105" s="605">
        <f t="shared" si="13"/>
        <v>91</v>
      </c>
      <c r="B105" s="4" t="s">
        <v>1021</v>
      </c>
      <c r="G105" s="57" t="s">
        <v>330</v>
      </c>
      <c r="H105" s="57" t="s">
        <v>330</v>
      </c>
      <c r="I105" s="990">
        <v>115.86531904761904</v>
      </c>
      <c r="J105" s="990">
        <v>113.53695312500001</v>
      </c>
      <c r="K105" s="990">
        <v>95.956356250000027</v>
      </c>
      <c r="L105" s="990">
        <v>98.972762500000002</v>
      </c>
      <c r="M105" s="990">
        <v>99.07</v>
      </c>
      <c r="N105" s="990">
        <v>82.68</v>
      </c>
      <c r="O105" s="990">
        <v>78.900000000000006</v>
      </c>
      <c r="P105" s="990">
        <v>70.599999999999994</v>
      </c>
      <c r="Q105" s="990">
        <v>51.28</v>
      </c>
      <c r="R105" s="990">
        <v>46.94</v>
      </c>
    </row>
    <row r="106" spans="1:19">
      <c r="A106" s="605">
        <f t="shared" si="13"/>
        <v>92</v>
      </c>
      <c r="B106" s="4" t="s">
        <v>1022</v>
      </c>
      <c r="G106" s="57" t="s">
        <v>330</v>
      </c>
      <c r="H106" s="57" t="s">
        <v>330</v>
      </c>
      <c r="I106" s="990">
        <v>112.66991904761903</v>
      </c>
      <c r="J106" s="990">
        <v>111.00875238095239</v>
      </c>
      <c r="K106" s="990">
        <v>95.539759375000017</v>
      </c>
      <c r="L106" s="990">
        <v>97.653796874999998</v>
      </c>
      <c r="M106" s="990">
        <v>114.65</v>
      </c>
      <c r="N106" s="990">
        <v>94.77</v>
      </c>
      <c r="O106" s="990">
        <v>88.69</v>
      </c>
      <c r="P106" s="990">
        <v>81.16</v>
      </c>
      <c r="Q106" s="990">
        <v>58.18</v>
      </c>
      <c r="R106" s="990">
        <v>52.68</v>
      </c>
    </row>
    <row r="107" spans="1:19">
      <c r="A107" s="605">
        <f t="shared" si="13"/>
        <v>93</v>
      </c>
      <c r="B107" s="4" t="s">
        <v>1023</v>
      </c>
      <c r="G107" s="57" t="s">
        <v>330</v>
      </c>
      <c r="H107" s="57" t="s">
        <v>330</v>
      </c>
      <c r="I107" s="990">
        <v>110.73691746031744</v>
      </c>
      <c r="J107" s="990">
        <v>108.70323809523812</v>
      </c>
      <c r="K107" s="990">
        <v>93.794767187499986</v>
      </c>
      <c r="L107" s="990">
        <v>95.449035937499971</v>
      </c>
      <c r="M107" s="990">
        <v>105.27</v>
      </c>
      <c r="N107" s="990">
        <v>89.81</v>
      </c>
      <c r="O107" s="990">
        <v>82.42</v>
      </c>
      <c r="P107" s="990">
        <v>71.88</v>
      </c>
      <c r="Q107" s="990">
        <v>51.48</v>
      </c>
      <c r="R107" s="990">
        <v>47.01</v>
      </c>
    </row>
    <row r="108" spans="1:19">
      <c r="A108" s="605">
        <f t="shared" si="13"/>
        <v>94</v>
      </c>
      <c r="B108" s="4" t="s">
        <v>1024</v>
      </c>
      <c r="G108" s="57" t="s">
        <v>330</v>
      </c>
      <c r="H108" s="57" t="s">
        <v>330</v>
      </c>
      <c r="I108" s="990">
        <v>74.880233663530021</v>
      </c>
      <c r="J108" s="990">
        <v>68.206834376086206</v>
      </c>
      <c r="K108" s="990">
        <v>60.899987676571619</v>
      </c>
      <c r="L108" s="990">
        <v>55.270549840484406</v>
      </c>
      <c r="M108" s="990">
        <v>48.954316751943196</v>
      </c>
      <c r="N108" s="990">
        <v>42.967886354628327</v>
      </c>
      <c r="O108" s="990">
        <v>36.745202639019794</v>
      </c>
      <c r="P108" s="990">
        <v>33.450000000000003</v>
      </c>
      <c r="Q108" s="990">
        <v>31.35</v>
      </c>
      <c r="R108" s="990">
        <v>31.62</v>
      </c>
    </row>
    <row r="109" spans="1:19">
      <c r="A109" s="605">
        <f t="shared" si="13"/>
        <v>95</v>
      </c>
      <c r="G109" s="314"/>
      <c r="H109" s="314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9">
      <c r="A110" s="605">
        <f t="shared" si="13"/>
        <v>96</v>
      </c>
      <c r="B110" s="1" t="s">
        <v>801</v>
      </c>
      <c r="G110" s="60"/>
      <c r="H110" s="60"/>
      <c r="I110" s="60"/>
      <c r="J110" s="60"/>
      <c r="K110" s="60"/>
      <c r="L110" s="60"/>
      <c r="M110" s="60"/>
      <c r="N110" s="60"/>
      <c r="O110" s="373"/>
      <c r="P110" s="373"/>
      <c r="Q110" s="373"/>
      <c r="R110" s="373"/>
    </row>
    <row r="111" spans="1:19">
      <c r="A111" s="605">
        <f t="shared" si="13"/>
        <v>97</v>
      </c>
      <c r="G111" s="60"/>
      <c r="H111" s="60"/>
      <c r="I111" s="60"/>
      <c r="J111" s="60"/>
      <c r="K111" s="60"/>
      <c r="L111" s="60"/>
      <c r="M111" s="60"/>
      <c r="N111" s="60"/>
      <c r="O111" s="373"/>
      <c r="P111" s="60"/>
      <c r="Q111" s="60"/>
      <c r="R111" s="60"/>
    </row>
    <row r="112" spans="1:19">
      <c r="A112" s="605">
        <f t="shared" si="13"/>
        <v>98</v>
      </c>
      <c r="B112" s="16" t="s">
        <v>1047</v>
      </c>
      <c r="C112" s="15"/>
      <c r="D112" s="15"/>
      <c r="E112" s="15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21" ht="15.75">
      <c r="A113" s="605">
        <f t="shared" si="13"/>
        <v>99</v>
      </c>
      <c r="B113" s="4" t="s">
        <v>591</v>
      </c>
      <c r="G113" s="992">
        <f>(G55-G59)/(G43*Allocation!$I$14)</f>
        <v>2.7870370972759857E-2</v>
      </c>
      <c r="H113" s="992">
        <f>(H55-H59)/(H43*Allocation!$I$14)</f>
        <v>3.6209401942268557E-2</v>
      </c>
      <c r="I113" s="993">
        <v>8.7323695836519555E-2</v>
      </c>
      <c r="J113" s="993">
        <v>8.939153802555469E-2</v>
      </c>
      <c r="K113" s="993">
        <v>9.0564544023809354E-2</v>
      </c>
      <c r="L113" s="993">
        <v>9.5913016589979486E-2</v>
      </c>
      <c r="M113" s="993">
        <v>9.7223867209800904E-2</v>
      </c>
      <c r="N113" s="993">
        <v>0.13913730413974917</v>
      </c>
      <c r="O113" s="993">
        <v>0.1076978561410539</v>
      </c>
      <c r="P113" s="993">
        <v>0.10379978179161579</v>
      </c>
      <c r="Q113" s="993">
        <v>9.7316220001531589E-2</v>
      </c>
      <c r="R113" s="993">
        <v>0.10228881624934419</v>
      </c>
      <c r="S113" s="534"/>
    </row>
    <row r="114" spans="1:21">
      <c r="A114" s="605">
        <f t="shared" si="13"/>
        <v>100</v>
      </c>
      <c r="B114" s="4" t="s">
        <v>321</v>
      </c>
      <c r="G114" s="992">
        <f>(G55)/(G45*Allocation!$I$14)</f>
        <v>2.8184488140025565E-2</v>
      </c>
      <c r="H114" s="992">
        <f>(H55)/(H45*Allocation!$I$14)</f>
        <v>3.3712891135843012E-2</v>
      </c>
      <c r="I114" s="993">
        <v>5.028469773110298E-2</v>
      </c>
      <c r="J114" s="993">
        <v>4.7214052752816843E-2</v>
      </c>
      <c r="K114" s="993">
        <v>5.0116388152974777E-2</v>
      </c>
      <c r="L114" s="993">
        <v>5.7096118107037318E-2</v>
      </c>
      <c r="M114" s="993">
        <v>5.6325391737181804E-2</v>
      </c>
      <c r="N114" s="993">
        <v>7.6202885900120879E-2</v>
      </c>
      <c r="O114" s="993">
        <v>5.6050626700897589E-2</v>
      </c>
      <c r="P114" s="993">
        <v>5.3898770602270121E-2</v>
      </c>
      <c r="Q114" s="993">
        <v>5.2017876371816978E-2</v>
      </c>
      <c r="R114" s="993">
        <v>5.2017876371816978E-2</v>
      </c>
    </row>
    <row r="115" spans="1:21">
      <c r="A115" s="605">
        <f t="shared" si="13"/>
        <v>101</v>
      </c>
      <c r="B115" s="4" t="s">
        <v>322</v>
      </c>
      <c r="G115" s="994">
        <f>G55/G27</f>
        <v>3.4806972834213065E-2</v>
      </c>
      <c r="H115" s="994">
        <f>H55/H27</f>
        <v>3.9280791210169107E-2</v>
      </c>
      <c r="I115" s="993">
        <v>4.8083495504714087E-2</v>
      </c>
      <c r="J115" s="993">
        <v>4.7944092981815463E-2</v>
      </c>
      <c r="K115" s="993">
        <v>4.6838775189424857E-2</v>
      </c>
      <c r="L115" s="993">
        <v>4.7841754545278101E-2</v>
      </c>
      <c r="M115" s="993">
        <v>4.6158242389846102E-2</v>
      </c>
      <c r="N115" s="993">
        <v>6.1442067527243176E-2</v>
      </c>
      <c r="O115" s="993">
        <v>4.5233431622974898E-2</v>
      </c>
      <c r="P115" s="993">
        <v>4.4020371502063865E-2</v>
      </c>
      <c r="Q115" s="993">
        <v>4.317780556559022E-2</v>
      </c>
      <c r="R115" s="993">
        <v>4.5438108280123457E-2</v>
      </c>
    </row>
    <row r="116" spans="1:21">
      <c r="A116" s="605">
        <f t="shared" si="13"/>
        <v>102</v>
      </c>
      <c r="G116" s="57"/>
      <c r="H116" s="57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21">
      <c r="A117" s="605">
        <f t="shared" si="13"/>
        <v>103</v>
      </c>
      <c r="B117" s="16" t="s">
        <v>1111</v>
      </c>
      <c r="C117" s="15"/>
      <c r="D117" s="15"/>
      <c r="E117" s="15"/>
      <c r="G117" s="57"/>
      <c r="H117" s="57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21">
      <c r="A118" s="605">
        <f t="shared" si="13"/>
        <v>104</v>
      </c>
      <c r="B118" s="4" t="s">
        <v>323</v>
      </c>
      <c r="D118" s="4" t="s">
        <v>53</v>
      </c>
      <c r="G118" s="57"/>
      <c r="H118" s="57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21" ht="15.75">
      <c r="A119" s="605">
        <f t="shared" si="13"/>
        <v>105</v>
      </c>
      <c r="B119" s="4" t="s">
        <v>998</v>
      </c>
      <c r="G119" s="686">
        <f>+I.3!O16/1000</f>
        <v>9938.5928194675053</v>
      </c>
      <c r="H119" s="686">
        <f>+I.3!M16/1000</f>
        <v>9938.592654600001</v>
      </c>
      <c r="I119" s="627">
        <v>8150</v>
      </c>
      <c r="J119" s="627">
        <v>10367</v>
      </c>
      <c r="K119" s="627">
        <v>9461</v>
      </c>
      <c r="L119" s="627">
        <v>9389</v>
      </c>
      <c r="M119" s="627">
        <v>9887</v>
      </c>
      <c r="N119" s="627">
        <v>10416</v>
      </c>
      <c r="O119" s="627">
        <v>8724</v>
      </c>
      <c r="P119" s="627">
        <v>9094</v>
      </c>
      <c r="Q119" s="627">
        <v>9826</v>
      </c>
      <c r="R119" s="627">
        <v>11729</v>
      </c>
      <c r="S119" s="534"/>
    </row>
    <row r="120" spans="1:21">
      <c r="A120" s="605">
        <f t="shared" si="13"/>
        <v>106</v>
      </c>
      <c r="B120" s="4" t="s">
        <v>999</v>
      </c>
      <c r="G120" s="686">
        <f>+I.3!O17/1000</f>
        <v>5614.138469016536</v>
      </c>
      <c r="H120" s="686">
        <f>+I.3!M17/1000</f>
        <v>5586.2289812000008</v>
      </c>
      <c r="I120" s="627">
        <v>4702</v>
      </c>
      <c r="J120" s="627">
        <v>5466</v>
      </c>
      <c r="K120" s="627">
        <v>5118</v>
      </c>
      <c r="L120" s="627">
        <v>4748</v>
      </c>
      <c r="M120" s="627">
        <v>5105</v>
      </c>
      <c r="N120" s="627">
        <v>5346</v>
      </c>
      <c r="O120" s="627">
        <v>4575</v>
      </c>
      <c r="P120" s="627">
        <v>4538</v>
      </c>
      <c r="Q120" s="627">
        <v>4845</v>
      </c>
      <c r="R120" s="627">
        <v>5650</v>
      </c>
    </row>
    <row r="121" spans="1:21">
      <c r="A121" s="605">
        <f t="shared" si="13"/>
        <v>107</v>
      </c>
      <c r="B121" s="4" t="s">
        <v>167</v>
      </c>
      <c r="G121" s="686">
        <f>+I.3!O18/1000</f>
        <v>825.38221759999999</v>
      </c>
      <c r="H121" s="686">
        <f>+I.3!M18/1000</f>
        <v>825.3822176000001</v>
      </c>
      <c r="I121" s="627">
        <v>812</v>
      </c>
      <c r="J121" s="627">
        <v>1064</v>
      </c>
      <c r="K121" s="627">
        <v>949</v>
      </c>
      <c r="L121" s="627">
        <v>1139</v>
      </c>
      <c r="M121" s="627">
        <v>1919</v>
      </c>
      <c r="N121" s="627">
        <v>1286</v>
      </c>
      <c r="O121" s="627">
        <v>1517</v>
      </c>
      <c r="P121" s="627">
        <v>1048</v>
      </c>
      <c r="Q121" s="627">
        <v>693</v>
      </c>
      <c r="R121" s="627">
        <v>810</v>
      </c>
    </row>
    <row r="122" spans="1:21">
      <c r="A122" s="605">
        <f t="shared" si="13"/>
        <v>108</v>
      </c>
      <c r="B122" s="4" t="s">
        <v>752</v>
      </c>
      <c r="G122" s="686">
        <f>+I.3!O19/1000</f>
        <v>915.39131620000001</v>
      </c>
      <c r="H122" s="686">
        <f>+I.3!M19/1000</f>
        <v>915.39131620000001</v>
      </c>
      <c r="I122" s="627">
        <v>786</v>
      </c>
      <c r="J122" s="627">
        <v>940</v>
      </c>
      <c r="K122" s="627">
        <v>878</v>
      </c>
      <c r="L122" s="627">
        <v>859</v>
      </c>
      <c r="M122" s="627">
        <v>945</v>
      </c>
      <c r="N122" s="627">
        <v>994</v>
      </c>
      <c r="O122" s="627">
        <v>859</v>
      </c>
      <c r="P122" s="627">
        <v>916</v>
      </c>
      <c r="Q122" s="627">
        <v>1025</v>
      </c>
      <c r="R122" s="627">
        <v>1234</v>
      </c>
    </row>
    <row r="123" spans="1:21">
      <c r="A123" s="605">
        <f t="shared" si="13"/>
        <v>109</v>
      </c>
      <c r="B123" s="536" t="s">
        <v>80</v>
      </c>
      <c r="G123" s="983">
        <f>+I.3!O20/1000</f>
        <v>0</v>
      </c>
      <c r="H123" s="983">
        <f>+I.3!M20/1000</f>
        <v>0</v>
      </c>
      <c r="I123" s="57"/>
      <c r="J123" s="57"/>
      <c r="K123" s="57"/>
      <c r="L123" s="57"/>
      <c r="M123" s="57"/>
      <c r="N123" s="57"/>
      <c r="O123" s="57"/>
      <c r="P123" s="57"/>
      <c r="Q123" s="57"/>
      <c r="R123" s="57"/>
    </row>
    <row r="124" spans="1:21">
      <c r="A124" s="605">
        <f t="shared" si="13"/>
        <v>110</v>
      </c>
      <c r="B124" s="4" t="s">
        <v>296</v>
      </c>
      <c r="G124" s="605">
        <f>SUM(G119:G123)</f>
        <v>17293.504822284041</v>
      </c>
      <c r="H124" s="605">
        <f>SUM(H119:H123)</f>
        <v>17265.595169600001</v>
      </c>
      <c r="I124" s="984">
        <f t="shared" ref="I124:R124" si="15">I119+I120+I121+I122</f>
        <v>14450</v>
      </c>
      <c r="J124" s="984">
        <f t="shared" si="15"/>
        <v>17837</v>
      </c>
      <c r="K124" s="984">
        <f t="shared" si="15"/>
        <v>16406</v>
      </c>
      <c r="L124" s="984">
        <f t="shared" si="15"/>
        <v>16135</v>
      </c>
      <c r="M124" s="984">
        <f t="shared" si="15"/>
        <v>17856</v>
      </c>
      <c r="N124" s="984">
        <f t="shared" si="15"/>
        <v>18042</v>
      </c>
      <c r="O124" s="984">
        <f t="shared" si="15"/>
        <v>15675</v>
      </c>
      <c r="P124" s="984">
        <f t="shared" si="15"/>
        <v>15596</v>
      </c>
      <c r="Q124" s="984">
        <f t="shared" si="15"/>
        <v>16389</v>
      </c>
      <c r="R124" s="984">
        <f t="shared" si="15"/>
        <v>19423</v>
      </c>
    </row>
    <row r="125" spans="1:21">
      <c r="A125" s="605">
        <f t="shared" si="13"/>
        <v>111</v>
      </c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U125" s="34"/>
    </row>
    <row r="126" spans="1:21">
      <c r="A126" s="605">
        <f t="shared" si="13"/>
        <v>112</v>
      </c>
      <c r="B126" s="4" t="s">
        <v>297</v>
      </c>
      <c r="D126" s="4" t="s">
        <v>53</v>
      </c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T126"/>
    </row>
    <row r="127" spans="1:21">
      <c r="A127" s="605">
        <f t="shared" si="13"/>
        <v>113</v>
      </c>
      <c r="B127" s="4"/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</row>
    <row r="128" spans="1:21">
      <c r="A128" s="605">
        <f t="shared" si="13"/>
        <v>114</v>
      </c>
      <c r="B128" s="4" t="s">
        <v>411</v>
      </c>
      <c r="G128" s="605">
        <f t="shared" ref="G128:R128" si="16">G130-G127</f>
        <v>17622.081413907439</v>
      </c>
      <c r="H128" s="605">
        <f t="shared" si="16"/>
        <v>17593.641477822403</v>
      </c>
      <c r="I128" s="605">
        <f t="shared" si="16"/>
        <v>15377</v>
      </c>
      <c r="J128" s="605">
        <f t="shared" si="16"/>
        <v>18507</v>
      </c>
      <c r="K128" s="605">
        <f t="shared" si="16"/>
        <v>16891</v>
      </c>
      <c r="L128" s="605">
        <f t="shared" si="16"/>
        <v>16316.028010000002</v>
      </c>
      <c r="M128" s="605">
        <f t="shared" si="16"/>
        <v>18978.60252</v>
      </c>
      <c r="N128" s="605">
        <f t="shared" si="16"/>
        <v>21324.457250000003</v>
      </c>
      <c r="O128" s="605">
        <f t="shared" si="16"/>
        <v>18606.398259999998</v>
      </c>
      <c r="P128" s="605">
        <f t="shared" si="16"/>
        <v>15416.667660000001</v>
      </c>
      <c r="Q128" s="605">
        <f t="shared" si="16"/>
        <v>18606.398259999998</v>
      </c>
      <c r="R128" s="605">
        <f t="shared" si="16"/>
        <v>21324.457250000003</v>
      </c>
    </row>
    <row r="129" spans="1:20">
      <c r="A129" s="605">
        <f t="shared" si="13"/>
        <v>115</v>
      </c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</row>
    <row r="130" spans="1:20" ht="15.75">
      <c r="A130" s="605">
        <f t="shared" si="13"/>
        <v>116</v>
      </c>
      <c r="B130" s="4" t="s">
        <v>1121</v>
      </c>
      <c r="G130" s="605">
        <f>+G124+(0.019*G124)</f>
        <v>17622.081413907439</v>
      </c>
      <c r="H130" s="605">
        <f>+H124+(0.019*H124)</f>
        <v>17593.641477822403</v>
      </c>
      <c r="I130" s="627">
        <v>15377</v>
      </c>
      <c r="J130" s="627">
        <v>18507</v>
      </c>
      <c r="K130" s="627">
        <v>16891</v>
      </c>
      <c r="L130" s="627">
        <v>16316.028010000002</v>
      </c>
      <c r="M130" s="627">
        <v>18978.60252</v>
      </c>
      <c r="N130" s="627">
        <v>21324.457250000003</v>
      </c>
      <c r="O130" s="627">
        <v>18606.398259999998</v>
      </c>
      <c r="P130" s="627">
        <v>15416.667660000001</v>
      </c>
      <c r="Q130" s="627">
        <v>18606.398259999998</v>
      </c>
      <c r="R130" s="627">
        <v>21324.457250000003</v>
      </c>
      <c r="S130" s="534"/>
    </row>
    <row r="131" spans="1:20">
      <c r="A131" s="605">
        <f t="shared" si="13"/>
        <v>117</v>
      </c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20" ht="15.75">
      <c r="A132" s="605">
        <f t="shared" si="13"/>
        <v>118</v>
      </c>
      <c r="B132" s="4" t="s">
        <v>298</v>
      </c>
      <c r="G132" s="925">
        <v>2.1833925280157686E-2</v>
      </c>
      <c r="H132" s="925">
        <v>2.1991787539568982E-2</v>
      </c>
      <c r="I132" s="925">
        <v>1.9586246543604462E-2</v>
      </c>
      <c r="J132" s="925">
        <v>2.1834826353768249E-2</v>
      </c>
      <c r="K132" s="925">
        <v>2.4200306443979455E-2</v>
      </c>
      <c r="L132" s="925">
        <v>2.4591095496409931E-2</v>
      </c>
      <c r="M132" s="925">
        <v>2.5986936296440694E-2</v>
      </c>
      <c r="N132" s="925">
        <v>3.0582077456226889E-2</v>
      </c>
      <c r="O132" s="925">
        <v>3.0988474507082683E-2</v>
      </c>
      <c r="P132" s="925">
        <v>3.3109777418196852E-2</v>
      </c>
      <c r="Q132" s="925">
        <v>3.6328710997388533E-2</v>
      </c>
      <c r="R132" s="925">
        <v>3.4703662933953938E-2</v>
      </c>
      <c r="S132" s="534"/>
      <c r="T132" s="329"/>
    </row>
    <row r="133" spans="1:20">
      <c r="A133" s="4"/>
      <c r="B133" s="4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</row>
    <row r="134" spans="1:20">
      <c r="B134" s="503" t="s">
        <v>1518</v>
      </c>
      <c r="G134"/>
      <c r="H134"/>
      <c r="I134"/>
      <c r="J134"/>
      <c r="K134"/>
      <c r="L134"/>
      <c r="M134"/>
      <c r="N134"/>
      <c r="O134"/>
      <c r="P134"/>
      <c r="Q134"/>
      <c r="R134"/>
    </row>
    <row r="135" spans="1:20">
      <c r="B135" s="604" t="s">
        <v>1122</v>
      </c>
      <c r="G135"/>
      <c r="H135"/>
      <c r="I135"/>
      <c r="J135"/>
      <c r="K135"/>
      <c r="L135"/>
      <c r="M135"/>
      <c r="N135"/>
      <c r="O135"/>
      <c r="P135"/>
      <c r="Q135"/>
      <c r="R135"/>
    </row>
    <row r="136" spans="1:20">
      <c r="B136" s="503" t="s">
        <v>1539</v>
      </c>
      <c r="G136"/>
      <c r="H136"/>
      <c r="I136"/>
      <c r="J136"/>
      <c r="K136"/>
      <c r="L136"/>
      <c r="M136"/>
      <c r="N136"/>
      <c r="O136"/>
      <c r="P136"/>
      <c r="Q136"/>
      <c r="R136"/>
    </row>
    <row r="137" spans="1:20">
      <c r="B137" s="604" t="s">
        <v>1652</v>
      </c>
      <c r="G137"/>
      <c r="H137"/>
      <c r="I137"/>
      <c r="J137"/>
      <c r="K137"/>
      <c r="L137"/>
      <c r="M137"/>
      <c r="N137"/>
      <c r="O137"/>
      <c r="P137"/>
      <c r="Q137"/>
      <c r="R137"/>
    </row>
    <row r="138" spans="1:20">
      <c r="G138"/>
      <c r="H138"/>
      <c r="I138"/>
      <c r="J138"/>
      <c r="K138"/>
      <c r="L138"/>
      <c r="M138"/>
      <c r="N138"/>
      <c r="O138"/>
      <c r="P138"/>
      <c r="Q138"/>
      <c r="R138"/>
    </row>
    <row r="139" spans="1:20">
      <c r="G139"/>
      <c r="H139"/>
      <c r="I139"/>
      <c r="J139"/>
      <c r="K139"/>
      <c r="L139"/>
      <c r="M139"/>
      <c r="N139"/>
      <c r="O139"/>
      <c r="P139"/>
      <c r="Q139"/>
      <c r="R139"/>
    </row>
    <row r="140" spans="1:20">
      <c r="B140" s="1" t="s">
        <v>1537</v>
      </c>
      <c r="G140"/>
      <c r="H140"/>
      <c r="I140"/>
      <c r="J140"/>
      <c r="K140"/>
      <c r="L140"/>
      <c r="M140"/>
      <c r="N140"/>
      <c r="O140"/>
      <c r="P140"/>
      <c r="Q140"/>
      <c r="R140"/>
    </row>
    <row r="141" spans="1:20">
      <c r="B141" s="1" t="s">
        <v>1689</v>
      </c>
    </row>
    <row r="142" spans="1:20">
      <c r="B142" s="1" t="s">
        <v>1611</v>
      </c>
    </row>
  </sheetData>
  <mergeCells count="6">
    <mergeCell ref="A5:R5"/>
    <mergeCell ref="A6:R6"/>
    <mergeCell ref="A1:R1"/>
    <mergeCell ref="A2:R2"/>
    <mergeCell ref="A3:R3"/>
    <mergeCell ref="A4:R4"/>
  </mergeCells>
  <phoneticPr fontId="20" type="noConversion"/>
  <printOptions horizontalCentered="1"/>
  <pageMargins left="0.75" right="0.75" top="0.62" bottom="0.81" header="0.5" footer="0.39"/>
  <pageSetup scale="54" fitToHeight="4" orientation="landscape" verticalDpi="300" r:id="rId1"/>
  <headerFooter alignWithMargins="0">
    <oddFooter>&amp;RSchedule &amp;A
Page &amp;P of &amp;N</oddFooter>
  </headerFooter>
  <rowBreaks count="2" manualBreakCount="2">
    <brk id="45" max="17" man="1"/>
    <brk id="88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S275"/>
  <sheetViews>
    <sheetView view="pageBreakPreview" topLeftCell="A240" zoomScale="80" zoomScaleNormal="100" zoomScaleSheetLayoutView="80" workbookViewId="0">
      <selection activeCell="G271" sqref="G271"/>
    </sheetView>
  </sheetViews>
  <sheetFormatPr defaultColWidth="8.88671875" defaultRowHeight="15"/>
  <cols>
    <col min="1" max="1" width="5" customWidth="1"/>
    <col min="2" max="2" width="6.88671875" customWidth="1"/>
    <col min="3" max="3" width="36.21875" customWidth="1"/>
    <col min="4" max="4" width="17.5546875" customWidth="1"/>
    <col min="5" max="5" width="12.5546875" bestFit="1" customWidth="1"/>
    <col min="6" max="6" width="15.88671875" customWidth="1"/>
    <col min="7" max="7" width="13.109375" style="37" bestFit="1" customWidth="1"/>
    <col min="8" max="8" width="12.33203125" style="37" customWidth="1"/>
    <col min="9" max="9" width="16" customWidth="1"/>
    <col min="10" max="10" width="3.21875" customWidth="1"/>
    <col min="11" max="11" width="15.44140625" customWidth="1"/>
    <col min="12" max="12" width="12.6640625" style="37" bestFit="1" customWidth="1"/>
    <col min="13" max="13" width="9.77734375" style="37" bestFit="1" customWidth="1"/>
    <col min="14" max="14" width="14.77734375" customWidth="1"/>
    <col min="16" max="17" width="12" bestFit="1" customWidth="1"/>
    <col min="18" max="18" width="7.77734375" customWidth="1"/>
    <col min="19" max="19" width="7.6640625" customWidth="1"/>
  </cols>
  <sheetData>
    <row r="1" spans="1:17">
      <c r="A1" s="1059" t="str">
        <f>'Table of Contents'!A1:C1</f>
        <v>Atmos Energy Corporation, Kentucky/Mid-States Division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</row>
    <row r="2" spans="1:17">
      <c r="A2" s="1059" t="str">
        <f>'Table of Contents'!A2:C2</f>
        <v xml:space="preserve">Kentucky Jurisdiction Case No. 2024-00276 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</row>
    <row r="3" spans="1:17">
      <c r="A3" s="1060" t="s">
        <v>470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</row>
    <row r="4" spans="1:17" ht="15.75">
      <c r="A4" s="1062" t="str">
        <f>'B.1 F '!A4</f>
        <v>Forecasted Test Period:  Twelve Months Ended March 31, 2026</v>
      </c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1:17" ht="15.75">
      <c r="A5" s="25"/>
      <c r="B5" s="25"/>
      <c r="C5" s="25"/>
      <c r="D5" s="330"/>
      <c r="E5" s="332"/>
      <c r="F5" s="25"/>
      <c r="G5" s="38"/>
      <c r="H5" s="38"/>
      <c r="I5" s="1"/>
      <c r="J5" s="1"/>
      <c r="K5" s="25"/>
    </row>
    <row r="6" spans="1:17" ht="15.75">
      <c r="A6" s="699" t="str">
        <f>'B.1 F '!A6</f>
        <v>Data:______Base Period__X___Forecasted Period</v>
      </c>
      <c r="B6" s="1"/>
      <c r="C6" s="1"/>
      <c r="D6" s="1"/>
      <c r="E6" s="330"/>
      <c r="F6" s="1"/>
      <c r="G6" s="38"/>
      <c r="K6" s="1"/>
      <c r="N6" s="476" t="s">
        <v>1331</v>
      </c>
    </row>
    <row r="7" spans="1:17">
      <c r="A7" s="699" t="str">
        <f>'B.1 F '!A7</f>
        <v>Type of Filing:___X____Original________Updated ________Revised</v>
      </c>
      <c r="B7" s="4"/>
      <c r="C7" s="1"/>
      <c r="D7" s="1"/>
      <c r="E7" s="1"/>
      <c r="F7" s="1"/>
      <c r="G7" s="38"/>
      <c r="I7" s="4"/>
      <c r="J7" s="4"/>
      <c r="K7" s="1"/>
      <c r="N7" s="17" t="s">
        <v>972</v>
      </c>
    </row>
    <row r="8" spans="1:17">
      <c r="A8" s="717" t="str">
        <f>'B.1 F '!A8</f>
        <v>Workpaper Reference No(s).</v>
      </c>
      <c r="B8" s="6"/>
      <c r="C8" s="6"/>
      <c r="D8" s="1"/>
      <c r="E8" s="1"/>
      <c r="F8" s="1"/>
      <c r="G8" s="38"/>
      <c r="I8" s="4"/>
      <c r="J8" s="4"/>
      <c r="K8" s="1"/>
      <c r="N8" s="718" t="str">
        <f>'B.2 B'!N8</f>
        <v>Witness: Waller</v>
      </c>
    </row>
    <row r="9" spans="1:17">
      <c r="A9" s="538"/>
      <c r="B9" s="1"/>
      <c r="C9" s="1"/>
      <c r="D9" s="135"/>
      <c r="E9" s="42"/>
      <c r="F9" s="42"/>
      <c r="G9" s="196"/>
      <c r="H9" s="197"/>
      <c r="I9" s="539"/>
      <c r="J9" s="4"/>
      <c r="K9" s="135"/>
      <c r="L9" s="469"/>
      <c r="M9" s="469"/>
      <c r="N9" s="540"/>
    </row>
    <row r="10" spans="1:17" ht="15.75">
      <c r="A10" s="541"/>
      <c r="B10" s="1"/>
      <c r="C10" s="1"/>
      <c r="D10" s="331">
        <v>46112</v>
      </c>
      <c r="E10" s="1"/>
      <c r="F10" s="1"/>
      <c r="G10" s="38" t="s">
        <v>12</v>
      </c>
      <c r="H10" s="2" t="s">
        <v>10</v>
      </c>
      <c r="I10" s="542"/>
      <c r="J10" s="4"/>
      <c r="K10" s="543"/>
      <c r="L10" s="38" t="s">
        <v>12</v>
      </c>
      <c r="M10" s="2" t="s">
        <v>10</v>
      </c>
      <c r="N10" s="542"/>
    </row>
    <row r="11" spans="1:17" ht="15.75">
      <c r="A11" s="541" t="s">
        <v>88</v>
      </c>
      <c r="B11" s="2" t="s">
        <v>259</v>
      </c>
      <c r="C11" s="190" t="s">
        <v>208</v>
      </c>
      <c r="D11" s="37" t="s">
        <v>1255</v>
      </c>
      <c r="E11" s="2"/>
      <c r="F11" s="2" t="s">
        <v>9</v>
      </c>
      <c r="G11" s="2" t="s">
        <v>13</v>
      </c>
      <c r="H11" s="2" t="s">
        <v>567</v>
      </c>
      <c r="I11" s="190" t="s">
        <v>11</v>
      </c>
      <c r="J11" s="2"/>
      <c r="K11" s="544" t="s">
        <v>43</v>
      </c>
      <c r="L11" s="2" t="s">
        <v>13</v>
      </c>
      <c r="M11" s="2" t="s">
        <v>567</v>
      </c>
      <c r="N11" s="190" t="s">
        <v>11</v>
      </c>
    </row>
    <row r="12" spans="1:17">
      <c r="A12" s="191" t="s">
        <v>94</v>
      </c>
      <c r="B12" s="27" t="s">
        <v>94</v>
      </c>
      <c r="C12" s="27" t="s">
        <v>287</v>
      </c>
      <c r="D12" s="191" t="s">
        <v>100</v>
      </c>
      <c r="E12" s="27" t="s">
        <v>951</v>
      </c>
      <c r="F12" s="27" t="s">
        <v>100</v>
      </c>
      <c r="G12" s="27" t="s">
        <v>600</v>
      </c>
      <c r="H12" s="27" t="s">
        <v>600</v>
      </c>
      <c r="I12" s="192" t="s">
        <v>99</v>
      </c>
      <c r="J12" s="2"/>
      <c r="K12" s="191" t="s">
        <v>93</v>
      </c>
      <c r="L12" s="27" t="s">
        <v>600</v>
      </c>
      <c r="M12" s="27" t="s">
        <v>600</v>
      </c>
      <c r="N12" s="192" t="s">
        <v>99</v>
      </c>
      <c r="P12" s="57"/>
      <c r="Q12" s="57"/>
    </row>
    <row r="13" spans="1:17">
      <c r="A13" s="2"/>
      <c r="B13" s="2"/>
      <c r="C13" s="2"/>
      <c r="D13" s="2" t="s">
        <v>721</v>
      </c>
      <c r="E13" s="2" t="s">
        <v>722</v>
      </c>
      <c r="F13" s="2" t="s">
        <v>728</v>
      </c>
      <c r="G13" s="2" t="s">
        <v>723</v>
      </c>
      <c r="H13" s="2" t="s">
        <v>724</v>
      </c>
      <c r="I13" s="2" t="s">
        <v>729</v>
      </c>
      <c r="J13" s="2"/>
      <c r="K13" s="2" t="s">
        <v>725</v>
      </c>
      <c r="L13" s="2" t="s">
        <v>726</v>
      </c>
      <c r="M13" s="2" t="s">
        <v>727</v>
      </c>
      <c r="N13" s="2" t="s">
        <v>730</v>
      </c>
    </row>
    <row r="14" spans="1:17" ht="15.75">
      <c r="B14" s="59" t="s">
        <v>5</v>
      </c>
    </row>
    <row r="15" spans="1:17">
      <c r="A15" s="2">
        <v>1</v>
      </c>
      <c r="B15" s="1"/>
      <c r="C15" s="16" t="s">
        <v>288</v>
      </c>
    </row>
    <row r="16" spans="1:17">
      <c r="A16" s="605">
        <f>A15+1</f>
        <v>2</v>
      </c>
      <c r="B16" s="561">
        <v>30100</v>
      </c>
      <c r="C16" s="4" t="s">
        <v>282</v>
      </c>
      <c r="D16" s="706">
        <v>8329.7199999999993</v>
      </c>
      <c r="E16" s="546">
        <v>0</v>
      </c>
      <c r="F16" s="707">
        <f>D16+E16</f>
        <v>8329.7199999999993</v>
      </c>
      <c r="G16" s="266">
        <v>1</v>
      </c>
      <c r="H16" s="708">
        <f>$G$16</f>
        <v>1</v>
      </c>
      <c r="I16" s="707">
        <f>F16*G16*H16</f>
        <v>8329.7199999999993</v>
      </c>
      <c r="J16" s="486"/>
      <c r="K16" s="706">
        <v>8329.7199999999993</v>
      </c>
      <c r="L16" s="708">
        <f t="shared" ref="L16:M17" si="0">$G$16</f>
        <v>1</v>
      </c>
      <c r="M16" s="708">
        <f t="shared" si="0"/>
        <v>1</v>
      </c>
      <c r="N16" s="1049">
        <f>K16*L16*M16</f>
        <v>8329.7199999999993</v>
      </c>
    </row>
    <row r="17" spans="1:14">
      <c r="A17" s="605">
        <f t="shared" ref="A17:A83" si="1">A16+1</f>
        <v>3</v>
      </c>
      <c r="B17" s="561">
        <v>30200</v>
      </c>
      <c r="C17" s="4" t="s">
        <v>147</v>
      </c>
      <c r="D17" s="709">
        <v>119852.69</v>
      </c>
      <c r="E17" s="248">
        <v>0</v>
      </c>
      <c r="F17" s="345">
        <f>D17+E17</f>
        <v>119852.69</v>
      </c>
      <c r="G17" s="708">
        <f>$G$16</f>
        <v>1</v>
      </c>
      <c r="H17" s="708">
        <f>$G$16</f>
        <v>1</v>
      </c>
      <c r="I17" s="345">
        <f>F17*G17*H17</f>
        <v>119852.69</v>
      </c>
      <c r="K17" s="709">
        <v>119852.68999999996</v>
      </c>
      <c r="L17" s="708">
        <f t="shared" si="0"/>
        <v>1</v>
      </c>
      <c r="M17" s="708">
        <f t="shared" si="0"/>
        <v>1</v>
      </c>
      <c r="N17" s="345">
        <f>K17*L17*M17</f>
        <v>119852.68999999996</v>
      </c>
    </row>
    <row r="18" spans="1:14">
      <c r="A18" s="605">
        <f t="shared" si="1"/>
        <v>4</v>
      </c>
      <c r="B18" s="621"/>
      <c r="C18" s="4"/>
      <c r="D18" s="339"/>
      <c r="E18" s="339"/>
      <c r="F18" s="339"/>
      <c r="G18" s="266"/>
      <c r="H18" s="266"/>
      <c r="I18" s="339"/>
      <c r="K18" s="339"/>
      <c r="N18" s="339"/>
    </row>
    <row r="19" spans="1:14">
      <c r="A19" s="605">
        <f t="shared" si="1"/>
        <v>5</v>
      </c>
      <c r="B19" s="621"/>
      <c r="C19" s="4" t="s">
        <v>289</v>
      </c>
      <c r="D19" s="707">
        <f>SUM(D16:D17)</f>
        <v>128182.41</v>
      </c>
      <c r="E19" s="707">
        <f>SUM(E16:E17)</f>
        <v>0</v>
      </c>
      <c r="F19" s="707">
        <f>SUM(F16:F17)</f>
        <v>128182.41</v>
      </c>
      <c r="G19" s="548"/>
      <c r="H19" s="548"/>
      <c r="I19" s="707">
        <f>SUM(I16:I17)</f>
        <v>128182.41</v>
      </c>
      <c r="K19" s="707">
        <f>SUM(K16:K17)</f>
        <v>128182.40999999996</v>
      </c>
      <c r="N19" s="707">
        <f>SUM(N16:N17)</f>
        <v>128182.40999999996</v>
      </c>
    </row>
    <row r="20" spans="1:14">
      <c r="A20" s="605">
        <f t="shared" si="1"/>
        <v>6</v>
      </c>
      <c r="B20" s="621"/>
      <c r="C20" s="1"/>
      <c r="G20" s="266"/>
      <c r="H20" s="266"/>
    </row>
    <row r="21" spans="1:14">
      <c r="A21" s="605">
        <f t="shared" si="1"/>
        <v>7</v>
      </c>
      <c r="B21" s="621"/>
      <c r="C21" s="16" t="s">
        <v>148</v>
      </c>
      <c r="G21" s="266"/>
      <c r="H21" s="266"/>
    </row>
    <row r="22" spans="1:14">
      <c r="A22" s="605">
        <f t="shared" si="1"/>
        <v>8</v>
      </c>
      <c r="B22" s="561">
        <v>32540</v>
      </c>
      <c r="C22" s="4" t="s">
        <v>155</v>
      </c>
      <c r="D22" s="706">
        <v>0</v>
      </c>
      <c r="E22" s="546">
        <v>0</v>
      </c>
      <c r="F22" s="719">
        <f t="shared" ref="F22:F24" si="2">D22+E22</f>
        <v>0</v>
      </c>
      <c r="G22" s="708">
        <f t="shared" ref="G22:H24" si="3">$G$16</f>
        <v>1</v>
      </c>
      <c r="H22" s="708">
        <f t="shared" si="3"/>
        <v>1</v>
      </c>
      <c r="I22" s="719">
        <f t="shared" ref="I22:I24" si="4">F22*G22*H22</f>
        <v>0</v>
      </c>
      <c r="K22" s="706">
        <v>0</v>
      </c>
      <c r="L22" s="708">
        <f t="shared" ref="L22:M24" si="5">$G$16</f>
        <v>1</v>
      </c>
      <c r="M22" s="708">
        <f t="shared" si="5"/>
        <v>1</v>
      </c>
      <c r="N22" s="719">
        <f t="shared" ref="N22:N24" si="6">K22*L22*M22</f>
        <v>0</v>
      </c>
    </row>
    <row r="23" spans="1:14">
      <c r="A23" s="605">
        <f t="shared" si="1"/>
        <v>9</v>
      </c>
      <c r="B23" s="561">
        <v>33202</v>
      </c>
      <c r="C23" s="4" t="s">
        <v>569</v>
      </c>
      <c r="D23" s="709">
        <v>0</v>
      </c>
      <c r="E23" s="248">
        <v>0</v>
      </c>
      <c r="F23" s="345">
        <f t="shared" si="2"/>
        <v>0</v>
      </c>
      <c r="G23" s="708">
        <f t="shared" si="3"/>
        <v>1</v>
      </c>
      <c r="H23" s="708">
        <f t="shared" si="3"/>
        <v>1</v>
      </c>
      <c r="I23" s="345">
        <f t="shared" si="4"/>
        <v>0</v>
      </c>
      <c r="K23" s="709">
        <v>0</v>
      </c>
      <c r="L23" s="708">
        <f t="shared" si="5"/>
        <v>1</v>
      </c>
      <c r="M23" s="708">
        <f t="shared" si="5"/>
        <v>1</v>
      </c>
      <c r="N23" s="345">
        <f t="shared" si="6"/>
        <v>0</v>
      </c>
    </row>
    <row r="24" spans="1:14">
      <c r="A24" s="605">
        <f t="shared" si="1"/>
        <v>10</v>
      </c>
      <c r="B24" s="561">
        <v>33400</v>
      </c>
      <c r="C24" s="4" t="s">
        <v>1078</v>
      </c>
      <c r="D24" s="709">
        <v>0</v>
      </c>
      <c r="E24" s="248">
        <v>0</v>
      </c>
      <c r="F24" s="345">
        <f t="shared" si="2"/>
        <v>0</v>
      </c>
      <c r="G24" s="708">
        <f t="shared" si="3"/>
        <v>1</v>
      </c>
      <c r="H24" s="708">
        <f t="shared" si="3"/>
        <v>1</v>
      </c>
      <c r="I24" s="345">
        <f t="shared" si="4"/>
        <v>0</v>
      </c>
      <c r="K24" s="709">
        <v>0</v>
      </c>
      <c r="L24" s="708">
        <f t="shared" si="5"/>
        <v>1</v>
      </c>
      <c r="M24" s="708">
        <f t="shared" si="5"/>
        <v>1</v>
      </c>
      <c r="N24" s="345">
        <f t="shared" si="6"/>
        <v>0</v>
      </c>
    </row>
    <row r="25" spans="1:14">
      <c r="A25" s="605">
        <f t="shared" si="1"/>
        <v>11</v>
      </c>
      <c r="B25" s="621"/>
      <c r="C25" s="1"/>
      <c r="D25" s="339"/>
      <c r="G25" s="266"/>
      <c r="H25" s="266"/>
      <c r="K25" s="339"/>
    </row>
    <row r="26" spans="1:14">
      <c r="A26" s="605">
        <f t="shared" si="1"/>
        <v>12</v>
      </c>
      <c r="B26" s="621"/>
      <c r="C26" s="1" t="s">
        <v>269</v>
      </c>
      <c r="D26" s="707">
        <f>SUM(D22:D25)</f>
        <v>0</v>
      </c>
      <c r="E26" s="707">
        <f>SUM(E22:E25)</f>
        <v>0</v>
      </c>
      <c r="F26" s="707">
        <f>SUM(F22:F25)</f>
        <v>0</v>
      </c>
      <c r="G26" s="266"/>
      <c r="H26" s="266"/>
      <c r="I26" s="707">
        <f>SUM(I22:I25)</f>
        <v>0</v>
      </c>
      <c r="K26" s="707">
        <f>SUM(K22:K25)</f>
        <v>0</v>
      </c>
      <c r="N26" s="707">
        <f>SUM(N22:N25)</f>
        <v>0</v>
      </c>
    </row>
    <row r="27" spans="1:14">
      <c r="A27" s="605">
        <f t="shared" si="1"/>
        <v>13</v>
      </c>
      <c r="B27" s="621"/>
      <c r="C27" s="4"/>
      <c r="G27" s="266"/>
      <c r="H27" s="266"/>
    </row>
    <row r="28" spans="1:14">
      <c r="A28" s="605">
        <f t="shared" si="1"/>
        <v>14</v>
      </c>
      <c r="B28" s="621"/>
      <c r="C28" s="16" t="s">
        <v>270</v>
      </c>
      <c r="G28" s="266"/>
      <c r="H28" s="266"/>
    </row>
    <row r="29" spans="1:14">
      <c r="A29" s="605">
        <f t="shared" si="1"/>
        <v>15</v>
      </c>
      <c r="B29" s="561">
        <v>35010</v>
      </c>
      <c r="C29" s="4" t="s">
        <v>283</v>
      </c>
      <c r="D29" s="706">
        <v>261126.69</v>
      </c>
      <c r="E29" s="546">
        <v>0</v>
      </c>
      <c r="F29" s="719">
        <f t="shared" ref="F29:F45" si="7">D29+E29</f>
        <v>261126.69</v>
      </c>
      <c r="G29" s="708">
        <f t="shared" ref="G29:H45" si="8">$G$16</f>
        <v>1</v>
      </c>
      <c r="H29" s="708">
        <f t="shared" si="8"/>
        <v>1</v>
      </c>
      <c r="I29" s="719">
        <f t="shared" ref="I29:I45" si="9">F29*G29*H29</f>
        <v>261126.69</v>
      </c>
      <c r="K29" s="706">
        <v>261126.68999999997</v>
      </c>
      <c r="L29" s="708">
        <f t="shared" ref="L29:M45" si="10">$G$16</f>
        <v>1</v>
      </c>
      <c r="M29" s="708">
        <f t="shared" si="10"/>
        <v>1</v>
      </c>
      <c r="N29" s="719">
        <f t="shared" ref="N29:N45" si="11">K29*L29*M29</f>
        <v>261126.68999999997</v>
      </c>
    </row>
    <row r="30" spans="1:14">
      <c r="A30" s="605">
        <f t="shared" si="1"/>
        <v>16</v>
      </c>
      <c r="B30" s="561">
        <v>35020</v>
      </c>
      <c r="C30" s="4" t="s">
        <v>762</v>
      </c>
      <c r="D30" s="709">
        <v>4681.58</v>
      </c>
      <c r="E30" s="248">
        <v>0</v>
      </c>
      <c r="F30" s="345">
        <f t="shared" si="7"/>
        <v>4681.58</v>
      </c>
      <c r="G30" s="708">
        <f t="shared" si="8"/>
        <v>1</v>
      </c>
      <c r="H30" s="708">
        <f t="shared" si="8"/>
        <v>1</v>
      </c>
      <c r="I30" s="345">
        <f t="shared" si="9"/>
        <v>4681.58</v>
      </c>
      <c r="K30" s="709">
        <v>4681.5800000000008</v>
      </c>
      <c r="L30" s="708">
        <f t="shared" si="10"/>
        <v>1</v>
      </c>
      <c r="M30" s="708">
        <f t="shared" si="10"/>
        <v>1</v>
      </c>
      <c r="N30" s="345">
        <f t="shared" si="11"/>
        <v>4681.5800000000008</v>
      </c>
    </row>
    <row r="31" spans="1:14">
      <c r="A31" s="605">
        <f t="shared" si="1"/>
        <v>17</v>
      </c>
      <c r="B31" s="561">
        <v>35100</v>
      </c>
      <c r="C31" s="4" t="s">
        <v>933</v>
      </c>
      <c r="D31" s="709">
        <v>17916.189999999999</v>
      </c>
      <c r="E31" s="248">
        <v>0</v>
      </c>
      <c r="F31" s="345">
        <f t="shared" si="7"/>
        <v>17916.189999999999</v>
      </c>
      <c r="G31" s="708">
        <f t="shared" si="8"/>
        <v>1</v>
      </c>
      <c r="H31" s="708">
        <f t="shared" si="8"/>
        <v>1</v>
      </c>
      <c r="I31" s="345">
        <f t="shared" si="9"/>
        <v>17916.189999999999</v>
      </c>
      <c r="K31" s="709">
        <v>17916.189999999999</v>
      </c>
      <c r="L31" s="708">
        <f t="shared" si="10"/>
        <v>1</v>
      </c>
      <c r="M31" s="708">
        <f t="shared" si="10"/>
        <v>1</v>
      </c>
      <c r="N31" s="345">
        <f t="shared" si="11"/>
        <v>17916.189999999999</v>
      </c>
    </row>
    <row r="32" spans="1:14">
      <c r="A32" s="605">
        <f t="shared" si="1"/>
        <v>18</v>
      </c>
      <c r="B32" s="561">
        <v>35102</v>
      </c>
      <c r="C32" s="4" t="s">
        <v>271</v>
      </c>
      <c r="D32" s="709">
        <v>223508.12000000002</v>
      </c>
      <c r="E32" s="248">
        <v>0</v>
      </c>
      <c r="F32" s="345">
        <f t="shared" si="7"/>
        <v>223508.12000000002</v>
      </c>
      <c r="G32" s="708">
        <f t="shared" si="8"/>
        <v>1</v>
      </c>
      <c r="H32" s="708">
        <f t="shared" si="8"/>
        <v>1</v>
      </c>
      <c r="I32" s="345">
        <f t="shared" si="9"/>
        <v>223508.12000000002</v>
      </c>
      <c r="K32" s="709">
        <v>223508.12000000008</v>
      </c>
      <c r="L32" s="708">
        <f t="shared" si="10"/>
        <v>1</v>
      </c>
      <c r="M32" s="708">
        <f t="shared" si="10"/>
        <v>1</v>
      </c>
      <c r="N32" s="345">
        <f t="shared" si="11"/>
        <v>223508.12000000008</v>
      </c>
    </row>
    <row r="33" spans="1:14">
      <c r="A33" s="605">
        <f t="shared" si="1"/>
        <v>19</v>
      </c>
      <c r="B33" s="561">
        <v>35103</v>
      </c>
      <c r="C33" s="4" t="s">
        <v>558</v>
      </c>
      <c r="D33" s="709">
        <v>23138.38</v>
      </c>
      <c r="E33" s="248">
        <v>0</v>
      </c>
      <c r="F33" s="345">
        <f t="shared" si="7"/>
        <v>23138.38</v>
      </c>
      <c r="G33" s="708">
        <f t="shared" si="8"/>
        <v>1</v>
      </c>
      <c r="H33" s="708">
        <f t="shared" si="8"/>
        <v>1</v>
      </c>
      <c r="I33" s="345">
        <f t="shared" si="9"/>
        <v>23138.38</v>
      </c>
      <c r="K33" s="709">
        <v>23138.38</v>
      </c>
      <c r="L33" s="708">
        <f t="shared" si="10"/>
        <v>1</v>
      </c>
      <c r="M33" s="708">
        <f t="shared" si="10"/>
        <v>1</v>
      </c>
      <c r="N33" s="345">
        <f t="shared" si="11"/>
        <v>23138.38</v>
      </c>
    </row>
    <row r="34" spans="1:14">
      <c r="A34" s="605">
        <f t="shared" si="1"/>
        <v>20</v>
      </c>
      <c r="B34" s="561">
        <v>35104</v>
      </c>
      <c r="C34" s="4" t="s">
        <v>559</v>
      </c>
      <c r="D34" s="709">
        <v>137442.53</v>
      </c>
      <c r="E34" s="248">
        <v>0</v>
      </c>
      <c r="F34" s="345">
        <f t="shared" si="7"/>
        <v>137442.53</v>
      </c>
      <c r="G34" s="708">
        <f t="shared" si="8"/>
        <v>1</v>
      </c>
      <c r="H34" s="708">
        <f t="shared" si="8"/>
        <v>1</v>
      </c>
      <c r="I34" s="345">
        <f t="shared" si="9"/>
        <v>137442.53</v>
      </c>
      <c r="K34" s="709">
        <v>137442.53</v>
      </c>
      <c r="L34" s="708">
        <f t="shared" si="10"/>
        <v>1</v>
      </c>
      <c r="M34" s="708">
        <f t="shared" si="10"/>
        <v>1</v>
      </c>
      <c r="N34" s="345">
        <f t="shared" si="11"/>
        <v>137442.53</v>
      </c>
    </row>
    <row r="35" spans="1:14">
      <c r="A35" s="605">
        <f t="shared" si="1"/>
        <v>21</v>
      </c>
      <c r="B35" s="561">
        <v>35200</v>
      </c>
      <c r="C35" s="4" t="s">
        <v>419</v>
      </c>
      <c r="D35" s="709">
        <v>13339671.709999999</v>
      </c>
      <c r="E35" s="248">
        <v>0</v>
      </c>
      <c r="F35" s="345">
        <f t="shared" si="7"/>
        <v>13339671.709999999</v>
      </c>
      <c r="G35" s="708">
        <f t="shared" si="8"/>
        <v>1</v>
      </c>
      <c r="H35" s="708">
        <f t="shared" si="8"/>
        <v>1</v>
      </c>
      <c r="I35" s="345">
        <f t="shared" si="9"/>
        <v>13339671.709999999</v>
      </c>
      <c r="K35" s="709">
        <v>12534611.171538461</v>
      </c>
      <c r="L35" s="708">
        <f t="shared" si="10"/>
        <v>1</v>
      </c>
      <c r="M35" s="708">
        <f t="shared" si="10"/>
        <v>1</v>
      </c>
      <c r="N35" s="345">
        <f t="shared" si="11"/>
        <v>12534611.171538461</v>
      </c>
    </row>
    <row r="36" spans="1:14">
      <c r="A36" s="605">
        <f t="shared" si="1"/>
        <v>22</v>
      </c>
      <c r="B36" s="561">
        <v>35201</v>
      </c>
      <c r="C36" s="4" t="s">
        <v>560</v>
      </c>
      <c r="D36" s="709">
        <v>1699998.54</v>
      </c>
      <c r="E36" s="248">
        <v>0</v>
      </c>
      <c r="F36" s="345">
        <f t="shared" si="7"/>
        <v>1699998.54</v>
      </c>
      <c r="G36" s="708">
        <f t="shared" si="8"/>
        <v>1</v>
      </c>
      <c r="H36" s="708">
        <f t="shared" si="8"/>
        <v>1</v>
      </c>
      <c r="I36" s="345">
        <f t="shared" si="9"/>
        <v>1699998.54</v>
      </c>
      <c r="K36" s="709">
        <v>1699998.5399999993</v>
      </c>
      <c r="L36" s="708">
        <f t="shared" si="10"/>
        <v>1</v>
      </c>
      <c r="M36" s="708">
        <f t="shared" si="10"/>
        <v>1</v>
      </c>
      <c r="N36" s="345">
        <f t="shared" si="11"/>
        <v>1699998.5399999993</v>
      </c>
    </row>
    <row r="37" spans="1:14">
      <c r="A37" s="605">
        <f t="shared" si="1"/>
        <v>23</v>
      </c>
      <c r="B37" s="561">
        <v>35202</v>
      </c>
      <c r="C37" s="4" t="s">
        <v>561</v>
      </c>
      <c r="D37" s="709">
        <v>667359.07999999996</v>
      </c>
      <c r="E37" s="248">
        <v>0</v>
      </c>
      <c r="F37" s="345">
        <f t="shared" si="7"/>
        <v>667359.07999999996</v>
      </c>
      <c r="G37" s="708">
        <f t="shared" si="8"/>
        <v>1</v>
      </c>
      <c r="H37" s="708">
        <f t="shared" si="8"/>
        <v>1</v>
      </c>
      <c r="I37" s="345">
        <f t="shared" si="9"/>
        <v>667359.07999999996</v>
      </c>
      <c r="K37" s="709">
        <v>667359.07999999996</v>
      </c>
      <c r="L37" s="708">
        <f t="shared" si="10"/>
        <v>1</v>
      </c>
      <c r="M37" s="708">
        <f t="shared" si="10"/>
        <v>1</v>
      </c>
      <c r="N37" s="345">
        <f t="shared" si="11"/>
        <v>667359.07999999996</v>
      </c>
    </row>
    <row r="38" spans="1:14">
      <c r="A38" s="605">
        <f t="shared" si="1"/>
        <v>24</v>
      </c>
      <c r="B38" s="561">
        <v>35203</v>
      </c>
      <c r="C38" s="4" t="s">
        <v>334</v>
      </c>
      <c r="D38" s="709">
        <v>1694832.96</v>
      </c>
      <c r="E38" s="248">
        <v>0</v>
      </c>
      <c r="F38" s="345">
        <f t="shared" si="7"/>
        <v>1694832.96</v>
      </c>
      <c r="G38" s="708">
        <f t="shared" si="8"/>
        <v>1</v>
      </c>
      <c r="H38" s="708">
        <f t="shared" si="8"/>
        <v>1</v>
      </c>
      <c r="I38" s="345">
        <f t="shared" si="9"/>
        <v>1694832.96</v>
      </c>
      <c r="K38" s="709">
        <v>1694832.9600000007</v>
      </c>
      <c r="L38" s="708">
        <f t="shared" si="10"/>
        <v>1</v>
      </c>
      <c r="M38" s="708">
        <f t="shared" si="10"/>
        <v>1</v>
      </c>
      <c r="N38" s="345">
        <f t="shared" si="11"/>
        <v>1694832.9600000007</v>
      </c>
    </row>
    <row r="39" spans="1:14">
      <c r="A39" s="605">
        <f t="shared" si="1"/>
        <v>25</v>
      </c>
      <c r="B39" s="561">
        <v>35210</v>
      </c>
      <c r="C39" s="4" t="s">
        <v>562</v>
      </c>
      <c r="D39" s="709">
        <v>178530.09</v>
      </c>
      <c r="E39" s="248">
        <v>0</v>
      </c>
      <c r="F39" s="345">
        <f t="shared" si="7"/>
        <v>178530.09</v>
      </c>
      <c r="G39" s="708">
        <f t="shared" si="8"/>
        <v>1</v>
      </c>
      <c r="H39" s="708">
        <f t="shared" si="8"/>
        <v>1</v>
      </c>
      <c r="I39" s="345">
        <f t="shared" si="9"/>
        <v>178530.09</v>
      </c>
      <c r="K39" s="709">
        <v>178530.09000000003</v>
      </c>
      <c r="L39" s="708">
        <f t="shared" si="10"/>
        <v>1</v>
      </c>
      <c r="M39" s="708">
        <f t="shared" si="10"/>
        <v>1</v>
      </c>
      <c r="N39" s="345">
        <f t="shared" si="11"/>
        <v>178530.09000000003</v>
      </c>
    </row>
    <row r="40" spans="1:14">
      <c r="A40" s="605">
        <f t="shared" si="1"/>
        <v>26</v>
      </c>
      <c r="B40" s="561">
        <v>35211</v>
      </c>
      <c r="C40" s="4" t="s">
        <v>563</v>
      </c>
      <c r="D40" s="709">
        <v>54614.270000000004</v>
      </c>
      <c r="E40" s="248">
        <v>0</v>
      </c>
      <c r="F40" s="345">
        <f t="shared" si="7"/>
        <v>54614.270000000004</v>
      </c>
      <c r="G40" s="708">
        <f t="shared" si="8"/>
        <v>1</v>
      </c>
      <c r="H40" s="708">
        <f t="shared" si="8"/>
        <v>1</v>
      </c>
      <c r="I40" s="345">
        <f t="shared" si="9"/>
        <v>54614.270000000004</v>
      </c>
      <c r="K40" s="709">
        <v>54614.270000000011</v>
      </c>
      <c r="L40" s="708">
        <f t="shared" si="10"/>
        <v>1</v>
      </c>
      <c r="M40" s="708">
        <f t="shared" si="10"/>
        <v>1</v>
      </c>
      <c r="N40" s="345">
        <f t="shared" si="11"/>
        <v>54614.270000000011</v>
      </c>
    </row>
    <row r="41" spans="1:14">
      <c r="A41" s="605">
        <f t="shared" si="1"/>
        <v>27</v>
      </c>
      <c r="B41" s="561">
        <v>35301</v>
      </c>
      <c r="C41" s="1" t="s">
        <v>156</v>
      </c>
      <c r="D41" s="709">
        <v>175350.37</v>
      </c>
      <c r="E41" s="248">
        <v>0</v>
      </c>
      <c r="F41" s="345">
        <f t="shared" si="7"/>
        <v>175350.37</v>
      </c>
      <c r="G41" s="708">
        <f t="shared" si="8"/>
        <v>1</v>
      </c>
      <c r="H41" s="708">
        <f t="shared" si="8"/>
        <v>1</v>
      </c>
      <c r="I41" s="345">
        <f t="shared" si="9"/>
        <v>175350.37</v>
      </c>
      <c r="K41" s="709">
        <v>175350.37000000005</v>
      </c>
      <c r="L41" s="708">
        <f t="shared" si="10"/>
        <v>1</v>
      </c>
      <c r="M41" s="708">
        <f t="shared" si="10"/>
        <v>1</v>
      </c>
      <c r="N41" s="345">
        <f t="shared" si="11"/>
        <v>175350.37000000005</v>
      </c>
    </row>
    <row r="42" spans="1:14">
      <c r="A42" s="605">
        <f t="shared" si="1"/>
        <v>28</v>
      </c>
      <c r="B42" s="561">
        <v>35302</v>
      </c>
      <c r="C42" s="4" t="s">
        <v>569</v>
      </c>
      <c r="D42" s="709">
        <v>209318.9</v>
      </c>
      <c r="E42" s="248">
        <v>0</v>
      </c>
      <c r="F42" s="345">
        <f t="shared" si="7"/>
        <v>209318.9</v>
      </c>
      <c r="G42" s="708">
        <f t="shared" si="8"/>
        <v>1</v>
      </c>
      <c r="H42" s="708">
        <f t="shared" si="8"/>
        <v>1</v>
      </c>
      <c r="I42" s="345">
        <f t="shared" si="9"/>
        <v>209318.9</v>
      </c>
      <c r="K42" s="709">
        <v>209318.89999999994</v>
      </c>
      <c r="L42" s="708">
        <f t="shared" si="10"/>
        <v>1</v>
      </c>
      <c r="M42" s="708">
        <f t="shared" si="10"/>
        <v>1</v>
      </c>
      <c r="N42" s="345">
        <f t="shared" si="11"/>
        <v>209318.89999999994</v>
      </c>
    </row>
    <row r="43" spans="1:14">
      <c r="A43" s="605">
        <f t="shared" si="1"/>
        <v>29</v>
      </c>
      <c r="B43" s="561">
        <v>35400</v>
      </c>
      <c r="C43" s="4" t="s">
        <v>564</v>
      </c>
      <c r="D43" s="709">
        <v>18065905.100000001</v>
      </c>
      <c r="E43" s="248">
        <v>0</v>
      </c>
      <c r="F43" s="345">
        <f t="shared" si="7"/>
        <v>18065905.100000001</v>
      </c>
      <c r="G43" s="708">
        <f t="shared" si="8"/>
        <v>1</v>
      </c>
      <c r="H43" s="708">
        <f t="shared" si="8"/>
        <v>1</v>
      </c>
      <c r="I43" s="345">
        <f t="shared" si="9"/>
        <v>18065905.100000001</v>
      </c>
      <c r="K43" s="709">
        <v>18065905.099999998</v>
      </c>
      <c r="L43" s="708">
        <f t="shared" si="10"/>
        <v>1</v>
      </c>
      <c r="M43" s="708">
        <f t="shared" si="10"/>
        <v>1</v>
      </c>
      <c r="N43" s="345">
        <f t="shared" si="11"/>
        <v>18065905.099999998</v>
      </c>
    </row>
    <row r="44" spans="1:14">
      <c r="A44" s="605">
        <f t="shared" si="1"/>
        <v>30</v>
      </c>
      <c r="B44" s="561">
        <v>35500</v>
      </c>
      <c r="C44" s="4" t="s">
        <v>956</v>
      </c>
      <c r="D44" s="709">
        <v>273084.38</v>
      </c>
      <c r="E44" s="248">
        <v>0</v>
      </c>
      <c r="F44" s="345">
        <f t="shared" si="7"/>
        <v>273084.38</v>
      </c>
      <c r="G44" s="708">
        <f t="shared" si="8"/>
        <v>1</v>
      </c>
      <c r="H44" s="708">
        <f t="shared" si="8"/>
        <v>1</v>
      </c>
      <c r="I44" s="345">
        <f t="shared" si="9"/>
        <v>273084.38</v>
      </c>
      <c r="K44" s="709">
        <v>273084.37999999995</v>
      </c>
      <c r="L44" s="708">
        <f t="shared" si="10"/>
        <v>1</v>
      </c>
      <c r="M44" s="708">
        <f t="shared" si="10"/>
        <v>1</v>
      </c>
      <c r="N44" s="345">
        <f t="shared" si="11"/>
        <v>273084.37999999995</v>
      </c>
    </row>
    <row r="45" spans="1:14">
      <c r="A45" s="605">
        <f t="shared" si="1"/>
        <v>31</v>
      </c>
      <c r="B45" s="561">
        <v>35600</v>
      </c>
      <c r="C45" s="4" t="s">
        <v>1001</v>
      </c>
      <c r="D45" s="709">
        <v>1327497.8599999999</v>
      </c>
      <c r="E45" s="549">
        <v>0</v>
      </c>
      <c r="F45" s="711">
        <f t="shared" si="7"/>
        <v>1327497.8599999999</v>
      </c>
      <c r="G45" s="708">
        <f t="shared" si="8"/>
        <v>1</v>
      </c>
      <c r="H45" s="708">
        <f t="shared" si="8"/>
        <v>1</v>
      </c>
      <c r="I45" s="711">
        <f t="shared" si="9"/>
        <v>1327497.8599999999</v>
      </c>
      <c r="K45" s="709">
        <v>1327497.8599999996</v>
      </c>
      <c r="L45" s="708">
        <f t="shared" si="10"/>
        <v>1</v>
      </c>
      <c r="M45" s="708">
        <f t="shared" si="10"/>
        <v>1</v>
      </c>
      <c r="N45" s="711">
        <f t="shared" si="11"/>
        <v>1327497.8599999996</v>
      </c>
    </row>
    <row r="46" spans="1:14">
      <c r="A46" s="605">
        <f t="shared" si="1"/>
        <v>32</v>
      </c>
      <c r="B46" s="621"/>
      <c r="C46" s="4"/>
      <c r="D46" s="339"/>
      <c r="G46" s="266"/>
      <c r="H46" s="266"/>
      <c r="K46" s="339"/>
    </row>
    <row r="47" spans="1:14">
      <c r="A47" s="605">
        <f t="shared" si="1"/>
        <v>33</v>
      </c>
      <c r="B47" s="621"/>
      <c r="C47" s="4" t="s">
        <v>207</v>
      </c>
      <c r="D47" s="707">
        <f>SUM(D29:D46)</f>
        <v>38353976.75</v>
      </c>
      <c r="E47" s="707">
        <f>SUM(E29:E46)</f>
        <v>0</v>
      </c>
      <c r="F47" s="707">
        <f>SUM(F29:F46)</f>
        <v>38353976.75</v>
      </c>
      <c r="G47" s="266"/>
      <c r="H47" s="266"/>
      <c r="I47" s="707">
        <f>SUM(I29:I46)</f>
        <v>38353976.75</v>
      </c>
      <c r="K47" s="707">
        <f>SUM(K29:K46)</f>
        <v>37548916.211538456</v>
      </c>
      <c r="N47" s="707">
        <f>SUM(N29:N46)</f>
        <v>37548916.211538456</v>
      </c>
    </row>
    <row r="48" spans="1:14">
      <c r="A48" s="605">
        <f t="shared" si="1"/>
        <v>34</v>
      </c>
      <c r="B48" s="621"/>
      <c r="C48" s="4"/>
      <c r="G48" s="266"/>
      <c r="H48" s="266"/>
    </row>
    <row r="49" spans="1:14">
      <c r="A49" s="605">
        <f t="shared" si="1"/>
        <v>35</v>
      </c>
      <c r="B49" s="621"/>
      <c r="C49" s="16" t="s">
        <v>957</v>
      </c>
      <c r="G49" s="266"/>
      <c r="H49" s="266"/>
    </row>
    <row r="50" spans="1:14">
      <c r="A50" s="605">
        <f t="shared" si="1"/>
        <v>36</v>
      </c>
      <c r="B50" s="561">
        <v>36510</v>
      </c>
      <c r="C50" s="4" t="s">
        <v>283</v>
      </c>
      <c r="D50" s="706">
        <v>26970.37</v>
      </c>
      <c r="E50" s="546">
        <v>0</v>
      </c>
      <c r="F50" s="719">
        <f t="shared" ref="F50:F58" si="12">D50+E50</f>
        <v>26970.37</v>
      </c>
      <c r="G50" s="708">
        <f t="shared" ref="G50:H58" si="13">$G$16</f>
        <v>1</v>
      </c>
      <c r="H50" s="708">
        <f t="shared" si="13"/>
        <v>1</v>
      </c>
      <c r="I50" s="707">
        <f t="shared" ref="I50:I58" si="14">F50*G50*H50</f>
        <v>26970.37</v>
      </c>
      <c r="K50" s="706">
        <v>26970.37</v>
      </c>
      <c r="L50" s="708">
        <f t="shared" ref="L50:M58" si="15">$G$16</f>
        <v>1</v>
      </c>
      <c r="M50" s="708">
        <f t="shared" si="15"/>
        <v>1</v>
      </c>
      <c r="N50" s="719">
        <f t="shared" ref="N50:N58" si="16">K50*L50*M50</f>
        <v>26970.37</v>
      </c>
    </row>
    <row r="51" spans="1:14">
      <c r="A51" s="605">
        <f t="shared" si="1"/>
        <v>37</v>
      </c>
      <c r="B51" s="561">
        <v>36520</v>
      </c>
      <c r="C51" s="4" t="s">
        <v>762</v>
      </c>
      <c r="D51" s="709">
        <v>867772</v>
      </c>
      <c r="E51" s="248">
        <v>0</v>
      </c>
      <c r="F51" s="345">
        <f t="shared" si="12"/>
        <v>867772</v>
      </c>
      <c r="G51" s="708">
        <f t="shared" si="13"/>
        <v>1</v>
      </c>
      <c r="H51" s="708">
        <f t="shared" si="13"/>
        <v>1</v>
      </c>
      <c r="I51" s="345">
        <f t="shared" si="14"/>
        <v>867772</v>
      </c>
      <c r="K51" s="709">
        <v>867772</v>
      </c>
      <c r="L51" s="708">
        <f t="shared" si="15"/>
        <v>1</v>
      </c>
      <c r="M51" s="708">
        <f t="shared" si="15"/>
        <v>1</v>
      </c>
      <c r="N51" s="345">
        <f t="shared" si="16"/>
        <v>867772</v>
      </c>
    </row>
    <row r="52" spans="1:14">
      <c r="A52" s="605">
        <f t="shared" si="1"/>
        <v>38</v>
      </c>
      <c r="B52" s="561">
        <v>36602</v>
      </c>
      <c r="C52" s="4" t="s">
        <v>825</v>
      </c>
      <c r="D52" s="709">
        <v>397833.22</v>
      </c>
      <c r="E52" s="248">
        <v>0</v>
      </c>
      <c r="F52" s="345">
        <f t="shared" si="12"/>
        <v>397833.22</v>
      </c>
      <c r="G52" s="708">
        <f t="shared" si="13"/>
        <v>1</v>
      </c>
      <c r="H52" s="708">
        <f t="shared" si="13"/>
        <v>1</v>
      </c>
      <c r="I52" s="345">
        <f t="shared" si="14"/>
        <v>397833.22</v>
      </c>
      <c r="K52" s="709">
        <v>397833.21999999986</v>
      </c>
      <c r="L52" s="708">
        <f t="shared" si="15"/>
        <v>1</v>
      </c>
      <c r="M52" s="708">
        <f t="shared" si="15"/>
        <v>1</v>
      </c>
      <c r="N52" s="345">
        <f t="shared" si="16"/>
        <v>397833.21999999986</v>
      </c>
    </row>
    <row r="53" spans="1:14">
      <c r="A53" s="605">
        <f t="shared" si="1"/>
        <v>39</v>
      </c>
      <c r="B53" s="561">
        <v>36603</v>
      </c>
      <c r="C53" s="4" t="s">
        <v>958</v>
      </c>
      <c r="D53" s="709">
        <v>60826.29</v>
      </c>
      <c r="E53" s="248">
        <v>0</v>
      </c>
      <c r="F53" s="345">
        <f t="shared" si="12"/>
        <v>60826.29</v>
      </c>
      <c r="G53" s="708">
        <f t="shared" si="13"/>
        <v>1</v>
      </c>
      <c r="H53" s="708">
        <f t="shared" si="13"/>
        <v>1</v>
      </c>
      <c r="I53" s="345">
        <f t="shared" si="14"/>
        <v>60826.29</v>
      </c>
      <c r="K53" s="709">
        <v>60826.290000000008</v>
      </c>
      <c r="L53" s="708">
        <f t="shared" si="15"/>
        <v>1</v>
      </c>
      <c r="M53" s="708">
        <f t="shared" si="15"/>
        <v>1</v>
      </c>
      <c r="N53" s="345">
        <f t="shared" si="16"/>
        <v>60826.290000000008</v>
      </c>
    </row>
    <row r="54" spans="1:14">
      <c r="A54" s="605">
        <f t="shared" si="1"/>
        <v>40</v>
      </c>
      <c r="B54" s="561">
        <v>36700</v>
      </c>
      <c r="C54" s="4" t="s">
        <v>813</v>
      </c>
      <c r="D54" s="709">
        <v>47232.93</v>
      </c>
      <c r="E54" s="248">
        <v>0</v>
      </c>
      <c r="F54" s="345">
        <f t="shared" si="12"/>
        <v>47232.93</v>
      </c>
      <c r="G54" s="708">
        <f t="shared" si="13"/>
        <v>1</v>
      </c>
      <c r="H54" s="708">
        <f t="shared" si="13"/>
        <v>1</v>
      </c>
      <c r="I54" s="345">
        <f t="shared" si="14"/>
        <v>47232.93</v>
      </c>
      <c r="K54" s="709">
        <v>47232.930000000008</v>
      </c>
      <c r="L54" s="708">
        <f t="shared" si="15"/>
        <v>1</v>
      </c>
      <c r="M54" s="708">
        <f t="shared" si="15"/>
        <v>1</v>
      </c>
      <c r="N54" s="345">
        <f t="shared" si="16"/>
        <v>47232.930000000008</v>
      </c>
    </row>
    <row r="55" spans="1:14">
      <c r="A55" s="605">
        <f t="shared" si="1"/>
        <v>41</v>
      </c>
      <c r="B55" s="561">
        <v>36701</v>
      </c>
      <c r="C55" s="4" t="s">
        <v>15</v>
      </c>
      <c r="D55" s="709">
        <v>27826920.920000002</v>
      </c>
      <c r="E55" s="248">
        <v>0</v>
      </c>
      <c r="F55" s="345">
        <f t="shared" si="12"/>
        <v>27826920.920000002</v>
      </c>
      <c r="G55" s="708">
        <f t="shared" si="13"/>
        <v>1</v>
      </c>
      <c r="H55" s="708">
        <f t="shared" si="13"/>
        <v>1</v>
      </c>
      <c r="I55" s="345">
        <f t="shared" si="14"/>
        <v>27826920.920000002</v>
      </c>
      <c r="K55" s="709">
        <v>27826920.920000013</v>
      </c>
      <c r="L55" s="708">
        <f t="shared" si="15"/>
        <v>1</v>
      </c>
      <c r="M55" s="708">
        <f t="shared" si="15"/>
        <v>1</v>
      </c>
      <c r="N55" s="345">
        <f t="shared" si="16"/>
        <v>27826920.920000013</v>
      </c>
    </row>
    <row r="56" spans="1:14">
      <c r="A56" s="605">
        <f t="shared" si="1"/>
        <v>42</v>
      </c>
      <c r="B56" s="561">
        <v>36703</v>
      </c>
      <c r="C56" s="98" t="s">
        <v>1494</v>
      </c>
      <c r="D56" s="709">
        <v>11134.11</v>
      </c>
      <c r="E56" s="338">
        <v>0</v>
      </c>
      <c r="F56" s="345">
        <f t="shared" ref="F56" si="17">D56+E56</f>
        <v>11134.11</v>
      </c>
      <c r="G56" s="708">
        <f t="shared" si="13"/>
        <v>1</v>
      </c>
      <c r="H56" s="708">
        <f t="shared" si="13"/>
        <v>1</v>
      </c>
      <c r="I56" s="345">
        <f t="shared" ref="I56" si="18">F56*G56*H56</f>
        <v>11134.11</v>
      </c>
      <c r="K56" s="709">
        <v>11134.109999999999</v>
      </c>
      <c r="L56" s="708">
        <f t="shared" si="15"/>
        <v>1</v>
      </c>
      <c r="M56" s="708">
        <f t="shared" si="15"/>
        <v>1</v>
      </c>
      <c r="N56" s="345">
        <f t="shared" ref="N56" si="19">K56*L56*M56</f>
        <v>11134.109999999999</v>
      </c>
    </row>
    <row r="57" spans="1:14">
      <c r="A57" s="605">
        <f t="shared" si="1"/>
        <v>43</v>
      </c>
      <c r="B57" s="561">
        <v>36900</v>
      </c>
      <c r="C57" s="4" t="s">
        <v>959</v>
      </c>
      <c r="D57" s="709">
        <v>1999587.3900000001</v>
      </c>
      <c r="E57" s="248">
        <v>0</v>
      </c>
      <c r="F57" s="345">
        <f t="shared" si="12"/>
        <v>1999587.3900000001</v>
      </c>
      <c r="G57" s="708">
        <f t="shared" si="13"/>
        <v>1</v>
      </c>
      <c r="H57" s="708">
        <f t="shared" si="13"/>
        <v>1</v>
      </c>
      <c r="I57" s="345">
        <f t="shared" si="14"/>
        <v>1999587.3900000001</v>
      </c>
      <c r="K57" s="709">
        <v>1999587.3900000004</v>
      </c>
      <c r="L57" s="708">
        <f t="shared" si="15"/>
        <v>1</v>
      </c>
      <c r="M57" s="708">
        <f t="shared" si="15"/>
        <v>1</v>
      </c>
      <c r="N57" s="345">
        <f t="shared" si="16"/>
        <v>1999587.3900000004</v>
      </c>
    </row>
    <row r="58" spans="1:14">
      <c r="A58" s="605">
        <f t="shared" si="1"/>
        <v>44</v>
      </c>
      <c r="B58" s="561">
        <v>36901</v>
      </c>
      <c r="C58" s="4" t="s">
        <v>959</v>
      </c>
      <c r="D58" s="709">
        <v>2269499.29</v>
      </c>
      <c r="E58" s="549">
        <v>0</v>
      </c>
      <c r="F58" s="711">
        <f t="shared" si="12"/>
        <v>2269499.29</v>
      </c>
      <c r="G58" s="708">
        <f t="shared" si="13"/>
        <v>1</v>
      </c>
      <c r="H58" s="708">
        <f t="shared" si="13"/>
        <v>1</v>
      </c>
      <c r="I58" s="711">
        <f t="shared" si="14"/>
        <v>2269499.29</v>
      </c>
      <c r="K58" s="709">
        <v>2269499.2899999996</v>
      </c>
      <c r="L58" s="708">
        <f t="shared" si="15"/>
        <v>1</v>
      </c>
      <c r="M58" s="708">
        <f t="shared" si="15"/>
        <v>1</v>
      </c>
      <c r="N58" s="711">
        <f t="shared" si="16"/>
        <v>2269499.2899999996</v>
      </c>
    </row>
    <row r="59" spans="1:14">
      <c r="A59" s="605">
        <f t="shared" si="1"/>
        <v>45</v>
      </c>
      <c r="B59" s="621"/>
      <c r="C59" s="4"/>
      <c r="D59" s="339"/>
      <c r="G59" s="266"/>
      <c r="H59" s="266"/>
      <c r="K59" s="339"/>
    </row>
    <row r="60" spans="1:14">
      <c r="A60" s="605">
        <f t="shared" si="1"/>
        <v>46</v>
      </c>
      <c r="B60" s="621"/>
      <c r="C60" s="4" t="s">
        <v>1276</v>
      </c>
      <c r="D60" s="707">
        <f>SUM(D50:D59)</f>
        <v>33507776.52</v>
      </c>
      <c r="E60" s="707">
        <f>SUM(E50:E59)</f>
        <v>0</v>
      </c>
      <c r="F60" s="707">
        <f>SUM(F50:F59)</f>
        <v>33507776.52</v>
      </c>
      <c r="G60" s="266"/>
      <c r="H60" s="266"/>
      <c r="I60" s="707">
        <f>SUM(I50:I59)</f>
        <v>33507776.52</v>
      </c>
      <c r="K60" s="707">
        <f>SUM(K50:K59)</f>
        <v>33507776.520000011</v>
      </c>
      <c r="N60" s="707">
        <f>SUM(N50:N59)</f>
        <v>33507776.520000011</v>
      </c>
    </row>
    <row r="61" spans="1:14">
      <c r="A61" s="605">
        <f t="shared" si="1"/>
        <v>47</v>
      </c>
      <c r="B61" s="621"/>
      <c r="C61" s="1"/>
      <c r="G61" s="266"/>
      <c r="H61" s="266"/>
    </row>
    <row r="62" spans="1:14">
      <c r="A62" s="605">
        <f t="shared" si="1"/>
        <v>48</v>
      </c>
      <c r="B62" s="621"/>
      <c r="C62" s="16" t="s">
        <v>290</v>
      </c>
      <c r="G62" s="266"/>
      <c r="H62" s="266"/>
    </row>
    <row r="63" spans="1:14">
      <c r="A63" s="605">
        <f t="shared" si="1"/>
        <v>49</v>
      </c>
      <c r="B63" s="561">
        <v>37400</v>
      </c>
      <c r="C63" s="4" t="s">
        <v>1105</v>
      </c>
      <c r="D63" s="706">
        <v>613355.87</v>
      </c>
      <c r="E63" s="546">
        <v>0</v>
      </c>
      <c r="F63" s="719">
        <f t="shared" ref="F63:F84" si="20">D63+E63</f>
        <v>613355.87</v>
      </c>
      <c r="G63" s="708">
        <f t="shared" ref="G63:H84" si="21">$G$16</f>
        <v>1</v>
      </c>
      <c r="H63" s="708">
        <f t="shared" si="21"/>
        <v>1</v>
      </c>
      <c r="I63" s="707">
        <f t="shared" ref="I63:I84" si="22">F63*G63*H63</f>
        <v>613355.87</v>
      </c>
      <c r="K63" s="706">
        <v>613355.87</v>
      </c>
      <c r="L63" s="708">
        <f t="shared" ref="L63:M84" si="23">$G$16</f>
        <v>1</v>
      </c>
      <c r="M63" s="708">
        <f t="shared" si="23"/>
        <v>1</v>
      </c>
      <c r="N63" s="719">
        <f t="shared" ref="N63:N84" si="24">K63*L63*M63</f>
        <v>613355.87</v>
      </c>
    </row>
    <row r="64" spans="1:14">
      <c r="A64" s="605">
        <f t="shared" si="1"/>
        <v>50</v>
      </c>
      <c r="B64" s="561">
        <v>37401</v>
      </c>
      <c r="C64" s="4" t="s">
        <v>283</v>
      </c>
      <c r="D64" s="709">
        <v>428640.46</v>
      </c>
      <c r="E64" s="248">
        <v>0</v>
      </c>
      <c r="F64" s="345">
        <f t="shared" si="20"/>
        <v>428640.46</v>
      </c>
      <c r="G64" s="708">
        <f t="shared" si="21"/>
        <v>1</v>
      </c>
      <c r="H64" s="708">
        <f t="shared" si="21"/>
        <v>1</v>
      </c>
      <c r="I64" s="345">
        <f t="shared" si="22"/>
        <v>428640.46</v>
      </c>
      <c r="K64" s="709">
        <v>428640.46</v>
      </c>
      <c r="L64" s="708">
        <f t="shared" si="23"/>
        <v>1</v>
      </c>
      <c r="M64" s="708">
        <f t="shared" si="23"/>
        <v>1</v>
      </c>
      <c r="N64" s="345">
        <f t="shared" si="24"/>
        <v>428640.46</v>
      </c>
    </row>
    <row r="65" spans="1:14">
      <c r="A65" s="605">
        <f t="shared" si="1"/>
        <v>51</v>
      </c>
      <c r="B65" s="561">
        <v>37402</v>
      </c>
      <c r="C65" s="4" t="s">
        <v>963</v>
      </c>
      <c r="D65" s="709">
        <v>4157536.17</v>
      </c>
      <c r="E65" s="248">
        <v>0</v>
      </c>
      <c r="F65" s="345">
        <f t="shared" si="20"/>
        <v>4157536.17</v>
      </c>
      <c r="G65" s="708">
        <f t="shared" si="21"/>
        <v>1</v>
      </c>
      <c r="H65" s="708">
        <f t="shared" si="21"/>
        <v>1</v>
      </c>
      <c r="I65" s="345">
        <f t="shared" si="22"/>
        <v>4157536.17</v>
      </c>
      <c r="K65" s="709">
        <v>4157536.1700000013</v>
      </c>
      <c r="L65" s="708">
        <f t="shared" si="23"/>
        <v>1</v>
      </c>
      <c r="M65" s="708">
        <f t="shared" si="23"/>
        <v>1</v>
      </c>
      <c r="N65" s="345">
        <f t="shared" si="24"/>
        <v>4157536.1700000013</v>
      </c>
    </row>
    <row r="66" spans="1:14">
      <c r="A66" s="605">
        <f t="shared" si="1"/>
        <v>52</v>
      </c>
      <c r="B66" s="561">
        <v>37403</v>
      </c>
      <c r="C66" s="4" t="s">
        <v>960</v>
      </c>
      <c r="D66" s="709">
        <v>2783.89</v>
      </c>
      <c r="E66" s="248">
        <v>0</v>
      </c>
      <c r="F66" s="345">
        <f t="shared" si="20"/>
        <v>2783.89</v>
      </c>
      <c r="G66" s="708">
        <f t="shared" si="21"/>
        <v>1</v>
      </c>
      <c r="H66" s="708">
        <f t="shared" si="21"/>
        <v>1</v>
      </c>
      <c r="I66" s="345">
        <f t="shared" si="22"/>
        <v>2783.89</v>
      </c>
      <c r="K66" s="709">
        <v>2783.89</v>
      </c>
      <c r="L66" s="708">
        <f t="shared" si="23"/>
        <v>1</v>
      </c>
      <c r="M66" s="708">
        <f t="shared" si="23"/>
        <v>1</v>
      </c>
      <c r="N66" s="345">
        <f t="shared" si="24"/>
        <v>2783.89</v>
      </c>
    </row>
    <row r="67" spans="1:14">
      <c r="A67" s="605">
        <f t="shared" si="1"/>
        <v>53</v>
      </c>
      <c r="B67" s="561">
        <v>37500</v>
      </c>
      <c r="C67" s="4" t="s">
        <v>825</v>
      </c>
      <c r="D67" s="709">
        <v>336167.54</v>
      </c>
      <c r="E67" s="248">
        <v>0</v>
      </c>
      <c r="F67" s="345">
        <f t="shared" si="20"/>
        <v>336167.54</v>
      </c>
      <c r="G67" s="708">
        <f t="shared" si="21"/>
        <v>1</v>
      </c>
      <c r="H67" s="708">
        <f t="shared" si="21"/>
        <v>1</v>
      </c>
      <c r="I67" s="345">
        <f t="shared" si="22"/>
        <v>336167.54</v>
      </c>
      <c r="K67" s="709">
        <v>336167.54</v>
      </c>
      <c r="L67" s="708">
        <f t="shared" si="23"/>
        <v>1</v>
      </c>
      <c r="M67" s="708">
        <f t="shared" si="23"/>
        <v>1</v>
      </c>
      <c r="N67" s="345">
        <f t="shared" si="24"/>
        <v>336167.54</v>
      </c>
    </row>
    <row r="68" spans="1:14">
      <c r="A68" s="605">
        <f t="shared" si="1"/>
        <v>54</v>
      </c>
      <c r="B68" s="561">
        <v>37501</v>
      </c>
      <c r="C68" s="4" t="s">
        <v>961</v>
      </c>
      <c r="D68" s="709">
        <v>99818.13</v>
      </c>
      <c r="E68" s="248">
        <v>0</v>
      </c>
      <c r="F68" s="345">
        <f t="shared" si="20"/>
        <v>99818.13</v>
      </c>
      <c r="G68" s="708">
        <f t="shared" si="21"/>
        <v>1</v>
      </c>
      <c r="H68" s="708">
        <f t="shared" si="21"/>
        <v>1</v>
      </c>
      <c r="I68" s="345">
        <f t="shared" si="22"/>
        <v>99818.13</v>
      </c>
      <c r="K68" s="709">
        <v>99818.12999999999</v>
      </c>
      <c r="L68" s="708">
        <f t="shared" si="23"/>
        <v>1</v>
      </c>
      <c r="M68" s="708">
        <f t="shared" si="23"/>
        <v>1</v>
      </c>
      <c r="N68" s="345">
        <f t="shared" si="24"/>
        <v>99818.12999999999</v>
      </c>
    </row>
    <row r="69" spans="1:14">
      <c r="A69" s="605">
        <f t="shared" si="1"/>
        <v>55</v>
      </c>
      <c r="B69" s="561">
        <v>37502</v>
      </c>
      <c r="C69" s="4" t="s">
        <v>963</v>
      </c>
      <c r="D69" s="709">
        <v>46264.19</v>
      </c>
      <c r="E69" s="248">
        <v>0</v>
      </c>
      <c r="F69" s="345">
        <f t="shared" si="20"/>
        <v>46264.19</v>
      </c>
      <c r="G69" s="708">
        <f t="shared" si="21"/>
        <v>1</v>
      </c>
      <c r="H69" s="708">
        <f t="shared" si="21"/>
        <v>1</v>
      </c>
      <c r="I69" s="345">
        <f t="shared" si="22"/>
        <v>46264.19</v>
      </c>
      <c r="K69" s="709">
        <v>46264.189999999995</v>
      </c>
      <c r="L69" s="708">
        <f t="shared" si="23"/>
        <v>1</v>
      </c>
      <c r="M69" s="708">
        <f t="shared" si="23"/>
        <v>1</v>
      </c>
      <c r="N69" s="345">
        <f t="shared" si="24"/>
        <v>46264.189999999995</v>
      </c>
    </row>
    <row r="70" spans="1:14">
      <c r="A70" s="605">
        <f t="shared" si="1"/>
        <v>56</v>
      </c>
      <c r="B70" s="561">
        <v>37503</v>
      </c>
      <c r="C70" s="4" t="s">
        <v>962</v>
      </c>
      <c r="D70" s="709">
        <v>4005.08</v>
      </c>
      <c r="E70" s="248">
        <v>0</v>
      </c>
      <c r="F70" s="345">
        <f t="shared" si="20"/>
        <v>4005.08</v>
      </c>
      <c r="G70" s="708">
        <f t="shared" si="21"/>
        <v>1</v>
      </c>
      <c r="H70" s="708">
        <f t="shared" si="21"/>
        <v>1</v>
      </c>
      <c r="I70" s="345">
        <f t="shared" si="22"/>
        <v>4005.08</v>
      </c>
      <c r="K70" s="709">
        <v>4005.0800000000013</v>
      </c>
      <c r="L70" s="708">
        <f t="shared" si="23"/>
        <v>1</v>
      </c>
      <c r="M70" s="708">
        <f t="shared" si="23"/>
        <v>1</v>
      </c>
      <c r="N70" s="345">
        <f t="shared" si="24"/>
        <v>4005.0800000000013</v>
      </c>
    </row>
    <row r="71" spans="1:14">
      <c r="A71" s="605">
        <f t="shared" si="1"/>
        <v>57</v>
      </c>
      <c r="B71" s="561">
        <v>37600</v>
      </c>
      <c r="C71" s="4" t="s">
        <v>813</v>
      </c>
      <c r="D71" s="709">
        <v>3418282.84</v>
      </c>
      <c r="E71" s="248">
        <v>0</v>
      </c>
      <c r="F71" s="345">
        <f t="shared" si="20"/>
        <v>3418282.84</v>
      </c>
      <c r="G71" s="708">
        <f t="shared" si="21"/>
        <v>1</v>
      </c>
      <c r="H71" s="708">
        <f t="shared" si="21"/>
        <v>1</v>
      </c>
      <c r="I71" s="345">
        <f t="shared" si="22"/>
        <v>3418282.84</v>
      </c>
      <c r="K71" s="709">
        <v>3418282.8400000003</v>
      </c>
      <c r="L71" s="708">
        <f t="shared" si="23"/>
        <v>1</v>
      </c>
      <c r="M71" s="708">
        <f t="shared" si="23"/>
        <v>1</v>
      </c>
      <c r="N71" s="345">
        <f t="shared" si="24"/>
        <v>3418282.8400000003</v>
      </c>
    </row>
    <row r="72" spans="1:14">
      <c r="A72" s="605">
        <f t="shared" si="1"/>
        <v>58</v>
      </c>
      <c r="B72" s="561">
        <v>37601</v>
      </c>
      <c r="C72" s="4" t="s">
        <v>15</v>
      </c>
      <c r="D72" s="709">
        <v>232921052.43612394</v>
      </c>
      <c r="E72" s="248">
        <v>0</v>
      </c>
      <c r="F72" s="345">
        <f t="shared" si="20"/>
        <v>232921052.43612394</v>
      </c>
      <c r="G72" s="708">
        <f t="shared" si="21"/>
        <v>1</v>
      </c>
      <c r="H72" s="708">
        <f t="shared" si="21"/>
        <v>1</v>
      </c>
      <c r="I72" s="345">
        <f t="shared" si="22"/>
        <v>232921052.43612394</v>
      </c>
      <c r="K72" s="709">
        <v>230553919.41791564</v>
      </c>
      <c r="L72" s="708">
        <f t="shared" si="23"/>
        <v>1</v>
      </c>
      <c r="M72" s="708">
        <f t="shared" si="23"/>
        <v>1</v>
      </c>
      <c r="N72" s="345">
        <f t="shared" si="24"/>
        <v>230553919.41791564</v>
      </c>
    </row>
    <row r="73" spans="1:14">
      <c r="A73" s="605">
        <f t="shared" si="1"/>
        <v>59</v>
      </c>
      <c r="B73" s="561">
        <v>37602</v>
      </c>
      <c r="C73" s="4" t="s">
        <v>814</v>
      </c>
      <c r="D73" s="709">
        <v>223706552.94778469</v>
      </c>
      <c r="E73" s="248">
        <v>0</v>
      </c>
      <c r="F73" s="345">
        <f t="shared" si="20"/>
        <v>223706552.94778469</v>
      </c>
      <c r="G73" s="708">
        <f t="shared" si="21"/>
        <v>1</v>
      </c>
      <c r="H73" s="708">
        <f t="shared" si="21"/>
        <v>1</v>
      </c>
      <c r="I73" s="345">
        <f t="shared" si="22"/>
        <v>223706552.94778469</v>
      </c>
      <c r="K73" s="709">
        <v>221659303.82464921</v>
      </c>
      <c r="L73" s="708">
        <f t="shared" si="23"/>
        <v>1</v>
      </c>
      <c r="M73" s="708">
        <f t="shared" si="23"/>
        <v>1</v>
      </c>
      <c r="N73" s="345">
        <f t="shared" si="24"/>
        <v>221659303.82464921</v>
      </c>
    </row>
    <row r="74" spans="1:14">
      <c r="A74" s="605">
        <f t="shared" si="1"/>
        <v>60</v>
      </c>
      <c r="B74" s="561">
        <v>37603</v>
      </c>
      <c r="C74" s="98" t="s">
        <v>1494</v>
      </c>
      <c r="D74" s="709">
        <v>3721269.2423021868</v>
      </c>
      <c r="E74" s="338">
        <v>0</v>
      </c>
      <c r="F74" s="345">
        <f t="shared" ref="F74:F75" si="25">D74+E74</f>
        <v>3721269.2423021868</v>
      </c>
      <c r="G74" s="708">
        <f t="shared" si="21"/>
        <v>1</v>
      </c>
      <c r="H74" s="708">
        <f t="shared" si="21"/>
        <v>1</v>
      </c>
      <c r="I74" s="345">
        <f t="shared" ref="I74:I75" si="26">F74*G74*H74</f>
        <v>3721269.2423021868</v>
      </c>
      <c r="K74" s="709">
        <v>3599610.2481774953</v>
      </c>
      <c r="L74" s="708">
        <f t="shared" si="23"/>
        <v>1</v>
      </c>
      <c r="M74" s="708">
        <f t="shared" si="23"/>
        <v>1</v>
      </c>
      <c r="N74" s="345">
        <f t="shared" ref="N74:N75" si="27">K74*L74*M74</f>
        <v>3599610.2481774953</v>
      </c>
    </row>
    <row r="75" spans="1:14">
      <c r="A75" s="605">
        <f t="shared" si="1"/>
        <v>61</v>
      </c>
      <c r="B75" s="561">
        <v>37604</v>
      </c>
      <c r="C75" s="98" t="s">
        <v>1495</v>
      </c>
      <c r="D75" s="709">
        <v>6789879.21</v>
      </c>
      <c r="E75" s="338">
        <v>0</v>
      </c>
      <c r="F75" s="345">
        <f t="shared" si="25"/>
        <v>6789879.21</v>
      </c>
      <c r="G75" s="708">
        <f t="shared" si="21"/>
        <v>1</v>
      </c>
      <c r="H75" s="708">
        <f t="shared" si="21"/>
        <v>1</v>
      </c>
      <c r="I75" s="345">
        <f t="shared" si="26"/>
        <v>6789879.21</v>
      </c>
      <c r="K75" s="709">
        <v>6789879.2099999981</v>
      </c>
      <c r="L75" s="708">
        <f t="shared" si="23"/>
        <v>1</v>
      </c>
      <c r="M75" s="708">
        <f t="shared" si="23"/>
        <v>1</v>
      </c>
      <c r="N75" s="345">
        <f t="shared" si="27"/>
        <v>6789879.2099999981</v>
      </c>
    </row>
    <row r="76" spans="1:14">
      <c r="A76" s="605">
        <f t="shared" si="1"/>
        <v>62</v>
      </c>
      <c r="B76" s="561">
        <v>37800</v>
      </c>
      <c r="C76" s="4" t="s">
        <v>221</v>
      </c>
      <c r="D76" s="709">
        <v>25723806.913316235</v>
      </c>
      <c r="E76" s="248">
        <v>0</v>
      </c>
      <c r="F76" s="345">
        <f t="shared" si="20"/>
        <v>25723806.913316235</v>
      </c>
      <c r="G76" s="708">
        <f t="shared" si="21"/>
        <v>1</v>
      </c>
      <c r="H76" s="708">
        <f t="shared" si="21"/>
        <v>1</v>
      </c>
      <c r="I76" s="345">
        <f t="shared" si="22"/>
        <v>25723806.913316235</v>
      </c>
      <c r="K76" s="709">
        <v>25594945.656180743</v>
      </c>
      <c r="L76" s="708">
        <f t="shared" si="23"/>
        <v>1</v>
      </c>
      <c r="M76" s="708">
        <f t="shared" si="23"/>
        <v>1</v>
      </c>
      <c r="N76" s="345">
        <f t="shared" si="24"/>
        <v>25594945.656180743</v>
      </c>
    </row>
    <row r="77" spans="1:14">
      <c r="A77" s="605">
        <f t="shared" si="1"/>
        <v>63</v>
      </c>
      <c r="B77" s="561">
        <v>37900</v>
      </c>
      <c r="C77" s="4" t="s">
        <v>1148</v>
      </c>
      <c r="D77" s="709">
        <v>11209628.98</v>
      </c>
      <c r="E77" s="248">
        <v>0</v>
      </c>
      <c r="F77" s="345">
        <f t="shared" si="20"/>
        <v>11209628.98</v>
      </c>
      <c r="G77" s="708">
        <f t="shared" si="21"/>
        <v>1</v>
      </c>
      <c r="H77" s="708">
        <f t="shared" si="21"/>
        <v>1</v>
      </c>
      <c r="I77" s="345">
        <f t="shared" si="22"/>
        <v>11209628.98</v>
      </c>
      <c r="K77" s="709">
        <v>9712760.9800000023</v>
      </c>
      <c r="L77" s="708">
        <f t="shared" si="23"/>
        <v>1</v>
      </c>
      <c r="M77" s="708">
        <f t="shared" si="23"/>
        <v>1</v>
      </c>
      <c r="N77" s="345">
        <f t="shared" si="24"/>
        <v>9712760.9800000023</v>
      </c>
    </row>
    <row r="78" spans="1:14">
      <c r="A78" s="605">
        <f t="shared" si="1"/>
        <v>64</v>
      </c>
      <c r="B78" s="561">
        <v>37905</v>
      </c>
      <c r="C78" s="4" t="s">
        <v>698</v>
      </c>
      <c r="D78" s="709">
        <v>1718293.35</v>
      </c>
      <c r="E78" s="248">
        <v>0</v>
      </c>
      <c r="F78" s="345">
        <f t="shared" si="20"/>
        <v>1718293.35</v>
      </c>
      <c r="G78" s="708">
        <f t="shared" si="21"/>
        <v>1</v>
      </c>
      <c r="H78" s="708">
        <f t="shared" si="21"/>
        <v>1</v>
      </c>
      <c r="I78" s="345">
        <f t="shared" si="22"/>
        <v>1718293.35</v>
      </c>
      <c r="K78" s="709">
        <v>1718293.3500000003</v>
      </c>
      <c r="L78" s="708">
        <f t="shared" si="23"/>
        <v>1</v>
      </c>
      <c r="M78" s="708">
        <f t="shared" si="23"/>
        <v>1</v>
      </c>
      <c r="N78" s="345">
        <f t="shared" si="24"/>
        <v>1718293.3500000003</v>
      </c>
    </row>
    <row r="79" spans="1:14">
      <c r="A79" s="605">
        <f t="shared" si="1"/>
        <v>65</v>
      </c>
      <c r="B79" s="561">
        <v>38000</v>
      </c>
      <c r="C79" s="4" t="s">
        <v>1013</v>
      </c>
      <c r="D79" s="709">
        <v>196345885.47667906</v>
      </c>
      <c r="E79" s="248">
        <v>0</v>
      </c>
      <c r="F79" s="345">
        <f t="shared" si="20"/>
        <v>196345885.47667906</v>
      </c>
      <c r="G79" s="708">
        <f t="shared" si="21"/>
        <v>1</v>
      </c>
      <c r="H79" s="708">
        <f t="shared" si="21"/>
        <v>1</v>
      </c>
      <c r="I79" s="345">
        <f t="shared" si="22"/>
        <v>196345885.47667906</v>
      </c>
      <c r="K79" s="709">
        <v>193916541.51608855</v>
      </c>
      <c r="L79" s="708">
        <f t="shared" si="23"/>
        <v>1</v>
      </c>
      <c r="M79" s="708">
        <f t="shared" si="23"/>
        <v>1</v>
      </c>
      <c r="N79" s="345">
        <f t="shared" si="24"/>
        <v>193916541.51608855</v>
      </c>
    </row>
    <row r="80" spans="1:14">
      <c r="A80" s="605">
        <f t="shared" si="1"/>
        <v>66</v>
      </c>
      <c r="B80" s="561">
        <v>38100</v>
      </c>
      <c r="C80" s="4" t="s">
        <v>815</v>
      </c>
      <c r="D80" s="709">
        <v>58392985.013420478</v>
      </c>
      <c r="E80" s="248">
        <v>0</v>
      </c>
      <c r="F80" s="345">
        <f t="shared" si="20"/>
        <v>58392985.013420478</v>
      </c>
      <c r="G80" s="708">
        <f t="shared" si="21"/>
        <v>1</v>
      </c>
      <c r="H80" s="708">
        <f t="shared" si="21"/>
        <v>1</v>
      </c>
      <c r="I80" s="345">
        <f t="shared" si="22"/>
        <v>58392985.013420478</v>
      </c>
      <c r="K80" s="709">
        <v>55920540.313590087</v>
      </c>
      <c r="L80" s="708">
        <f t="shared" si="23"/>
        <v>1</v>
      </c>
      <c r="M80" s="708">
        <f t="shared" si="23"/>
        <v>1</v>
      </c>
      <c r="N80" s="345">
        <f t="shared" si="24"/>
        <v>55920540.313590087</v>
      </c>
    </row>
    <row r="81" spans="1:14">
      <c r="A81" s="605">
        <f t="shared" si="1"/>
        <v>67</v>
      </c>
      <c r="B81" s="561">
        <v>38200</v>
      </c>
      <c r="C81" s="4" t="s">
        <v>420</v>
      </c>
      <c r="D81" s="709">
        <v>61980837.498433791</v>
      </c>
      <c r="E81" s="248">
        <v>0</v>
      </c>
      <c r="F81" s="345">
        <f t="shared" si="20"/>
        <v>61980837.498433791</v>
      </c>
      <c r="G81" s="708">
        <f t="shared" si="21"/>
        <v>1</v>
      </c>
      <c r="H81" s="708">
        <f t="shared" si="21"/>
        <v>1</v>
      </c>
      <c r="I81" s="345">
        <f t="shared" si="22"/>
        <v>61980837.498433791</v>
      </c>
      <c r="K81" s="709">
        <v>61761518.012449391</v>
      </c>
      <c r="L81" s="708">
        <f t="shared" si="23"/>
        <v>1</v>
      </c>
      <c r="M81" s="708">
        <f t="shared" si="23"/>
        <v>1</v>
      </c>
      <c r="N81" s="345">
        <f t="shared" si="24"/>
        <v>61761518.012449391</v>
      </c>
    </row>
    <row r="82" spans="1:14">
      <c r="A82" s="605">
        <f t="shared" si="1"/>
        <v>68</v>
      </c>
      <c r="B82" s="561">
        <v>38300</v>
      </c>
      <c r="C82" s="4" t="s">
        <v>1014</v>
      </c>
      <c r="D82" s="709">
        <v>3974496.5</v>
      </c>
      <c r="E82" s="248">
        <v>0</v>
      </c>
      <c r="F82" s="345">
        <f t="shared" si="20"/>
        <v>3974496.5</v>
      </c>
      <c r="G82" s="708">
        <f t="shared" si="21"/>
        <v>1</v>
      </c>
      <c r="H82" s="708">
        <f t="shared" si="21"/>
        <v>1</v>
      </c>
      <c r="I82" s="345">
        <f t="shared" si="22"/>
        <v>3974496.5</v>
      </c>
      <c r="K82" s="709">
        <v>3974496.5</v>
      </c>
      <c r="L82" s="708">
        <f t="shared" si="23"/>
        <v>1</v>
      </c>
      <c r="M82" s="708">
        <f t="shared" si="23"/>
        <v>1</v>
      </c>
      <c r="N82" s="345">
        <f t="shared" si="24"/>
        <v>3974496.5</v>
      </c>
    </row>
    <row r="83" spans="1:14">
      <c r="A83" s="605">
        <f t="shared" si="1"/>
        <v>69</v>
      </c>
      <c r="B83" s="561">
        <v>38400</v>
      </c>
      <c r="C83" s="4" t="s">
        <v>421</v>
      </c>
      <c r="D83" s="709">
        <v>378094.04000000004</v>
      </c>
      <c r="E83" s="248">
        <v>0</v>
      </c>
      <c r="F83" s="345">
        <f t="shared" si="20"/>
        <v>378094.04000000004</v>
      </c>
      <c r="G83" s="708">
        <f t="shared" si="21"/>
        <v>1</v>
      </c>
      <c r="H83" s="708">
        <f t="shared" si="21"/>
        <v>1</v>
      </c>
      <c r="I83" s="345">
        <f t="shared" si="22"/>
        <v>378094.04000000004</v>
      </c>
      <c r="K83" s="709">
        <v>378094.04000000004</v>
      </c>
      <c r="L83" s="708">
        <f t="shared" si="23"/>
        <v>1</v>
      </c>
      <c r="M83" s="708">
        <f t="shared" si="23"/>
        <v>1</v>
      </c>
      <c r="N83" s="345">
        <f t="shared" si="24"/>
        <v>378094.04000000004</v>
      </c>
    </row>
    <row r="84" spans="1:14">
      <c r="A84" s="605">
        <f t="shared" ref="A84:A147" si="28">A83+1</f>
        <v>70</v>
      </c>
      <c r="B84" s="561">
        <v>38500</v>
      </c>
      <c r="C84" s="4" t="s">
        <v>422</v>
      </c>
      <c r="D84" s="709">
        <v>5725878.120000001</v>
      </c>
      <c r="E84" s="248">
        <v>0</v>
      </c>
      <c r="F84" s="345">
        <f t="shared" si="20"/>
        <v>5725878.120000001</v>
      </c>
      <c r="G84" s="708">
        <f t="shared" si="21"/>
        <v>1</v>
      </c>
      <c r="H84" s="708">
        <f t="shared" si="21"/>
        <v>1</v>
      </c>
      <c r="I84" s="345">
        <f t="shared" si="22"/>
        <v>5725878.120000001</v>
      </c>
      <c r="K84" s="709">
        <v>5725878.1200000029</v>
      </c>
      <c r="L84" s="708">
        <f t="shared" si="23"/>
        <v>1</v>
      </c>
      <c r="M84" s="708">
        <f t="shared" si="23"/>
        <v>1</v>
      </c>
      <c r="N84" s="345">
        <f t="shared" si="24"/>
        <v>5725878.1200000029</v>
      </c>
    </row>
    <row r="85" spans="1:14">
      <c r="A85" s="605">
        <f t="shared" si="28"/>
        <v>71</v>
      </c>
      <c r="B85" s="621"/>
      <c r="C85" s="4"/>
      <c r="D85" s="339"/>
      <c r="E85" s="339"/>
      <c r="F85" s="339"/>
      <c r="G85" s="266"/>
      <c r="H85" s="266"/>
      <c r="I85" s="339"/>
      <c r="K85" s="339"/>
      <c r="N85" s="339"/>
    </row>
    <row r="86" spans="1:14">
      <c r="A86" s="605">
        <f t="shared" si="28"/>
        <v>72</v>
      </c>
      <c r="B86" s="621"/>
      <c r="C86" s="4" t="s">
        <v>291</v>
      </c>
      <c r="D86" s="707">
        <f>SUM(D63:D85)</f>
        <v>841695513.89806032</v>
      </c>
      <c r="E86" s="707">
        <f>SUM(E63:E85)</f>
        <v>0</v>
      </c>
      <c r="F86" s="707">
        <f>SUM(F63:F85)</f>
        <v>841695513.89806032</v>
      </c>
      <c r="G86" s="266"/>
      <c r="H86" s="266"/>
      <c r="I86" s="707">
        <f>SUM(I63:I85)</f>
        <v>841695513.89806032</v>
      </c>
      <c r="K86" s="707">
        <f>SUM(K63:K85)</f>
        <v>830412635.35905099</v>
      </c>
      <c r="N86" s="707">
        <f>SUM(N63:N85)</f>
        <v>830412635.35905099</v>
      </c>
    </row>
    <row r="87" spans="1:14">
      <c r="A87" s="605">
        <f t="shared" si="28"/>
        <v>73</v>
      </c>
      <c r="B87" s="621"/>
      <c r="C87" s="4"/>
      <c r="G87" s="266"/>
      <c r="H87" s="266"/>
    </row>
    <row r="88" spans="1:14">
      <c r="A88" s="605">
        <f t="shared" si="28"/>
        <v>74</v>
      </c>
      <c r="B88" s="621"/>
      <c r="C88" s="16" t="s">
        <v>292</v>
      </c>
      <c r="G88" s="266"/>
      <c r="H88" s="266"/>
    </row>
    <row r="89" spans="1:14">
      <c r="A89" s="605">
        <f t="shared" si="28"/>
        <v>75</v>
      </c>
      <c r="B89" s="561">
        <v>38900</v>
      </c>
      <c r="C89" s="4" t="s">
        <v>1105</v>
      </c>
      <c r="D89" s="706">
        <v>1211697.3</v>
      </c>
      <c r="E89" s="546">
        <v>0</v>
      </c>
      <c r="F89" s="719">
        <f t="shared" ref="F89:F113" si="29">D89+E89</f>
        <v>1211697.3</v>
      </c>
      <c r="G89" s="708">
        <f t="shared" ref="G89:H104" si="30">$G$16</f>
        <v>1</v>
      </c>
      <c r="H89" s="708">
        <f t="shared" si="30"/>
        <v>1</v>
      </c>
      <c r="I89" s="707">
        <f t="shared" ref="I89:I113" si="31">F89*G89*H89</f>
        <v>1211697.3</v>
      </c>
      <c r="K89" s="706">
        <v>1211697.3000000003</v>
      </c>
      <c r="L89" s="708">
        <f>$G$16</f>
        <v>1</v>
      </c>
      <c r="M89" s="708">
        <f>$G$16</f>
        <v>1</v>
      </c>
      <c r="N89" s="719">
        <f>K89*L89*M89</f>
        <v>1211697.3000000003</v>
      </c>
    </row>
    <row r="90" spans="1:14">
      <c r="A90" s="605">
        <f t="shared" si="28"/>
        <v>76</v>
      </c>
      <c r="B90" s="561">
        <v>39000</v>
      </c>
      <c r="C90" s="4" t="s">
        <v>825</v>
      </c>
      <c r="D90" s="709">
        <v>9359338.7800000012</v>
      </c>
      <c r="E90" s="248">
        <v>0</v>
      </c>
      <c r="F90" s="345">
        <f t="shared" si="29"/>
        <v>9359338.7800000012</v>
      </c>
      <c r="G90" s="708">
        <f t="shared" si="30"/>
        <v>1</v>
      </c>
      <c r="H90" s="708">
        <f t="shared" si="30"/>
        <v>1</v>
      </c>
      <c r="I90" s="345">
        <f t="shared" si="31"/>
        <v>9359338.7800000012</v>
      </c>
      <c r="K90" s="709">
        <v>9256964.4723076932</v>
      </c>
      <c r="L90" s="708">
        <f>$G$16</f>
        <v>1</v>
      </c>
      <c r="M90" s="708">
        <f>$G$16</f>
        <v>1</v>
      </c>
      <c r="N90" s="345">
        <f t="shared" ref="N90:N113" si="32">K90*L90*M90</f>
        <v>9256964.4723076932</v>
      </c>
    </row>
    <row r="91" spans="1:14">
      <c r="A91" s="605">
        <f t="shared" si="28"/>
        <v>77</v>
      </c>
      <c r="B91" s="561">
        <v>39002</v>
      </c>
      <c r="C91" s="4" t="s">
        <v>719</v>
      </c>
      <c r="D91" s="709">
        <v>173114.85</v>
      </c>
      <c r="E91" s="248">
        <v>0</v>
      </c>
      <c r="F91" s="345">
        <f t="shared" si="29"/>
        <v>173114.85</v>
      </c>
      <c r="G91" s="708">
        <f t="shared" si="30"/>
        <v>1</v>
      </c>
      <c r="H91" s="708">
        <f t="shared" si="30"/>
        <v>1</v>
      </c>
      <c r="I91" s="345">
        <f t="shared" si="31"/>
        <v>173114.85</v>
      </c>
      <c r="K91" s="709">
        <v>173114.85000000003</v>
      </c>
      <c r="L91" s="708">
        <f t="shared" ref="L91:M106" si="33">$G$16</f>
        <v>1</v>
      </c>
      <c r="M91" s="708">
        <f t="shared" si="33"/>
        <v>1</v>
      </c>
      <c r="N91" s="345">
        <f t="shared" si="32"/>
        <v>173114.85000000003</v>
      </c>
    </row>
    <row r="92" spans="1:14">
      <c r="A92" s="605">
        <f t="shared" si="28"/>
        <v>78</v>
      </c>
      <c r="B92" s="561">
        <v>39003</v>
      </c>
      <c r="C92" s="4" t="s">
        <v>962</v>
      </c>
      <c r="D92" s="709">
        <v>876634.4</v>
      </c>
      <c r="E92" s="248">
        <v>0</v>
      </c>
      <c r="F92" s="345">
        <f t="shared" si="29"/>
        <v>876634.4</v>
      </c>
      <c r="G92" s="708">
        <f t="shared" si="30"/>
        <v>1</v>
      </c>
      <c r="H92" s="708">
        <f t="shared" si="30"/>
        <v>1</v>
      </c>
      <c r="I92" s="345">
        <f t="shared" si="31"/>
        <v>876634.4</v>
      </c>
      <c r="K92" s="709">
        <v>876634.40000000026</v>
      </c>
      <c r="L92" s="708">
        <f t="shared" si="33"/>
        <v>1</v>
      </c>
      <c r="M92" s="708">
        <f t="shared" si="33"/>
        <v>1</v>
      </c>
      <c r="N92" s="345">
        <f t="shared" si="32"/>
        <v>876634.40000000026</v>
      </c>
    </row>
    <row r="93" spans="1:14">
      <c r="A93" s="605">
        <f t="shared" si="28"/>
        <v>79</v>
      </c>
      <c r="B93" s="561">
        <v>39004</v>
      </c>
      <c r="C93" s="4" t="s">
        <v>423</v>
      </c>
      <c r="D93" s="709">
        <v>12954.74</v>
      </c>
      <c r="E93" s="248">
        <v>0</v>
      </c>
      <c r="F93" s="345">
        <f t="shared" si="29"/>
        <v>12954.74</v>
      </c>
      <c r="G93" s="708">
        <f t="shared" si="30"/>
        <v>1</v>
      </c>
      <c r="H93" s="708">
        <f t="shared" si="30"/>
        <v>1</v>
      </c>
      <c r="I93" s="345">
        <f t="shared" si="31"/>
        <v>12954.74</v>
      </c>
      <c r="K93" s="709">
        <v>12954.74</v>
      </c>
      <c r="L93" s="708">
        <f t="shared" si="33"/>
        <v>1</v>
      </c>
      <c r="M93" s="708">
        <f t="shared" si="33"/>
        <v>1</v>
      </c>
      <c r="N93" s="345">
        <f t="shared" si="32"/>
        <v>12954.74</v>
      </c>
    </row>
    <row r="94" spans="1:14">
      <c r="A94" s="605">
        <f t="shared" si="28"/>
        <v>80</v>
      </c>
      <c r="B94" s="561">
        <v>39009</v>
      </c>
      <c r="C94" s="4" t="s">
        <v>997</v>
      </c>
      <c r="D94" s="709">
        <v>1267195.19</v>
      </c>
      <c r="E94" s="248">
        <v>0</v>
      </c>
      <c r="F94" s="345">
        <f t="shared" si="29"/>
        <v>1267195.19</v>
      </c>
      <c r="G94" s="708">
        <f t="shared" si="30"/>
        <v>1</v>
      </c>
      <c r="H94" s="708">
        <f t="shared" si="30"/>
        <v>1</v>
      </c>
      <c r="I94" s="345">
        <f t="shared" si="31"/>
        <v>1267195.19</v>
      </c>
      <c r="K94" s="709">
        <v>1267195.1899999997</v>
      </c>
      <c r="L94" s="708">
        <f t="shared" si="33"/>
        <v>1</v>
      </c>
      <c r="M94" s="708">
        <f t="shared" si="33"/>
        <v>1</v>
      </c>
      <c r="N94" s="345">
        <f t="shared" si="32"/>
        <v>1267195.1899999997</v>
      </c>
    </row>
    <row r="95" spans="1:14">
      <c r="A95" s="605">
        <f t="shared" si="28"/>
        <v>81</v>
      </c>
      <c r="B95" s="561">
        <v>39100</v>
      </c>
      <c r="C95" s="4" t="s">
        <v>749</v>
      </c>
      <c r="D95" s="709">
        <v>1816938.6199999999</v>
      </c>
      <c r="E95" s="248">
        <v>0</v>
      </c>
      <c r="F95" s="345">
        <f t="shared" si="29"/>
        <v>1816938.6199999999</v>
      </c>
      <c r="G95" s="708">
        <f t="shared" si="30"/>
        <v>1</v>
      </c>
      <c r="H95" s="708">
        <f t="shared" si="30"/>
        <v>1</v>
      </c>
      <c r="I95" s="345">
        <f t="shared" si="31"/>
        <v>1816938.6199999999</v>
      </c>
      <c r="K95" s="709">
        <v>1816938.6199999999</v>
      </c>
      <c r="L95" s="708">
        <f t="shared" si="33"/>
        <v>1</v>
      </c>
      <c r="M95" s="708">
        <f t="shared" si="33"/>
        <v>1</v>
      </c>
      <c r="N95" s="345">
        <f t="shared" si="32"/>
        <v>1816938.6199999999</v>
      </c>
    </row>
    <row r="96" spans="1:14">
      <c r="A96" s="605">
        <f t="shared" si="28"/>
        <v>82</v>
      </c>
      <c r="B96" s="561">
        <v>39103</v>
      </c>
      <c r="C96" s="4" t="s">
        <v>750</v>
      </c>
      <c r="D96" s="709">
        <v>0</v>
      </c>
      <c r="E96" s="248">
        <v>0</v>
      </c>
      <c r="F96" s="345">
        <f t="shared" si="29"/>
        <v>0</v>
      </c>
      <c r="G96" s="708">
        <f t="shared" si="30"/>
        <v>1</v>
      </c>
      <c r="H96" s="708">
        <f t="shared" si="30"/>
        <v>1</v>
      </c>
      <c r="I96" s="345">
        <f t="shared" si="31"/>
        <v>0</v>
      </c>
      <c r="K96" s="709">
        <v>0</v>
      </c>
      <c r="L96" s="708">
        <f t="shared" si="33"/>
        <v>1</v>
      </c>
      <c r="M96" s="708">
        <f t="shared" si="33"/>
        <v>1</v>
      </c>
      <c r="N96" s="345">
        <f t="shared" si="32"/>
        <v>0</v>
      </c>
    </row>
    <row r="97" spans="1:14">
      <c r="A97" s="605">
        <f t="shared" si="28"/>
        <v>83</v>
      </c>
      <c r="B97" s="561">
        <v>39200</v>
      </c>
      <c r="C97" s="4" t="s">
        <v>1037</v>
      </c>
      <c r="D97" s="709">
        <v>180749.02</v>
      </c>
      <c r="E97" s="248">
        <v>0</v>
      </c>
      <c r="F97" s="345">
        <f t="shared" si="29"/>
        <v>180749.02</v>
      </c>
      <c r="G97" s="708">
        <f t="shared" si="30"/>
        <v>1</v>
      </c>
      <c r="H97" s="708">
        <f t="shared" si="30"/>
        <v>1</v>
      </c>
      <c r="I97" s="345">
        <f t="shared" si="31"/>
        <v>180749.02</v>
      </c>
      <c r="K97" s="709">
        <v>180749.02</v>
      </c>
      <c r="L97" s="708">
        <f t="shared" si="33"/>
        <v>1</v>
      </c>
      <c r="M97" s="708">
        <f t="shared" si="33"/>
        <v>1</v>
      </c>
      <c r="N97" s="345">
        <f t="shared" si="32"/>
        <v>180749.02</v>
      </c>
    </row>
    <row r="98" spans="1:14">
      <c r="A98" s="605">
        <f t="shared" si="28"/>
        <v>84</v>
      </c>
      <c r="B98" s="561">
        <v>39202</v>
      </c>
      <c r="C98" s="4" t="s">
        <v>81</v>
      </c>
      <c r="D98" s="709">
        <v>36588.44</v>
      </c>
      <c r="E98" s="248">
        <v>0</v>
      </c>
      <c r="F98" s="345">
        <f t="shared" si="29"/>
        <v>36588.44</v>
      </c>
      <c r="G98" s="708">
        <f t="shared" si="30"/>
        <v>1</v>
      </c>
      <c r="H98" s="708">
        <f t="shared" si="30"/>
        <v>1</v>
      </c>
      <c r="I98" s="345">
        <f t="shared" si="31"/>
        <v>36588.44</v>
      </c>
      <c r="K98" s="709">
        <v>36588.44</v>
      </c>
      <c r="L98" s="708">
        <f t="shared" si="33"/>
        <v>1</v>
      </c>
      <c r="M98" s="708">
        <f t="shared" si="33"/>
        <v>1</v>
      </c>
      <c r="N98" s="345">
        <f t="shared" si="32"/>
        <v>36588.44</v>
      </c>
    </row>
    <row r="99" spans="1:14">
      <c r="A99" s="605">
        <f t="shared" si="28"/>
        <v>85</v>
      </c>
      <c r="B99" s="561">
        <v>39400</v>
      </c>
      <c r="C99" s="4" t="s">
        <v>996</v>
      </c>
      <c r="D99" s="709">
        <v>7670811.8945909254</v>
      </c>
      <c r="E99" s="248">
        <v>0</v>
      </c>
      <c r="F99" s="345">
        <f t="shared" si="29"/>
        <v>7670811.8945909254</v>
      </c>
      <c r="G99" s="708">
        <f t="shared" si="30"/>
        <v>1</v>
      </c>
      <c r="H99" s="708">
        <f t="shared" si="30"/>
        <v>1</v>
      </c>
      <c r="I99" s="345">
        <f t="shared" si="31"/>
        <v>7670811.8945909254</v>
      </c>
      <c r="K99" s="709">
        <v>7143378.7371788705</v>
      </c>
      <c r="L99" s="708">
        <f t="shared" si="33"/>
        <v>1</v>
      </c>
      <c r="M99" s="708">
        <f t="shared" si="33"/>
        <v>1</v>
      </c>
      <c r="N99" s="345">
        <f t="shared" si="32"/>
        <v>7143378.7371788705</v>
      </c>
    </row>
    <row r="100" spans="1:14">
      <c r="A100" s="605">
        <f t="shared" si="28"/>
        <v>86</v>
      </c>
      <c r="B100" s="561">
        <v>39603</v>
      </c>
      <c r="C100" s="4" t="s">
        <v>82</v>
      </c>
      <c r="D100" s="709">
        <v>0</v>
      </c>
      <c r="E100" s="248">
        <v>0</v>
      </c>
      <c r="F100" s="345">
        <f t="shared" si="29"/>
        <v>0</v>
      </c>
      <c r="G100" s="708">
        <f t="shared" si="30"/>
        <v>1</v>
      </c>
      <c r="H100" s="708">
        <f t="shared" si="30"/>
        <v>1</v>
      </c>
      <c r="I100" s="345">
        <f t="shared" si="31"/>
        <v>0</v>
      </c>
      <c r="K100" s="709">
        <v>0</v>
      </c>
      <c r="L100" s="708">
        <f t="shared" si="33"/>
        <v>1</v>
      </c>
      <c r="M100" s="708">
        <f t="shared" si="33"/>
        <v>1</v>
      </c>
      <c r="N100" s="345">
        <f t="shared" si="32"/>
        <v>0</v>
      </c>
    </row>
    <row r="101" spans="1:14">
      <c r="A101" s="605">
        <f t="shared" si="28"/>
        <v>87</v>
      </c>
      <c r="B101" s="561">
        <v>39604</v>
      </c>
      <c r="C101" s="4" t="s">
        <v>83</v>
      </c>
      <c r="D101" s="709">
        <v>0</v>
      </c>
      <c r="E101" s="248">
        <v>0</v>
      </c>
      <c r="F101" s="345">
        <f t="shared" si="29"/>
        <v>0</v>
      </c>
      <c r="G101" s="708">
        <f t="shared" si="30"/>
        <v>1</v>
      </c>
      <c r="H101" s="708">
        <f t="shared" si="30"/>
        <v>1</v>
      </c>
      <c r="I101" s="345">
        <f t="shared" si="31"/>
        <v>0</v>
      </c>
      <c r="K101" s="709">
        <v>0</v>
      </c>
      <c r="L101" s="708">
        <f t="shared" si="33"/>
        <v>1</v>
      </c>
      <c r="M101" s="708">
        <f t="shared" si="33"/>
        <v>1</v>
      </c>
      <c r="N101" s="345">
        <f t="shared" si="32"/>
        <v>0</v>
      </c>
    </row>
    <row r="102" spans="1:14">
      <c r="A102" s="605">
        <f t="shared" si="28"/>
        <v>88</v>
      </c>
      <c r="B102" s="561">
        <v>39605</v>
      </c>
      <c r="C102" s="1" t="s">
        <v>84</v>
      </c>
      <c r="D102" s="709">
        <v>0</v>
      </c>
      <c r="E102" s="248">
        <v>0</v>
      </c>
      <c r="F102" s="345">
        <f t="shared" si="29"/>
        <v>0</v>
      </c>
      <c r="G102" s="708">
        <f t="shared" si="30"/>
        <v>1</v>
      </c>
      <c r="H102" s="708">
        <f t="shared" si="30"/>
        <v>1</v>
      </c>
      <c r="I102" s="345">
        <f t="shared" si="31"/>
        <v>0</v>
      </c>
      <c r="K102" s="709">
        <v>0</v>
      </c>
      <c r="L102" s="708">
        <f t="shared" si="33"/>
        <v>1</v>
      </c>
      <c r="M102" s="708">
        <f t="shared" si="33"/>
        <v>1</v>
      </c>
      <c r="N102" s="345">
        <f t="shared" si="32"/>
        <v>0</v>
      </c>
    </row>
    <row r="103" spans="1:14">
      <c r="A103" s="605">
        <f t="shared" si="28"/>
        <v>89</v>
      </c>
      <c r="B103" s="561">
        <v>39700</v>
      </c>
      <c r="C103" s="4" t="s">
        <v>418</v>
      </c>
      <c r="D103" s="709">
        <v>433937.71</v>
      </c>
      <c r="E103" s="248">
        <v>0</v>
      </c>
      <c r="F103" s="345">
        <f t="shared" si="29"/>
        <v>433937.71</v>
      </c>
      <c r="G103" s="708">
        <f t="shared" si="30"/>
        <v>1</v>
      </c>
      <c r="H103" s="708">
        <f t="shared" si="30"/>
        <v>1</v>
      </c>
      <c r="I103" s="345">
        <f t="shared" si="31"/>
        <v>433937.71</v>
      </c>
      <c r="K103" s="709">
        <v>433937.71</v>
      </c>
      <c r="L103" s="708">
        <f t="shared" si="33"/>
        <v>1</v>
      </c>
      <c r="M103" s="708">
        <f t="shared" si="33"/>
        <v>1</v>
      </c>
      <c r="N103" s="345">
        <f t="shared" si="32"/>
        <v>433937.71</v>
      </c>
    </row>
    <row r="104" spans="1:14">
      <c r="A104" s="605">
        <f t="shared" si="28"/>
        <v>90</v>
      </c>
      <c r="B104" s="561">
        <v>39701</v>
      </c>
      <c r="C104" s="4" t="s">
        <v>1405</v>
      </c>
      <c r="D104" s="709">
        <v>0</v>
      </c>
      <c r="E104" s="248">
        <v>0</v>
      </c>
      <c r="F104" s="345">
        <f t="shared" si="29"/>
        <v>0</v>
      </c>
      <c r="G104" s="708">
        <f t="shared" si="30"/>
        <v>1</v>
      </c>
      <c r="H104" s="708">
        <f t="shared" si="30"/>
        <v>1</v>
      </c>
      <c r="I104" s="345">
        <f t="shared" si="31"/>
        <v>0</v>
      </c>
      <c r="K104" s="709">
        <v>0</v>
      </c>
      <c r="L104" s="708">
        <f t="shared" si="33"/>
        <v>1</v>
      </c>
      <c r="M104" s="708">
        <f t="shared" si="33"/>
        <v>1</v>
      </c>
      <c r="N104" s="345">
        <f t="shared" si="32"/>
        <v>0</v>
      </c>
    </row>
    <row r="105" spans="1:14">
      <c r="A105" s="605">
        <f t="shared" si="28"/>
        <v>91</v>
      </c>
      <c r="B105" s="561">
        <v>39702</v>
      </c>
      <c r="C105" s="4" t="s">
        <v>1405</v>
      </c>
      <c r="D105" s="709">
        <v>0</v>
      </c>
      <c r="E105" s="248">
        <v>0</v>
      </c>
      <c r="F105" s="345">
        <f t="shared" si="29"/>
        <v>0</v>
      </c>
      <c r="G105" s="708">
        <f t="shared" ref="G105:H109" si="34">$G$16</f>
        <v>1</v>
      </c>
      <c r="H105" s="708">
        <f t="shared" si="34"/>
        <v>1</v>
      </c>
      <c r="I105" s="345">
        <f t="shared" si="31"/>
        <v>0</v>
      </c>
      <c r="K105" s="709">
        <v>0</v>
      </c>
      <c r="L105" s="708">
        <f t="shared" si="33"/>
        <v>1</v>
      </c>
      <c r="M105" s="708">
        <f t="shared" si="33"/>
        <v>1</v>
      </c>
      <c r="N105" s="345">
        <f t="shared" si="32"/>
        <v>0</v>
      </c>
    </row>
    <row r="106" spans="1:14">
      <c r="A106" s="605">
        <f t="shared" si="28"/>
        <v>92</v>
      </c>
      <c r="B106" s="561">
        <v>39705</v>
      </c>
      <c r="C106" s="4" t="s">
        <v>694</v>
      </c>
      <c r="D106" s="709">
        <v>0</v>
      </c>
      <c r="E106" s="248">
        <v>0</v>
      </c>
      <c r="F106" s="345">
        <f t="shared" si="29"/>
        <v>0</v>
      </c>
      <c r="G106" s="708">
        <f t="shared" si="34"/>
        <v>1</v>
      </c>
      <c r="H106" s="708">
        <f t="shared" si="34"/>
        <v>1</v>
      </c>
      <c r="I106" s="345">
        <f t="shared" si="31"/>
        <v>0</v>
      </c>
      <c r="K106" s="709">
        <v>0</v>
      </c>
      <c r="L106" s="708">
        <f t="shared" si="33"/>
        <v>1</v>
      </c>
      <c r="M106" s="708">
        <f t="shared" si="33"/>
        <v>1</v>
      </c>
      <c r="N106" s="345">
        <f t="shared" si="32"/>
        <v>0</v>
      </c>
    </row>
    <row r="107" spans="1:14">
      <c r="A107" s="605">
        <f t="shared" si="28"/>
        <v>93</v>
      </c>
      <c r="B107" s="561">
        <v>39800</v>
      </c>
      <c r="C107" s="4" t="s">
        <v>623</v>
      </c>
      <c r="D107" s="709">
        <v>3047675.2747782972</v>
      </c>
      <c r="E107" s="248">
        <v>0</v>
      </c>
      <c r="F107" s="345">
        <f t="shared" si="29"/>
        <v>3047675.2747782972</v>
      </c>
      <c r="G107" s="708">
        <f t="shared" si="34"/>
        <v>1</v>
      </c>
      <c r="H107" s="708">
        <f t="shared" si="34"/>
        <v>1</v>
      </c>
      <c r="I107" s="345">
        <f t="shared" si="31"/>
        <v>3047675.2747782972</v>
      </c>
      <c r="K107" s="709">
        <v>2982912.7225051606</v>
      </c>
      <c r="L107" s="708">
        <f t="shared" ref="L107:M112" si="35">$G$16</f>
        <v>1</v>
      </c>
      <c r="M107" s="708">
        <f t="shared" si="35"/>
        <v>1</v>
      </c>
      <c r="N107" s="345">
        <f t="shared" si="32"/>
        <v>2982912.7225051606</v>
      </c>
    </row>
    <row r="108" spans="1:14">
      <c r="A108" s="605">
        <f t="shared" si="28"/>
        <v>94</v>
      </c>
      <c r="B108" s="561">
        <v>39901</v>
      </c>
      <c r="C108" s="4" t="s">
        <v>1406</v>
      </c>
      <c r="D108" s="709">
        <v>21425.23</v>
      </c>
      <c r="E108" s="248">
        <v>0</v>
      </c>
      <c r="F108" s="345">
        <f t="shared" si="29"/>
        <v>21425.23</v>
      </c>
      <c r="G108" s="708">
        <f t="shared" si="34"/>
        <v>1</v>
      </c>
      <c r="H108" s="708">
        <f t="shared" si="34"/>
        <v>1</v>
      </c>
      <c r="I108" s="345">
        <f t="shared" si="31"/>
        <v>21425.23</v>
      </c>
      <c r="K108" s="709">
        <v>21425.230000000003</v>
      </c>
      <c r="L108" s="708">
        <f t="shared" si="35"/>
        <v>1</v>
      </c>
      <c r="M108" s="708">
        <f t="shared" si="35"/>
        <v>1</v>
      </c>
      <c r="N108" s="345">
        <f t="shared" si="32"/>
        <v>21425.230000000003</v>
      </c>
    </row>
    <row r="109" spans="1:14">
      <c r="A109" s="605">
        <f t="shared" si="28"/>
        <v>95</v>
      </c>
      <c r="B109" s="561">
        <v>39902</v>
      </c>
      <c r="C109" s="4" t="s">
        <v>1407</v>
      </c>
      <c r="D109" s="709">
        <v>0</v>
      </c>
      <c r="E109" s="248">
        <v>0</v>
      </c>
      <c r="F109" s="345">
        <f t="shared" si="29"/>
        <v>0</v>
      </c>
      <c r="G109" s="708">
        <f t="shared" si="34"/>
        <v>1</v>
      </c>
      <c r="H109" s="708">
        <f t="shared" si="34"/>
        <v>1</v>
      </c>
      <c r="I109" s="345">
        <f t="shared" si="31"/>
        <v>0</v>
      </c>
      <c r="K109" s="709">
        <v>0</v>
      </c>
      <c r="L109" s="708">
        <f t="shared" si="35"/>
        <v>1</v>
      </c>
      <c r="M109" s="708">
        <f t="shared" si="35"/>
        <v>1</v>
      </c>
      <c r="N109" s="345">
        <f t="shared" si="32"/>
        <v>0</v>
      </c>
    </row>
    <row r="110" spans="1:14">
      <c r="A110" s="605">
        <f t="shared" si="28"/>
        <v>96</v>
      </c>
      <c r="B110" s="561">
        <v>39903</v>
      </c>
      <c r="C110" s="4" t="s">
        <v>967</v>
      </c>
      <c r="D110" s="709">
        <v>0</v>
      </c>
      <c r="E110" s="248">
        <v>0</v>
      </c>
      <c r="F110" s="345">
        <f t="shared" si="29"/>
        <v>0</v>
      </c>
      <c r="G110" s="708">
        <f t="shared" ref="G110:H113" si="36">$G$16</f>
        <v>1</v>
      </c>
      <c r="H110" s="708">
        <f t="shared" si="36"/>
        <v>1</v>
      </c>
      <c r="I110" s="345">
        <f t="shared" si="31"/>
        <v>0</v>
      </c>
      <c r="K110" s="709">
        <v>0</v>
      </c>
      <c r="L110" s="708">
        <f t="shared" si="35"/>
        <v>1</v>
      </c>
      <c r="M110" s="708">
        <f t="shared" si="35"/>
        <v>1</v>
      </c>
      <c r="N110" s="345">
        <f t="shared" si="32"/>
        <v>0</v>
      </c>
    </row>
    <row r="111" spans="1:14">
      <c r="A111" s="605">
        <f t="shared" si="28"/>
        <v>97</v>
      </c>
      <c r="B111" s="561">
        <v>39906</v>
      </c>
      <c r="C111" s="4" t="s">
        <v>429</v>
      </c>
      <c r="D111" s="709">
        <v>530661.65000000014</v>
      </c>
      <c r="E111" s="248">
        <v>0</v>
      </c>
      <c r="F111" s="345">
        <f t="shared" si="29"/>
        <v>530661.65000000014</v>
      </c>
      <c r="G111" s="708">
        <f t="shared" si="36"/>
        <v>1</v>
      </c>
      <c r="H111" s="708">
        <f t="shared" si="36"/>
        <v>1</v>
      </c>
      <c r="I111" s="345">
        <f t="shared" si="31"/>
        <v>530661.65000000014</v>
      </c>
      <c r="K111" s="709">
        <v>530661.65000000026</v>
      </c>
      <c r="L111" s="708">
        <f t="shared" si="35"/>
        <v>1</v>
      </c>
      <c r="M111" s="708">
        <f t="shared" si="35"/>
        <v>1</v>
      </c>
      <c r="N111" s="345">
        <f t="shared" si="32"/>
        <v>530661.65000000026</v>
      </c>
    </row>
    <row r="112" spans="1:14">
      <c r="A112" s="605">
        <f t="shared" si="28"/>
        <v>98</v>
      </c>
      <c r="B112" s="561">
        <v>39907</v>
      </c>
      <c r="C112" s="4" t="s">
        <v>479</v>
      </c>
      <c r="D112" s="709">
        <v>0</v>
      </c>
      <c r="E112" s="248">
        <v>0</v>
      </c>
      <c r="F112" s="345">
        <f t="shared" si="29"/>
        <v>0</v>
      </c>
      <c r="G112" s="708">
        <f t="shared" si="36"/>
        <v>1</v>
      </c>
      <c r="H112" s="708">
        <f t="shared" si="36"/>
        <v>1</v>
      </c>
      <c r="I112" s="345">
        <f t="shared" si="31"/>
        <v>0</v>
      </c>
      <c r="K112" s="709">
        <v>0</v>
      </c>
      <c r="L112" s="708">
        <f t="shared" si="35"/>
        <v>1</v>
      </c>
      <c r="M112" s="708">
        <f t="shared" si="35"/>
        <v>1</v>
      </c>
      <c r="N112" s="345">
        <f t="shared" si="32"/>
        <v>0</v>
      </c>
    </row>
    <row r="113" spans="1:19">
      <c r="A113" s="605">
        <f t="shared" si="28"/>
        <v>99</v>
      </c>
      <c r="B113" s="561">
        <v>39908</v>
      </c>
      <c r="C113" s="4" t="s">
        <v>173</v>
      </c>
      <c r="D113" s="709">
        <v>0</v>
      </c>
      <c r="E113" s="248">
        <v>0</v>
      </c>
      <c r="F113" s="345">
        <f t="shared" si="29"/>
        <v>0</v>
      </c>
      <c r="G113" s="708">
        <f t="shared" si="36"/>
        <v>1</v>
      </c>
      <c r="H113" s="708">
        <f t="shared" si="36"/>
        <v>1</v>
      </c>
      <c r="I113" s="345">
        <f t="shared" si="31"/>
        <v>0</v>
      </c>
      <c r="K113" s="709">
        <v>0</v>
      </c>
      <c r="L113" s="708">
        <f t="shared" ref="L113:M113" si="37">$G$16</f>
        <v>1</v>
      </c>
      <c r="M113" s="708">
        <f t="shared" si="37"/>
        <v>1</v>
      </c>
      <c r="N113" s="345">
        <f t="shared" si="32"/>
        <v>0</v>
      </c>
    </row>
    <row r="114" spans="1:19">
      <c r="A114" s="605">
        <f t="shared" si="28"/>
        <v>100</v>
      </c>
      <c r="B114" s="547"/>
      <c r="C114" s="4"/>
      <c r="D114" s="339"/>
      <c r="E114" s="339"/>
      <c r="F114" s="339"/>
      <c r="I114" s="339"/>
      <c r="K114" s="339"/>
      <c r="N114" s="339"/>
    </row>
    <row r="115" spans="1:19">
      <c r="A115" s="605">
        <f t="shared" si="28"/>
        <v>101</v>
      </c>
      <c r="B115" s="547"/>
      <c r="C115" s="4" t="s">
        <v>4</v>
      </c>
      <c r="D115" s="707">
        <f>SUM(D89:D114)</f>
        <v>26639723.099369224</v>
      </c>
      <c r="E115" s="707">
        <f>SUM(E89:E114)</f>
        <v>0</v>
      </c>
      <c r="F115" s="707">
        <f>SUM(F89:F114)</f>
        <v>26639723.099369224</v>
      </c>
      <c r="G115" s="266"/>
      <c r="H115" s="266"/>
      <c r="I115" s="707">
        <f>SUM(I89:I114)</f>
        <v>26639723.099369224</v>
      </c>
      <c r="K115" s="707">
        <f>SUM(K89:K114)</f>
        <v>25945153.081991721</v>
      </c>
      <c r="N115" s="707">
        <f>SUM(N89:N114)</f>
        <v>25945153.081991721</v>
      </c>
    </row>
    <row r="116" spans="1:19">
      <c r="A116" s="605">
        <f t="shared" si="28"/>
        <v>102</v>
      </c>
      <c r="B116" s="547"/>
      <c r="C116" s="4"/>
    </row>
    <row r="117" spans="1:19" ht="15.75" thickBot="1">
      <c r="A117" s="605">
        <f t="shared" si="28"/>
        <v>103</v>
      </c>
      <c r="B117" s="547"/>
      <c r="C117" s="98" t="s">
        <v>1247</v>
      </c>
      <c r="D117" s="712">
        <f>D19+D26+D47+D60+D86+D115</f>
        <v>940325172.67742944</v>
      </c>
      <c r="E117" s="712">
        <f>E19+E26+E47+E60+E86+E115</f>
        <v>0</v>
      </c>
      <c r="F117" s="712">
        <f>F19+F26+F47+F60+F86+F115</f>
        <v>940325172.67742944</v>
      </c>
      <c r="I117" s="712">
        <f>I19+I26+I47+I60+I86+I115</f>
        <v>940325172.67742944</v>
      </c>
      <c r="K117" s="712">
        <f>K19+K26+K47+K60+K86+K115</f>
        <v>927542663.58258116</v>
      </c>
      <c r="N117" s="712">
        <f>N19+N26+N47+N60+N86+N115</f>
        <v>927542663.58258116</v>
      </c>
    </row>
    <row r="118" spans="1:19" ht="15.75" thickTop="1">
      <c r="A118" s="605">
        <f t="shared" si="28"/>
        <v>104</v>
      </c>
      <c r="B118" s="547"/>
      <c r="C118" s="4"/>
    </row>
    <row r="119" spans="1:19">
      <c r="A119" s="605">
        <f t="shared" si="28"/>
        <v>105</v>
      </c>
      <c r="B119" s="547"/>
      <c r="C119" s="1"/>
      <c r="D119" s="706"/>
      <c r="E119" s="713"/>
      <c r="F119" s="713"/>
      <c r="G119" s="714"/>
      <c r="H119" s="714"/>
      <c r="I119" s="713"/>
      <c r="K119" s="706"/>
      <c r="L119" s="708"/>
      <c r="M119" s="708"/>
      <c r="N119" s="713"/>
    </row>
    <row r="120" spans="1:19">
      <c r="A120" s="605">
        <f t="shared" si="28"/>
        <v>106</v>
      </c>
      <c r="B120" s="547"/>
      <c r="K120" s="209"/>
    </row>
    <row r="121" spans="1:19" ht="15.75">
      <c r="A121" s="605">
        <f t="shared" si="28"/>
        <v>107</v>
      </c>
      <c r="B121" s="550" t="s">
        <v>6</v>
      </c>
      <c r="K121" s="209"/>
    </row>
    <row r="122" spans="1:19">
      <c r="A122" s="605">
        <f t="shared" si="28"/>
        <v>108</v>
      </c>
      <c r="B122" s="547"/>
      <c r="K122" s="209"/>
    </row>
    <row r="123" spans="1:19">
      <c r="A123" s="605">
        <f t="shared" si="28"/>
        <v>109</v>
      </c>
      <c r="B123" s="547"/>
      <c r="C123" s="16" t="s">
        <v>288</v>
      </c>
      <c r="K123" s="209"/>
    </row>
    <row r="124" spans="1:19">
      <c r="A124" s="605">
        <f t="shared" si="28"/>
        <v>110</v>
      </c>
      <c r="B124" s="620">
        <v>30100</v>
      </c>
      <c r="C124" s="4" t="s">
        <v>282</v>
      </c>
      <c r="D124" s="706">
        <v>185309.27</v>
      </c>
      <c r="E124" s="203">
        <v>0</v>
      </c>
      <c r="F124" s="707">
        <f>D124+E124</f>
        <v>185309.27</v>
      </c>
      <c r="G124" s="708">
        <f>$G$16</f>
        <v>1</v>
      </c>
      <c r="H124" s="684">
        <f>Allocation!$D$17</f>
        <v>0.48899999999999999</v>
      </c>
      <c r="I124" s="707">
        <f>F124*G124*H124</f>
        <v>90616.233029999989</v>
      </c>
      <c r="K124" s="706">
        <v>185309.27</v>
      </c>
      <c r="L124" s="708">
        <f t="shared" ref="L124:M125" si="38">G124</f>
        <v>1</v>
      </c>
      <c r="M124" s="360">
        <f t="shared" si="38"/>
        <v>0.48899999999999999</v>
      </c>
      <c r="N124" s="707">
        <f>K124*L124*M124</f>
        <v>90616.233029999989</v>
      </c>
      <c r="S124" s="243"/>
    </row>
    <row r="125" spans="1:19">
      <c r="A125" s="605">
        <f t="shared" si="28"/>
        <v>111</v>
      </c>
      <c r="B125" s="620">
        <v>30300</v>
      </c>
      <c r="C125" s="4" t="s">
        <v>515</v>
      </c>
      <c r="D125" s="709">
        <v>1109551.68</v>
      </c>
      <c r="E125" s="549">
        <v>0</v>
      </c>
      <c r="F125" s="711">
        <f>D125+E125</f>
        <v>1109551.68</v>
      </c>
      <c r="G125" s="708">
        <f>$G$16</f>
        <v>1</v>
      </c>
      <c r="H125" s="360">
        <f>$H$124</f>
        <v>0.48899999999999999</v>
      </c>
      <c r="I125" s="711">
        <f>F125*G125*H125</f>
        <v>542570.77151999995</v>
      </c>
      <c r="K125" s="709">
        <v>1109551.68</v>
      </c>
      <c r="L125" s="708">
        <f t="shared" si="38"/>
        <v>1</v>
      </c>
      <c r="M125" s="360">
        <f t="shared" si="38"/>
        <v>0.48899999999999999</v>
      </c>
      <c r="N125" s="711">
        <f>K125*L125*M125</f>
        <v>542570.77151999995</v>
      </c>
      <c r="S125" s="243"/>
    </row>
    <row r="126" spans="1:19">
      <c r="A126" s="605">
        <f t="shared" si="28"/>
        <v>112</v>
      </c>
      <c r="B126" s="621"/>
      <c r="C126" s="4"/>
      <c r="D126" s="339"/>
      <c r="K126" s="339"/>
    </row>
    <row r="127" spans="1:19">
      <c r="A127" s="605">
        <f t="shared" si="28"/>
        <v>113</v>
      </c>
      <c r="B127" s="621"/>
      <c r="C127" s="4" t="s">
        <v>289</v>
      </c>
      <c r="D127" s="707">
        <f>SUM(D124:D126)</f>
        <v>1294860.95</v>
      </c>
      <c r="E127" s="707">
        <f>SUM(E124:E126)</f>
        <v>0</v>
      </c>
      <c r="F127" s="707">
        <f>SUM(F124:F126)</f>
        <v>1294860.95</v>
      </c>
      <c r="G127" s="266"/>
      <c r="H127" s="266"/>
      <c r="I127" s="707">
        <f>SUM(I124:I126)</f>
        <v>633187.00454999995</v>
      </c>
      <c r="K127" s="707">
        <f>SUM(K124:K126)</f>
        <v>1294860.95</v>
      </c>
      <c r="N127" s="707">
        <f>SUM(N124:N126)</f>
        <v>633187.00454999995</v>
      </c>
    </row>
    <row r="128" spans="1:19">
      <c r="A128" s="605">
        <f t="shared" si="28"/>
        <v>114</v>
      </c>
      <c r="B128" s="621"/>
    </row>
    <row r="129" spans="1:16">
      <c r="A129" s="605">
        <f t="shared" si="28"/>
        <v>115</v>
      </c>
      <c r="B129" s="621"/>
      <c r="C129" s="16" t="s">
        <v>290</v>
      </c>
    </row>
    <row r="130" spans="1:16">
      <c r="A130" s="605">
        <f t="shared" si="28"/>
        <v>116</v>
      </c>
      <c r="B130" s="620">
        <v>37400</v>
      </c>
      <c r="C130" s="4" t="s">
        <v>1105</v>
      </c>
      <c r="D130" s="209">
        <v>0</v>
      </c>
      <c r="E130" s="203">
        <v>0</v>
      </c>
      <c r="F130" s="707">
        <f t="shared" ref="F130:F150" si="39">D130+E130</f>
        <v>0</v>
      </c>
      <c r="G130" s="708">
        <f t="shared" ref="G130:G150" si="40">$G$16</f>
        <v>1</v>
      </c>
      <c r="H130" s="360">
        <f t="shared" ref="H130:H150" si="41">$H$124</f>
        <v>0.48899999999999999</v>
      </c>
      <c r="I130" s="707">
        <f t="shared" ref="I130:I150" si="42">F130*G130*H130</f>
        <v>0</v>
      </c>
      <c r="K130" s="209">
        <v>0</v>
      </c>
      <c r="L130" s="708">
        <f t="shared" ref="L130:L150" si="43">G130</f>
        <v>1</v>
      </c>
      <c r="M130" s="360">
        <f t="shared" ref="M130:M150" si="44">H130</f>
        <v>0.48899999999999999</v>
      </c>
      <c r="N130" s="707">
        <f t="shared" ref="N130:N150" si="45">K130*L130*M130</f>
        <v>0</v>
      </c>
      <c r="P130" s="329"/>
    </row>
    <row r="131" spans="1:16">
      <c r="A131" s="605">
        <f t="shared" si="28"/>
        <v>117</v>
      </c>
      <c r="B131" s="620">
        <v>35010</v>
      </c>
      <c r="C131" s="4" t="s">
        <v>283</v>
      </c>
      <c r="D131" s="338">
        <v>0</v>
      </c>
      <c r="E131" s="248">
        <v>0</v>
      </c>
      <c r="F131" s="345">
        <f t="shared" si="39"/>
        <v>0</v>
      </c>
      <c r="G131" s="708">
        <f t="shared" si="40"/>
        <v>1</v>
      </c>
      <c r="H131" s="360">
        <f t="shared" si="41"/>
        <v>0.48899999999999999</v>
      </c>
      <c r="I131" s="345">
        <f t="shared" si="42"/>
        <v>0</v>
      </c>
      <c r="K131" s="338">
        <v>0</v>
      </c>
      <c r="L131" s="708">
        <f t="shared" si="43"/>
        <v>1</v>
      </c>
      <c r="M131" s="360">
        <f t="shared" si="44"/>
        <v>0.48899999999999999</v>
      </c>
      <c r="N131" s="345">
        <f t="shared" si="45"/>
        <v>0</v>
      </c>
      <c r="P131" s="329"/>
    </row>
    <row r="132" spans="1:16">
      <c r="A132" s="605">
        <f t="shared" si="28"/>
        <v>118</v>
      </c>
      <c r="B132" s="620">
        <v>37402</v>
      </c>
      <c r="C132" s="4" t="s">
        <v>963</v>
      </c>
      <c r="D132" s="338">
        <v>0</v>
      </c>
      <c r="E132" s="248">
        <v>0</v>
      </c>
      <c r="F132" s="345">
        <f t="shared" si="39"/>
        <v>0</v>
      </c>
      <c r="G132" s="708">
        <f t="shared" si="40"/>
        <v>1</v>
      </c>
      <c r="H132" s="360">
        <f t="shared" si="41"/>
        <v>0.48899999999999999</v>
      </c>
      <c r="I132" s="345">
        <f t="shared" si="42"/>
        <v>0</v>
      </c>
      <c r="K132" s="338">
        <v>0</v>
      </c>
      <c r="L132" s="708">
        <f t="shared" si="43"/>
        <v>1</v>
      </c>
      <c r="M132" s="360">
        <f t="shared" si="44"/>
        <v>0.48899999999999999</v>
      </c>
      <c r="N132" s="345">
        <f t="shared" si="45"/>
        <v>0</v>
      </c>
      <c r="P132" s="329"/>
    </row>
    <row r="133" spans="1:16">
      <c r="A133" s="605">
        <f t="shared" si="28"/>
        <v>119</v>
      </c>
      <c r="B133" s="620">
        <v>37403</v>
      </c>
      <c r="C133" s="4" t="s">
        <v>960</v>
      </c>
      <c r="D133" s="338">
        <v>0</v>
      </c>
      <c r="E133" s="248">
        <v>0</v>
      </c>
      <c r="F133" s="345">
        <f t="shared" si="39"/>
        <v>0</v>
      </c>
      <c r="G133" s="708">
        <f t="shared" si="40"/>
        <v>1</v>
      </c>
      <c r="H133" s="360">
        <f t="shared" si="41"/>
        <v>0.48899999999999999</v>
      </c>
      <c r="I133" s="345">
        <f t="shared" si="42"/>
        <v>0</v>
      </c>
      <c r="K133" s="338">
        <v>0</v>
      </c>
      <c r="L133" s="708">
        <f t="shared" si="43"/>
        <v>1</v>
      </c>
      <c r="M133" s="360">
        <f t="shared" si="44"/>
        <v>0.48899999999999999</v>
      </c>
      <c r="N133" s="345">
        <f t="shared" si="45"/>
        <v>0</v>
      </c>
    </row>
    <row r="134" spans="1:16">
      <c r="A134" s="605">
        <f t="shared" si="28"/>
        <v>120</v>
      </c>
      <c r="B134" s="620">
        <v>36602</v>
      </c>
      <c r="C134" s="4" t="s">
        <v>825</v>
      </c>
      <c r="D134" s="338">
        <v>0</v>
      </c>
      <c r="E134" s="248">
        <v>0</v>
      </c>
      <c r="F134" s="345">
        <f t="shared" si="39"/>
        <v>0</v>
      </c>
      <c r="G134" s="708">
        <f t="shared" si="40"/>
        <v>1</v>
      </c>
      <c r="H134" s="360">
        <f t="shared" si="41"/>
        <v>0.48899999999999999</v>
      </c>
      <c r="I134" s="345">
        <f t="shared" si="42"/>
        <v>0</v>
      </c>
      <c r="K134" s="338">
        <v>0</v>
      </c>
      <c r="L134" s="708">
        <f t="shared" si="43"/>
        <v>1</v>
      </c>
      <c r="M134" s="360">
        <f t="shared" si="44"/>
        <v>0.48899999999999999</v>
      </c>
      <c r="N134" s="345">
        <f t="shared" si="45"/>
        <v>0</v>
      </c>
      <c r="P134" s="329"/>
    </row>
    <row r="135" spans="1:16">
      <c r="A135" s="605">
        <f t="shared" si="28"/>
        <v>121</v>
      </c>
      <c r="B135" s="620">
        <v>37402</v>
      </c>
      <c r="C135" s="4" t="s">
        <v>963</v>
      </c>
      <c r="D135" s="338">
        <v>0</v>
      </c>
      <c r="E135" s="248">
        <v>0</v>
      </c>
      <c r="F135" s="345">
        <f>D135+E135</f>
        <v>0</v>
      </c>
      <c r="G135" s="708">
        <f t="shared" si="40"/>
        <v>1</v>
      </c>
      <c r="H135" s="360">
        <f t="shared" si="41"/>
        <v>0.48899999999999999</v>
      </c>
      <c r="I135" s="345">
        <f>F135*G135*H135</f>
        <v>0</v>
      </c>
      <c r="K135" s="338">
        <v>0</v>
      </c>
      <c r="L135" s="708">
        <f>G135</f>
        <v>1</v>
      </c>
      <c r="M135" s="360">
        <f>H135</f>
        <v>0.48899999999999999</v>
      </c>
      <c r="N135" s="345">
        <f>K135*L135*M135</f>
        <v>0</v>
      </c>
    </row>
    <row r="136" spans="1:16">
      <c r="A136" s="605">
        <f t="shared" si="28"/>
        <v>122</v>
      </c>
      <c r="B136" s="620">
        <v>37501</v>
      </c>
      <c r="C136" s="4" t="s">
        <v>961</v>
      </c>
      <c r="D136" s="338">
        <v>0</v>
      </c>
      <c r="E136" s="248">
        <v>0</v>
      </c>
      <c r="F136" s="345">
        <f t="shared" si="39"/>
        <v>0</v>
      </c>
      <c r="G136" s="708">
        <f t="shared" si="40"/>
        <v>1</v>
      </c>
      <c r="H136" s="360">
        <f t="shared" si="41"/>
        <v>0.48899999999999999</v>
      </c>
      <c r="I136" s="345">
        <f t="shared" si="42"/>
        <v>0</v>
      </c>
      <c r="K136" s="338">
        <v>0</v>
      </c>
      <c r="L136" s="708">
        <f t="shared" si="43"/>
        <v>1</v>
      </c>
      <c r="M136" s="360">
        <f t="shared" si="44"/>
        <v>0.48899999999999999</v>
      </c>
      <c r="N136" s="345">
        <f t="shared" si="45"/>
        <v>0</v>
      </c>
    </row>
    <row r="137" spans="1:16">
      <c r="A137" s="605">
        <f t="shared" si="28"/>
        <v>123</v>
      </c>
      <c r="B137" s="620">
        <v>37503</v>
      </c>
      <c r="C137" s="4" t="s">
        <v>962</v>
      </c>
      <c r="D137" s="338">
        <v>0</v>
      </c>
      <c r="E137" s="248">
        <v>0</v>
      </c>
      <c r="F137" s="345">
        <f t="shared" si="39"/>
        <v>0</v>
      </c>
      <c r="G137" s="708">
        <f t="shared" si="40"/>
        <v>1</v>
      </c>
      <c r="H137" s="360">
        <f t="shared" si="41"/>
        <v>0.48899999999999999</v>
      </c>
      <c r="I137" s="345">
        <f t="shared" si="42"/>
        <v>0</v>
      </c>
      <c r="K137" s="338">
        <v>0</v>
      </c>
      <c r="L137" s="708">
        <f t="shared" si="43"/>
        <v>1</v>
      </c>
      <c r="M137" s="360">
        <f t="shared" si="44"/>
        <v>0.48899999999999999</v>
      </c>
      <c r="N137" s="345">
        <f t="shared" si="45"/>
        <v>0</v>
      </c>
    </row>
    <row r="138" spans="1:16">
      <c r="A138" s="605">
        <f t="shared" si="28"/>
        <v>124</v>
      </c>
      <c r="B138" s="620">
        <v>36700</v>
      </c>
      <c r="C138" s="4" t="s">
        <v>813</v>
      </c>
      <c r="D138" s="338">
        <v>0</v>
      </c>
      <c r="E138" s="248">
        <v>0</v>
      </c>
      <c r="F138" s="345">
        <f t="shared" si="39"/>
        <v>0</v>
      </c>
      <c r="G138" s="708">
        <f t="shared" si="40"/>
        <v>1</v>
      </c>
      <c r="H138" s="360">
        <f t="shared" si="41"/>
        <v>0.48899999999999999</v>
      </c>
      <c r="I138" s="345">
        <f t="shared" si="42"/>
        <v>0</v>
      </c>
      <c r="K138" s="338">
        <v>0</v>
      </c>
      <c r="L138" s="708">
        <f t="shared" si="43"/>
        <v>1</v>
      </c>
      <c r="M138" s="360">
        <f t="shared" si="44"/>
        <v>0.48899999999999999</v>
      </c>
      <c r="N138" s="345">
        <f t="shared" si="45"/>
        <v>0</v>
      </c>
    </row>
    <row r="139" spans="1:16">
      <c r="A139" s="605">
        <f t="shared" si="28"/>
        <v>125</v>
      </c>
      <c r="B139" s="620">
        <v>36701</v>
      </c>
      <c r="C139" s="4" t="s">
        <v>15</v>
      </c>
      <c r="D139" s="338">
        <v>0</v>
      </c>
      <c r="E139" s="248">
        <v>0</v>
      </c>
      <c r="F139" s="345">
        <f t="shared" si="39"/>
        <v>0</v>
      </c>
      <c r="G139" s="708">
        <f t="shared" si="40"/>
        <v>1</v>
      </c>
      <c r="H139" s="360">
        <f t="shared" si="41"/>
        <v>0.48899999999999999</v>
      </c>
      <c r="I139" s="345">
        <f t="shared" si="42"/>
        <v>0</v>
      </c>
      <c r="K139" s="338">
        <v>0</v>
      </c>
      <c r="L139" s="708">
        <f t="shared" si="43"/>
        <v>1</v>
      </c>
      <c r="M139" s="360">
        <f t="shared" si="44"/>
        <v>0.48899999999999999</v>
      </c>
      <c r="N139" s="345">
        <f t="shared" si="45"/>
        <v>0</v>
      </c>
    </row>
    <row r="140" spans="1:16">
      <c r="A140" s="605">
        <f t="shared" si="28"/>
        <v>126</v>
      </c>
      <c r="B140" s="620">
        <v>37602</v>
      </c>
      <c r="C140" s="4" t="s">
        <v>814</v>
      </c>
      <c r="D140" s="338">
        <v>0</v>
      </c>
      <c r="E140" s="248">
        <v>0</v>
      </c>
      <c r="F140" s="345">
        <f t="shared" si="39"/>
        <v>0</v>
      </c>
      <c r="G140" s="708">
        <f t="shared" si="40"/>
        <v>1</v>
      </c>
      <c r="H140" s="360">
        <f t="shared" si="41"/>
        <v>0.48899999999999999</v>
      </c>
      <c r="I140" s="345">
        <f t="shared" si="42"/>
        <v>0</v>
      </c>
      <c r="K140" s="338">
        <v>0</v>
      </c>
      <c r="L140" s="708">
        <f t="shared" si="43"/>
        <v>1</v>
      </c>
      <c r="M140" s="360">
        <f t="shared" si="44"/>
        <v>0.48899999999999999</v>
      </c>
      <c r="N140" s="345">
        <f t="shared" si="45"/>
        <v>0</v>
      </c>
    </row>
    <row r="141" spans="1:16">
      <c r="A141" s="605">
        <f t="shared" si="28"/>
        <v>127</v>
      </c>
      <c r="B141" s="620">
        <v>37800</v>
      </c>
      <c r="C141" s="4" t="s">
        <v>221</v>
      </c>
      <c r="D141" s="338">
        <v>0</v>
      </c>
      <c r="E141" s="248">
        <v>0</v>
      </c>
      <c r="F141" s="345">
        <f t="shared" si="39"/>
        <v>0</v>
      </c>
      <c r="G141" s="708">
        <f t="shared" si="40"/>
        <v>1</v>
      </c>
      <c r="H141" s="360">
        <f t="shared" si="41"/>
        <v>0.48899999999999999</v>
      </c>
      <c r="I141" s="345">
        <f t="shared" si="42"/>
        <v>0</v>
      </c>
      <c r="K141" s="338">
        <v>0</v>
      </c>
      <c r="L141" s="708">
        <f t="shared" si="43"/>
        <v>1</v>
      </c>
      <c r="M141" s="360">
        <f t="shared" si="44"/>
        <v>0.48899999999999999</v>
      </c>
      <c r="N141" s="345">
        <f t="shared" si="45"/>
        <v>0</v>
      </c>
    </row>
    <row r="142" spans="1:16">
      <c r="A142" s="605">
        <f t="shared" si="28"/>
        <v>128</v>
      </c>
      <c r="B142" s="620">
        <v>37900</v>
      </c>
      <c r="C142" s="4" t="s">
        <v>1148</v>
      </c>
      <c r="D142" s="338">
        <v>0</v>
      </c>
      <c r="E142" s="248">
        <v>0</v>
      </c>
      <c r="F142" s="345">
        <f t="shared" si="39"/>
        <v>0</v>
      </c>
      <c r="G142" s="708">
        <f t="shared" si="40"/>
        <v>1</v>
      </c>
      <c r="H142" s="360">
        <f t="shared" si="41"/>
        <v>0.48899999999999999</v>
      </c>
      <c r="I142" s="345">
        <f t="shared" si="42"/>
        <v>0</v>
      </c>
      <c r="K142" s="338">
        <v>0</v>
      </c>
      <c r="L142" s="708">
        <f t="shared" si="43"/>
        <v>1</v>
      </c>
      <c r="M142" s="360">
        <f t="shared" si="44"/>
        <v>0.48899999999999999</v>
      </c>
      <c r="N142" s="345">
        <f t="shared" si="45"/>
        <v>0</v>
      </c>
    </row>
    <row r="143" spans="1:16">
      <c r="A143" s="605">
        <f t="shared" si="28"/>
        <v>129</v>
      </c>
      <c r="B143" s="620">
        <v>37905</v>
      </c>
      <c r="C143" s="4" t="s">
        <v>698</v>
      </c>
      <c r="D143" s="338">
        <v>0</v>
      </c>
      <c r="E143" s="248">
        <v>0</v>
      </c>
      <c r="F143" s="345">
        <f t="shared" si="39"/>
        <v>0</v>
      </c>
      <c r="G143" s="708">
        <f t="shared" si="40"/>
        <v>1</v>
      </c>
      <c r="H143" s="360">
        <f t="shared" si="41"/>
        <v>0.48899999999999999</v>
      </c>
      <c r="I143" s="345">
        <f t="shared" si="42"/>
        <v>0</v>
      </c>
      <c r="K143" s="338">
        <v>0</v>
      </c>
      <c r="L143" s="708">
        <f t="shared" si="43"/>
        <v>1</v>
      </c>
      <c r="M143" s="360">
        <f t="shared" si="44"/>
        <v>0.48899999999999999</v>
      </c>
      <c r="N143" s="345">
        <f t="shared" si="45"/>
        <v>0</v>
      </c>
    </row>
    <row r="144" spans="1:16">
      <c r="A144" s="605">
        <f t="shared" si="28"/>
        <v>130</v>
      </c>
      <c r="B144" s="620">
        <v>38000</v>
      </c>
      <c r="C144" s="4" t="s">
        <v>1013</v>
      </c>
      <c r="D144" s="338">
        <v>0</v>
      </c>
      <c r="E144" s="248">
        <v>0</v>
      </c>
      <c r="F144" s="345">
        <f t="shared" si="39"/>
        <v>0</v>
      </c>
      <c r="G144" s="708">
        <f t="shared" si="40"/>
        <v>1</v>
      </c>
      <c r="H144" s="360">
        <f t="shared" si="41"/>
        <v>0.48899999999999999</v>
      </c>
      <c r="I144" s="345">
        <f t="shared" si="42"/>
        <v>0</v>
      </c>
      <c r="K144" s="338">
        <v>0</v>
      </c>
      <c r="L144" s="708">
        <f t="shared" si="43"/>
        <v>1</v>
      </c>
      <c r="M144" s="360">
        <f t="shared" si="44"/>
        <v>0.48899999999999999</v>
      </c>
      <c r="N144" s="345">
        <f t="shared" si="45"/>
        <v>0</v>
      </c>
    </row>
    <row r="145" spans="1:19">
      <c r="A145" s="605">
        <f t="shared" si="28"/>
        <v>131</v>
      </c>
      <c r="B145" s="620">
        <v>38100</v>
      </c>
      <c r="C145" s="4" t="s">
        <v>815</v>
      </c>
      <c r="D145" s="338">
        <v>0</v>
      </c>
      <c r="E145" s="248">
        <v>0</v>
      </c>
      <c r="F145" s="345">
        <f t="shared" si="39"/>
        <v>0</v>
      </c>
      <c r="G145" s="708">
        <f t="shared" si="40"/>
        <v>1</v>
      </c>
      <c r="H145" s="360">
        <f t="shared" si="41"/>
        <v>0.48899999999999999</v>
      </c>
      <c r="I145" s="345">
        <f t="shared" si="42"/>
        <v>0</v>
      </c>
      <c r="K145" s="338">
        <v>0</v>
      </c>
      <c r="L145" s="708">
        <f t="shared" si="43"/>
        <v>1</v>
      </c>
      <c r="M145" s="360">
        <f t="shared" si="44"/>
        <v>0.48899999999999999</v>
      </c>
      <c r="N145" s="345">
        <f t="shared" si="45"/>
        <v>0</v>
      </c>
    </row>
    <row r="146" spans="1:19">
      <c r="A146" s="605">
        <f t="shared" si="28"/>
        <v>132</v>
      </c>
      <c r="B146" s="620">
        <v>38200</v>
      </c>
      <c r="C146" s="4" t="s">
        <v>420</v>
      </c>
      <c r="D146" s="338">
        <v>0</v>
      </c>
      <c r="E146" s="248">
        <v>0</v>
      </c>
      <c r="F146" s="345">
        <f t="shared" si="39"/>
        <v>0</v>
      </c>
      <c r="G146" s="708">
        <f t="shared" si="40"/>
        <v>1</v>
      </c>
      <c r="H146" s="360">
        <f t="shared" si="41"/>
        <v>0.48899999999999999</v>
      </c>
      <c r="I146" s="345">
        <f t="shared" si="42"/>
        <v>0</v>
      </c>
      <c r="K146" s="338">
        <v>0</v>
      </c>
      <c r="L146" s="708">
        <f t="shared" si="43"/>
        <v>1</v>
      </c>
      <c r="M146" s="360">
        <f t="shared" si="44"/>
        <v>0.48899999999999999</v>
      </c>
      <c r="N146" s="345">
        <f t="shared" si="45"/>
        <v>0</v>
      </c>
    </row>
    <row r="147" spans="1:19">
      <c r="A147" s="605">
        <f t="shared" si="28"/>
        <v>133</v>
      </c>
      <c r="B147" s="620">
        <v>38300</v>
      </c>
      <c r="C147" s="4" t="s">
        <v>1014</v>
      </c>
      <c r="D147" s="338">
        <v>0</v>
      </c>
      <c r="E147" s="248">
        <v>0</v>
      </c>
      <c r="F147" s="345">
        <f t="shared" si="39"/>
        <v>0</v>
      </c>
      <c r="G147" s="708">
        <f t="shared" si="40"/>
        <v>1</v>
      </c>
      <c r="H147" s="360">
        <f t="shared" si="41"/>
        <v>0.48899999999999999</v>
      </c>
      <c r="I147" s="345">
        <f t="shared" si="42"/>
        <v>0</v>
      </c>
      <c r="K147" s="338">
        <v>0</v>
      </c>
      <c r="L147" s="708">
        <f t="shared" si="43"/>
        <v>1</v>
      </c>
      <c r="M147" s="360">
        <f t="shared" si="44"/>
        <v>0.48899999999999999</v>
      </c>
      <c r="N147" s="345">
        <f t="shared" si="45"/>
        <v>0</v>
      </c>
    </row>
    <row r="148" spans="1:19">
      <c r="A148" s="605">
        <f t="shared" ref="A148:A211" si="46">A147+1</f>
        <v>134</v>
      </c>
      <c r="B148" s="620">
        <v>38400</v>
      </c>
      <c r="C148" s="4" t="s">
        <v>421</v>
      </c>
      <c r="D148" s="338">
        <v>0</v>
      </c>
      <c r="E148" s="248">
        <v>0</v>
      </c>
      <c r="F148" s="345">
        <f t="shared" si="39"/>
        <v>0</v>
      </c>
      <c r="G148" s="708">
        <f t="shared" si="40"/>
        <v>1</v>
      </c>
      <c r="H148" s="360">
        <f t="shared" si="41"/>
        <v>0.48899999999999999</v>
      </c>
      <c r="I148" s="345">
        <f t="shared" si="42"/>
        <v>0</v>
      </c>
      <c r="K148" s="338">
        <v>0</v>
      </c>
      <c r="L148" s="708">
        <f t="shared" si="43"/>
        <v>1</v>
      </c>
      <c r="M148" s="360">
        <f t="shared" si="44"/>
        <v>0.48899999999999999</v>
      </c>
      <c r="N148" s="345">
        <f t="shared" si="45"/>
        <v>0</v>
      </c>
    </row>
    <row r="149" spans="1:19">
      <c r="A149" s="605">
        <f t="shared" si="46"/>
        <v>135</v>
      </c>
      <c r="B149" s="620">
        <v>38500</v>
      </c>
      <c r="C149" s="4" t="s">
        <v>422</v>
      </c>
      <c r="D149" s="338">
        <v>0</v>
      </c>
      <c r="E149" s="248">
        <v>0</v>
      </c>
      <c r="F149" s="345">
        <f t="shared" si="39"/>
        <v>0</v>
      </c>
      <c r="G149" s="708">
        <f t="shared" si="40"/>
        <v>1</v>
      </c>
      <c r="H149" s="360">
        <f t="shared" si="41"/>
        <v>0.48899999999999999</v>
      </c>
      <c r="I149" s="345">
        <f t="shared" si="42"/>
        <v>0</v>
      </c>
      <c r="K149" s="338">
        <v>0</v>
      </c>
      <c r="L149" s="708">
        <f t="shared" si="43"/>
        <v>1</v>
      </c>
      <c r="M149" s="360">
        <f t="shared" si="44"/>
        <v>0.48899999999999999</v>
      </c>
      <c r="N149" s="345">
        <f t="shared" si="45"/>
        <v>0</v>
      </c>
    </row>
    <row r="150" spans="1:19">
      <c r="A150" s="605">
        <f t="shared" si="46"/>
        <v>136</v>
      </c>
      <c r="B150" s="620">
        <v>38600</v>
      </c>
      <c r="C150" s="4" t="s">
        <v>101</v>
      </c>
      <c r="D150" s="551">
        <v>0</v>
      </c>
      <c r="E150" s="549">
        <v>0</v>
      </c>
      <c r="F150" s="711">
        <f t="shared" si="39"/>
        <v>0</v>
      </c>
      <c r="G150" s="708">
        <f t="shared" si="40"/>
        <v>1</v>
      </c>
      <c r="H150" s="360">
        <f t="shared" si="41"/>
        <v>0.48899999999999999</v>
      </c>
      <c r="I150" s="711">
        <f t="shared" si="42"/>
        <v>0</v>
      </c>
      <c r="K150" s="551">
        <v>0</v>
      </c>
      <c r="L150" s="708">
        <f t="shared" si="43"/>
        <v>1</v>
      </c>
      <c r="M150" s="360">
        <f t="shared" si="44"/>
        <v>0.48899999999999999</v>
      </c>
      <c r="N150" s="711">
        <f t="shared" si="45"/>
        <v>0</v>
      </c>
    </row>
    <row r="151" spans="1:19">
      <c r="A151" s="605">
        <f t="shared" si="46"/>
        <v>137</v>
      </c>
      <c r="B151" s="621"/>
      <c r="C151" s="4"/>
      <c r="M151" s="267"/>
    </row>
    <row r="152" spans="1:19">
      <c r="A152" s="605">
        <f t="shared" si="46"/>
        <v>138</v>
      </c>
      <c r="B152" s="621"/>
      <c r="C152" s="4" t="s">
        <v>291</v>
      </c>
      <c r="D152" s="707">
        <f>SUM(D130:D151)</f>
        <v>0</v>
      </c>
      <c r="E152" s="707">
        <f>SUM(E130:E151)</f>
        <v>0</v>
      </c>
      <c r="F152" s="707">
        <f>SUM(F130:F151)</f>
        <v>0</v>
      </c>
      <c r="I152" s="707">
        <f>SUM(I130:I151)</f>
        <v>0</v>
      </c>
      <c r="K152" s="707">
        <f>SUM(K130:K151)</f>
        <v>0</v>
      </c>
      <c r="M152" s="267"/>
      <c r="N152" s="707">
        <f>SUM(N130:N151)</f>
        <v>0</v>
      </c>
    </row>
    <row r="153" spans="1:19">
      <c r="A153" s="605">
        <f t="shared" si="46"/>
        <v>139</v>
      </c>
      <c r="B153" s="621"/>
      <c r="C153" s="4"/>
      <c r="M153" s="267"/>
    </row>
    <row r="154" spans="1:19">
      <c r="A154" s="605">
        <f t="shared" si="46"/>
        <v>140</v>
      </c>
      <c r="B154" s="621"/>
      <c r="C154" s="16" t="s">
        <v>1127</v>
      </c>
      <c r="M154" s="267"/>
    </row>
    <row r="155" spans="1:19">
      <c r="A155" s="605">
        <f t="shared" si="46"/>
        <v>141</v>
      </c>
      <c r="B155" s="620">
        <v>39001</v>
      </c>
      <c r="C155" s="4" t="s">
        <v>513</v>
      </c>
      <c r="D155" s="706">
        <v>179338.52</v>
      </c>
      <c r="E155" s="203">
        <v>0</v>
      </c>
      <c r="F155" s="707">
        <f t="shared" ref="F155:F175" si="47">D155+E155</f>
        <v>179338.52</v>
      </c>
      <c r="G155" s="708">
        <f t="shared" ref="G155:G175" si="48">$G$16</f>
        <v>1</v>
      </c>
      <c r="H155" s="360">
        <f t="shared" ref="H155:H175" si="49">$H$124</f>
        <v>0.48899999999999999</v>
      </c>
      <c r="I155" s="707">
        <f t="shared" ref="I155:I175" si="50">F155*G155*H155</f>
        <v>87696.53628</v>
      </c>
      <c r="K155" s="706">
        <v>179338.52</v>
      </c>
      <c r="L155" s="708">
        <f t="shared" ref="L155:L175" si="51">G155</f>
        <v>1</v>
      </c>
      <c r="M155" s="360">
        <f t="shared" ref="M155:M175" si="52">H155</f>
        <v>0.48899999999999999</v>
      </c>
      <c r="N155" s="707">
        <f t="shared" ref="N155:N175" si="53">K155*L155*M155</f>
        <v>87696.53628</v>
      </c>
      <c r="S155" s="243"/>
    </row>
    <row r="156" spans="1:19">
      <c r="A156" s="605">
        <f t="shared" si="46"/>
        <v>142</v>
      </c>
      <c r="B156" s="620">
        <v>39004</v>
      </c>
      <c r="C156" s="4" t="s">
        <v>423</v>
      </c>
      <c r="D156" s="709">
        <v>15383.91</v>
      </c>
      <c r="E156" s="248">
        <v>0</v>
      </c>
      <c r="F156" s="345">
        <f t="shared" si="47"/>
        <v>15383.91</v>
      </c>
      <c r="G156" s="708">
        <f t="shared" si="48"/>
        <v>1</v>
      </c>
      <c r="H156" s="360">
        <f t="shared" si="49"/>
        <v>0.48899999999999999</v>
      </c>
      <c r="I156" s="345">
        <f t="shared" si="50"/>
        <v>7522.7319900000002</v>
      </c>
      <c r="K156" s="709">
        <v>15383.910000000002</v>
      </c>
      <c r="L156" s="708">
        <f t="shared" si="51"/>
        <v>1</v>
      </c>
      <c r="M156" s="360">
        <f t="shared" si="52"/>
        <v>0.48899999999999999</v>
      </c>
      <c r="N156" s="345">
        <f t="shared" si="53"/>
        <v>7522.7319900000002</v>
      </c>
      <c r="S156" s="243"/>
    </row>
    <row r="157" spans="1:19">
      <c r="A157" s="605">
        <f t="shared" si="46"/>
        <v>143</v>
      </c>
      <c r="B157" s="620">
        <v>39009</v>
      </c>
      <c r="C157" s="4" t="s">
        <v>997</v>
      </c>
      <c r="D157" s="709">
        <v>38834</v>
      </c>
      <c r="E157" s="248">
        <v>0</v>
      </c>
      <c r="F157" s="345">
        <f t="shared" si="47"/>
        <v>38834</v>
      </c>
      <c r="G157" s="708">
        <f t="shared" si="48"/>
        <v>1</v>
      </c>
      <c r="H157" s="360">
        <f t="shared" si="49"/>
        <v>0.48899999999999999</v>
      </c>
      <c r="I157" s="345">
        <f t="shared" si="50"/>
        <v>18989.826000000001</v>
      </c>
      <c r="K157" s="709">
        <v>38834</v>
      </c>
      <c r="L157" s="708">
        <f t="shared" si="51"/>
        <v>1</v>
      </c>
      <c r="M157" s="360">
        <f t="shared" si="52"/>
        <v>0.48899999999999999</v>
      </c>
      <c r="N157" s="345">
        <f t="shared" si="53"/>
        <v>18989.826000000001</v>
      </c>
      <c r="S157" s="243"/>
    </row>
    <row r="158" spans="1:19">
      <c r="A158" s="605">
        <f t="shared" si="46"/>
        <v>144</v>
      </c>
      <c r="B158" s="620">
        <v>39100</v>
      </c>
      <c r="C158" s="4" t="s">
        <v>749</v>
      </c>
      <c r="D158" s="709">
        <v>26927.93</v>
      </c>
      <c r="E158" s="248">
        <v>0</v>
      </c>
      <c r="F158" s="345">
        <f t="shared" si="47"/>
        <v>26927.93</v>
      </c>
      <c r="G158" s="708">
        <f t="shared" si="48"/>
        <v>1</v>
      </c>
      <c r="H158" s="360">
        <f t="shared" si="49"/>
        <v>0.48899999999999999</v>
      </c>
      <c r="I158" s="345">
        <f t="shared" si="50"/>
        <v>13167.75777</v>
      </c>
      <c r="K158" s="709">
        <v>26927.929999999997</v>
      </c>
      <c r="L158" s="708">
        <f t="shared" si="51"/>
        <v>1</v>
      </c>
      <c r="M158" s="360">
        <f t="shared" si="52"/>
        <v>0.48899999999999999</v>
      </c>
      <c r="N158" s="345">
        <f t="shared" si="53"/>
        <v>13167.757769999998</v>
      </c>
      <c r="S158" s="243"/>
    </row>
    <row r="159" spans="1:19">
      <c r="A159" s="605">
        <f t="shared" si="46"/>
        <v>145</v>
      </c>
      <c r="B159" s="620">
        <v>39101</v>
      </c>
      <c r="C159" s="4" t="s">
        <v>1408</v>
      </c>
      <c r="D159" s="709">
        <v>0</v>
      </c>
      <c r="E159" s="248">
        <v>0</v>
      </c>
      <c r="F159" s="345">
        <f t="shared" si="47"/>
        <v>0</v>
      </c>
      <c r="G159" s="708">
        <f t="shared" si="48"/>
        <v>1</v>
      </c>
      <c r="H159" s="360">
        <f t="shared" si="49"/>
        <v>0.48899999999999999</v>
      </c>
      <c r="I159" s="345">
        <f t="shared" si="50"/>
        <v>0</v>
      </c>
      <c r="K159" s="709">
        <v>0</v>
      </c>
      <c r="L159" s="708">
        <f t="shared" ref="L159:L170" si="54">G159</f>
        <v>1</v>
      </c>
      <c r="M159" s="360">
        <f t="shared" ref="M159:M170" si="55">H159</f>
        <v>0.48899999999999999</v>
      </c>
      <c r="N159" s="345">
        <f t="shared" ref="N159:N170" si="56">K159*L159*M159</f>
        <v>0</v>
      </c>
      <c r="S159" s="243"/>
    </row>
    <row r="160" spans="1:19">
      <c r="A160" s="605">
        <f t="shared" si="46"/>
        <v>146</v>
      </c>
      <c r="B160" s="620">
        <v>39103</v>
      </c>
      <c r="C160" s="4" t="s">
        <v>750</v>
      </c>
      <c r="D160" s="709">
        <v>0</v>
      </c>
      <c r="E160" s="248">
        <v>0</v>
      </c>
      <c r="F160" s="345">
        <f t="shared" si="47"/>
        <v>0</v>
      </c>
      <c r="G160" s="708">
        <f t="shared" si="48"/>
        <v>1</v>
      </c>
      <c r="H160" s="360">
        <f t="shared" si="49"/>
        <v>0.48899999999999999</v>
      </c>
      <c r="I160" s="345">
        <f t="shared" si="50"/>
        <v>0</v>
      </c>
      <c r="K160" s="709">
        <v>0</v>
      </c>
      <c r="L160" s="708">
        <f t="shared" si="54"/>
        <v>1</v>
      </c>
      <c r="M160" s="360">
        <f t="shared" si="55"/>
        <v>0.48899999999999999</v>
      </c>
      <c r="N160" s="345">
        <f t="shared" si="56"/>
        <v>0</v>
      </c>
      <c r="S160" s="243"/>
    </row>
    <row r="161" spans="1:19">
      <c r="A161" s="605">
        <f t="shared" si="46"/>
        <v>147</v>
      </c>
      <c r="B161" s="620">
        <v>39200</v>
      </c>
      <c r="C161" s="4" t="s">
        <v>1037</v>
      </c>
      <c r="D161" s="709">
        <v>4109.6900000000023</v>
      </c>
      <c r="E161" s="248">
        <v>0</v>
      </c>
      <c r="F161" s="345">
        <f t="shared" si="47"/>
        <v>4109.6900000000023</v>
      </c>
      <c r="G161" s="708">
        <f t="shared" si="48"/>
        <v>1</v>
      </c>
      <c r="H161" s="360">
        <f t="shared" si="49"/>
        <v>0.48899999999999999</v>
      </c>
      <c r="I161" s="345">
        <f t="shared" si="50"/>
        <v>2009.6384100000012</v>
      </c>
      <c r="K161" s="709">
        <v>4109.6900000000023</v>
      </c>
      <c r="L161" s="708">
        <f t="shared" si="54"/>
        <v>1</v>
      </c>
      <c r="M161" s="360">
        <f t="shared" si="55"/>
        <v>0.48899999999999999</v>
      </c>
      <c r="N161" s="345">
        <f t="shared" si="56"/>
        <v>2009.6384100000012</v>
      </c>
      <c r="S161" s="243"/>
    </row>
    <row r="162" spans="1:19">
      <c r="A162" s="605">
        <f t="shared" si="46"/>
        <v>148</v>
      </c>
      <c r="B162" s="620">
        <v>39300</v>
      </c>
      <c r="C162" s="4" t="s">
        <v>622</v>
      </c>
      <c r="D162" s="709">
        <v>0</v>
      </c>
      <c r="E162" s="248">
        <v>0</v>
      </c>
      <c r="F162" s="345">
        <f t="shared" si="47"/>
        <v>0</v>
      </c>
      <c r="G162" s="708">
        <f t="shared" si="48"/>
        <v>1</v>
      </c>
      <c r="H162" s="360">
        <f t="shared" si="49"/>
        <v>0.48899999999999999</v>
      </c>
      <c r="I162" s="345">
        <f t="shared" si="50"/>
        <v>0</v>
      </c>
      <c r="K162" s="709">
        <v>0</v>
      </c>
      <c r="L162" s="708">
        <f t="shared" si="54"/>
        <v>1</v>
      </c>
      <c r="M162" s="360">
        <f t="shared" si="55"/>
        <v>0.48899999999999999</v>
      </c>
      <c r="N162" s="345">
        <f t="shared" si="56"/>
        <v>0</v>
      </c>
      <c r="S162" s="243"/>
    </row>
    <row r="163" spans="1:19">
      <c r="A163" s="605">
        <f t="shared" si="46"/>
        <v>149</v>
      </c>
      <c r="B163" s="620">
        <v>39400</v>
      </c>
      <c r="C163" s="4" t="s">
        <v>996</v>
      </c>
      <c r="D163" s="709">
        <v>110227.42</v>
      </c>
      <c r="E163" s="248">
        <v>0</v>
      </c>
      <c r="F163" s="345">
        <f t="shared" si="47"/>
        <v>110227.42</v>
      </c>
      <c r="G163" s="708">
        <f t="shared" si="48"/>
        <v>1</v>
      </c>
      <c r="H163" s="360">
        <f t="shared" si="49"/>
        <v>0.48899999999999999</v>
      </c>
      <c r="I163" s="345">
        <f t="shared" si="50"/>
        <v>53901.208379999996</v>
      </c>
      <c r="K163" s="709">
        <v>110227.42</v>
      </c>
      <c r="L163" s="708">
        <f t="shared" si="54"/>
        <v>1</v>
      </c>
      <c r="M163" s="360">
        <f t="shared" si="55"/>
        <v>0.48899999999999999</v>
      </c>
      <c r="N163" s="345">
        <f t="shared" si="56"/>
        <v>53901.208379999996</v>
      </c>
      <c r="S163" s="243"/>
    </row>
    <row r="164" spans="1:19">
      <c r="A164" s="605">
        <f t="shared" si="46"/>
        <v>150</v>
      </c>
      <c r="B164" s="620">
        <v>39600</v>
      </c>
      <c r="C164" s="4" t="s">
        <v>514</v>
      </c>
      <c r="D164" s="709">
        <v>9478.52</v>
      </c>
      <c r="E164" s="248">
        <v>0</v>
      </c>
      <c r="F164" s="345">
        <f t="shared" si="47"/>
        <v>9478.52</v>
      </c>
      <c r="G164" s="708">
        <f t="shared" si="48"/>
        <v>1</v>
      </c>
      <c r="H164" s="360">
        <f t="shared" si="49"/>
        <v>0.48899999999999999</v>
      </c>
      <c r="I164" s="345">
        <f t="shared" si="50"/>
        <v>4634.9962800000003</v>
      </c>
      <c r="K164" s="709">
        <v>9478.5200000000023</v>
      </c>
      <c r="L164" s="708">
        <f t="shared" si="54"/>
        <v>1</v>
      </c>
      <c r="M164" s="360">
        <f t="shared" si="55"/>
        <v>0.48899999999999999</v>
      </c>
      <c r="N164" s="345">
        <f t="shared" si="56"/>
        <v>4634.9962800000012</v>
      </c>
      <c r="S164" s="243"/>
    </row>
    <row r="165" spans="1:19">
      <c r="A165" s="605">
        <f t="shared" si="46"/>
        <v>151</v>
      </c>
      <c r="B165" s="620">
        <v>39700</v>
      </c>
      <c r="C165" s="4" t="s">
        <v>418</v>
      </c>
      <c r="D165" s="709">
        <v>0</v>
      </c>
      <c r="E165" s="248">
        <v>0</v>
      </c>
      <c r="F165" s="345">
        <f t="shared" si="47"/>
        <v>0</v>
      </c>
      <c r="G165" s="708">
        <f t="shared" si="48"/>
        <v>1</v>
      </c>
      <c r="H165" s="360">
        <f t="shared" si="49"/>
        <v>0.48899999999999999</v>
      </c>
      <c r="I165" s="345">
        <f t="shared" si="50"/>
        <v>0</v>
      </c>
      <c r="K165" s="709">
        <v>0</v>
      </c>
      <c r="L165" s="708">
        <f t="shared" si="54"/>
        <v>1</v>
      </c>
      <c r="M165" s="360">
        <f t="shared" si="55"/>
        <v>0.48899999999999999</v>
      </c>
      <c r="N165" s="345">
        <f t="shared" si="56"/>
        <v>0</v>
      </c>
      <c r="S165" s="243"/>
    </row>
    <row r="166" spans="1:19">
      <c r="A166" s="605">
        <f t="shared" si="46"/>
        <v>152</v>
      </c>
      <c r="B166" s="620">
        <v>39701</v>
      </c>
      <c r="C166" s="4" t="s">
        <v>1405</v>
      </c>
      <c r="D166" s="709">
        <v>0</v>
      </c>
      <c r="E166" s="248">
        <v>0</v>
      </c>
      <c r="F166" s="345">
        <f t="shared" si="47"/>
        <v>0</v>
      </c>
      <c r="G166" s="708">
        <f t="shared" si="48"/>
        <v>1</v>
      </c>
      <c r="H166" s="360">
        <f t="shared" si="49"/>
        <v>0.48899999999999999</v>
      </c>
      <c r="I166" s="345">
        <f t="shared" si="50"/>
        <v>0</v>
      </c>
      <c r="K166" s="709">
        <v>0</v>
      </c>
      <c r="L166" s="708">
        <f t="shared" si="54"/>
        <v>1</v>
      </c>
      <c r="M166" s="360">
        <f t="shared" si="55"/>
        <v>0.48899999999999999</v>
      </c>
      <c r="N166" s="345">
        <f t="shared" si="56"/>
        <v>0</v>
      </c>
      <c r="S166" s="243"/>
    </row>
    <row r="167" spans="1:19">
      <c r="A167" s="605">
        <f t="shared" si="46"/>
        <v>153</v>
      </c>
      <c r="B167" s="620">
        <v>39702</v>
      </c>
      <c r="C167" s="4" t="s">
        <v>1405</v>
      </c>
      <c r="D167" s="709">
        <v>0</v>
      </c>
      <c r="E167" s="248">
        <v>0</v>
      </c>
      <c r="F167" s="345">
        <f t="shared" si="47"/>
        <v>0</v>
      </c>
      <c r="G167" s="708">
        <f t="shared" si="48"/>
        <v>1</v>
      </c>
      <c r="H167" s="360">
        <f t="shared" si="49"/>
        <v>0.48899999999999999</v>
      </c>
      <c r="I167" s="345">
        <f t="shared" si="50"/>
        <v>0</v>
      </c>
      <c r="K167" s="709">
        <v>0</v>
      </c>
      <c r="L167" s="708">
        <f t="shared" si="54"/>
        <v>1</v>
      </c>
      <c r="M167" s="360">
        <f t="shared" si="55"/>
        <v>0.48899999999999999</v>
      </c>
      <c r="N167" s="345">
        <f t="shared" si="56"/>
        <v>0</v>
      </c>
      <c r="S167" s="243"/>
    </row>
    <row r="168" spans="1:19">
      <c r="A168" s="605">
        <f t="shared" si="46"/>
        <v>154</v>
      </c>
      <c r="B168" s="620">
        <v>39800</v>
      </c>
      <c r="C168" s="4" t="s">
        <v>623</v>
      </c>
      <c r="D168" s="709">
        <v>0</v>
      </c>
      <c r="E168" s="248">
        <v>0</v>
      </c>
      <c r="F168" s="345">
        <f t="shared" si="47"/>
        <v>0</v>
      </c>
      <c r="G168" s="708">
        <f t="shared" si="48"/>
        <v>1</v>
      </c>
      <c r="H168" s="360">
        <f t="shared" si="49"/>
        <v>0.48899999999999999</v>
      </c>
      <c r="I168" s="345">
        <f t="shared" si="50"/>
        <v>0</v>
      </c>
      <c r="K168" s="709">
        <v>0</v>
      </c>
      <c r="L168" s="708">
        <f t="shared" si="54"/>
        <v>1</v>
      </c>
      <c r="M168" s="360">
        <f t="shared" si="55"/>
        <v>0.48899999999999999</v>
      </c>
      <c r="N168" s="345">
        <f t="shared" si="56"/>
        <v>0</v>
      </c>
      <c r="S168" s="243"/>
    </row>
    <row r="169" spans="1:19">
      <c r="A169" s="605">
        <f t="shared" si="46"/>
        <v>155</v>
      </c>
      <c r="B169" s="620">
        <v>39900</v>
      </c>
      <c r="C169" s="4" t="s">
        <v>1110</v>
      </c>
      <c r="D169" s="709">
        <v>0</v>
      </c>
      <c r="E169" s="248">
        <v>0</v>
      </c>
      <c r="F169" s="345">
        <f t="shared" si="47"/>
        <v>0</v>
      </c>
      <c r="G169" s="708">
        <f t="shared" si="48"/>
        <v>1</v>
      </c>
      <c r="H169" s="360">
        <f t="shared" si="49"/>
        <v>0.48899999999999999</v>
      </c>
      <c r="I169" s="345">
        <f t="shared" si="50"/>
        <v>0</v>
      </c>
      <c r="K169" s="709">
        <v>0</v>
      </c>
      <c r="L169" s="708">
        <f t="shared" si="54"/>
        <v>1</v>
      </c>
      <c r="M169" s="360">
        <f t="shared" si="55"/>
        <v>0.48899999999999999</v>
      </c>
      <c r="N169" s="345">
        <f t="shared" si="56"/>
        <v>0</v>
      </c>
      <c r="S169" s="243"/>
    </row>
    <row r="170" spans="1:19">
      <c r="A170" s="605">
        <f t="shared" si="46"/>
        <v>156</v>
      </c>
      <c r="B170" s="620">
        <v>39901</v>
      </c>
      <c r="C170" s="4" t="s">
        <v>452</v>
      </c>
      <c r="D170" s="709">
        <v>0</v>
      </c>
      <c r="E170" s="248">
        <v>0</v>
      </c>
      <c r="F170" s="345">
        <f t="shared" si="47"/>
        <v>0</v>
      </c>
      <c r="G170" s="708">
        <f t="shared" si="48"/>
        <v>1</v>
      </c>
      <c r="H170" s="360">
        <f t="shared" si="49"/>
        <v>0.48899999999999999</v>
      </c>
      <c r="I170" s="345">
        <f t="shared" si="50"/>
        <v>0</v>
      </c>
      <c r="K170" s="709">
        <v>0</v>
      </c>
      <c r="L170" s="708">
        <f t="shared" si="54"/>
        <v>1</v>
      </c>
      <c r="M170" s="360">
        <f t="shared" si="55"/>
        <v>0.48899999999999999</v>
      </c>
      <c r="N170" s="345">
        <f t="shared" si="56"/>
        <v>0</v>
      </c>
      <c r="S170" s="243"/>
    </row>
    <row r="171" spans="1:19">
      <c r="A171" s="605">
        <f t="shared" si="46"/>
        <v>157</v>
      </c>
      <c r="B171" s="620">
        <v>39902</v>
      </c>
      <c r="C171" s="4" t="s">
        <v>924</v>
      </c>
      <c r="D171" s="709">
        <v>0</v>
      </c>
      <c r="E171" s="248">
        <v>0</v>
      </c>
      <c r="F171" s="345">
        <f t="shared" si="47"/>
        <v>0</v>
      </c>
      <c r="G171" s="708">
        <f t="shared" si="48"/>
        <v>1</v>
      </c>
      <c r="H171" s="360">
        <f t="shared" si="49"/>
        <v>0.48899999999999999</v>
      </c>
      <c r="I171" s="345">
        <f t="shared" si="50"/>
        <v>0</v>
      </c>
      <c r="K171" s="709">
        <v>0</v>
      </c>
      <c r="L171" s="708">
        <f t="shared" si="51"/>
        <v>1</v>
      </c>
      <c r="M171" s="360">
        <f t="shared" si="52"/>
        <v>0.48899999999999999</v>
      </c>
      <c r="N171" s="345">
        <f t="shared" si="53"/>
        <v>0</v>
      </c>
      <c r="S171" s="243"/>
    </row>
    <row r="172" spans="1:19">
      <c r="A172" s="605">
        <f t="shared" si="46"/>
        <v>158</v>
      </c>
      <c r="B172" s="620">
        <v>39903</v>
      </c>
      <c r="C172" s="4" t="s">
        <v>967</v>
      </c>
      <c r="D172" s="709">
        <v>28266.440000000002</v>
      </c>
      <c r="E172" s="248">
        <v>0</v>
      </c>
      <c r="F172" s="345">
        <f t="shared" si="47"/>
        <v>28266.440000000002</v>
      </c>
      <c r="G172" s="708">
        <f t="shared" si="48"/>
        <v>1</v>
      </c>
      <c r="H172" s="360">
        <f t="shared" si="49"/>
        <v>0.48899999999999999</v>
      </c>
      <c r="I172" s="345">
        <f t="shared" si="50"/>
        <v>13822.28916</v>
      </c>
      <c r="K172" s="709">
        <v>28266.440000000002</v>
      </c>
      <c r="L172" s="708">
        <f t="shared" si="51"/>
        <v>1</v>
      </c>
      <c r="M172" s="360">
        <f t="shared" si="52"/>
        <v>0.48899999999999999</v>
      </c>
      <c r="N172" s="345">
        <f t="shared" si="53"/>
        <v>13822.28916</v>
      </c>
      <c r="S172" s="243"/>
    </row>
    <row r="173" spans="1:19">
      <c r="A173" s="605">
        <f t="shared" si="46"/>
        <v>159</v>
      </c>
      <c r="B173" s="620">
        <v>39906</v>
      </c>
      <c r="C173" s="4" t="s">
        <v>429</v>
      </c>
      <c r="D173" s="709">
        <v>0</v>
      </c>
      <c r="E173" s="248">
        <v>0</v>
      </c>
      <c r="F173" s="345">
        <f t="shared" si="47"/>
        <v>0</v>
      </c>
      <c r="G173" s="708">
        <f t="shared" si="48"/>
        <v>1</v>
      </c>
      <c r="H173" s="360">
        <f t="shared" si="49"/>
        <v>0.48899999999999999</v>
      </c>
      <c r="I173" s="345">
        <f t="shared" si="50"/>
        <v>0</v>
      </c>
      <c r="K173" s="709">
        <v>0</v>
      </c>
      <c r="L173" s="708">
        <f t="shared" si="51"/>
        <v>1</v>
      </c>
      <c r="M173" s="360">
        <f t="shared" si="52"/>
        <v>0.48899999999999999</v>
      </c>
      <c r="N173" s="345">
        <f t="shared" si="53"/>
        <v>0</v>
      </c>
      <c r="S173" s="243"/>
    </row>
    <row r="174" spans="1:19">
      <c r="A174" s="605">
        <f t="shared" si="46"/>
        <v>160</v>
      </c>
      <c r="B174" s="620">
        <v>39907</v>
      </c>
      <c r="C174" s="4" t="s">
        <v>479</v>
      </c>
      <c r="D174" s="709">
        <v>43521.91</v>
      </c>
      <c r="E174" s="248">
        <v>0</v>
      </c>
      <c r="F174" s="345">
        <f t="shared" si="47"/>
        <v>43521.91</v>
      </c>
      <c r="G174" s="708">
        <f t="shared" si="48"/>
        <v>1</v>
      </c>
      <c r="H174" s="360">
        <f t="shared" si="49"/>
        <v>0.48899999999999999</v>
      </c>
      <c r="I174" s="345">
        <f t="shared" si="50"/>
        <v>21282.21399</v>
      </c>
      <c r="K174" s="709">
        <v>43521.910000000018</v>
      </c>
      <c r="L174" s="708">
        <f t="shared" si="51"/>
        <v>1</v>
      </c>
      <c r="M174" s="360">
        <f t="shared" si="52"/>
        <v>0.48899999999999999</v>
      </c>
      <c r="N174" s="345">
        <f t="shared" si="53"/>
        <v>21282.213990000007</v>
      </c>
      <c r="S174" s="243"/>
    </row>
    <row r="175" spans="1:19">
      <c r="A175" s="605">
        <f t="shared" si="46"/>
        <v>161</v>
      </c>
      <c r="B175" s="620">
        <v>39908</v>
      </c>
      <c r="C175" s="4" t="s">
        <v>173</v>
      </c>
      <c r="D175" s="709">
        <v>0</v>
      </c>
      <c r="E175" s="248">
        <v>0</v>
      </c>
      <c r="F175" s="345">
        <f t="shared" si="47"/>
        <v>0</v>
      </c>
      <c r="G175" s="708">
        <f t="shared" si="48"/>
        <v>1</v>
      </c>
      <c r="H175" s="360">
        <f t="shared" si="49"/>
        <v>0.48899999999999999</v>
      </c>
      <c r="I175" s="345">
        <f t="shared" si="50"/>
        <v>0</v>
      </c>
      <c r="K175" s="709">
        <v>0</v>
      </c>
      <c r="L175" s="708">
        <f t="shared" si="51"/>
        <v>1</v>
      </c>
      <c r="M175" s="360">
        <f t="shared" si="52"/>
        <v>0.48899999999999999</v>
      </c>
      <c r="N175" s="345">
        <f t="shared" si="53"/>
        <v>0</v>
      </c>
      <c r="S175" s="243"/>
    </row>
    <row r="176" spans="1:19">
      <c r="A176" s="605">
        <f t="shared" si="46"/>
        <v>162</v>
      </c>
      <c r="B176" s="547"/>
      <c r="C176" s="4"/>
      <c r="D176" s="339"/>
      <c r="E176" s="339"/>
      <c r="F176" s="339"/>
      <c r="I176" s="339"/>
      <c r="K176" s="339"/>
      <c r="N176" s="339"/>
    </row>
    <row r="177" spans="1:19">
      <c r="A177" s="605">
        <f t="shared" si="46"/>
        <v>163</v>
      </c>
      <c r="B177" s="547"/>
      <c r="C177" s="4" t="s">
        <v>4</v>
      </c>
      <c r="D177" s="707">
        <f>SUM(D155:D176)</f>
        <v>456088.33999999997</v>
      </c>
      <c r="E177" s="707">
        <f>SUM(E155:E176)</f>
        <v>0</v>
      </c>
      <c r="F177" s="707">
        <f>SUM(F155:F176)</f>
        <v>456088.33999999997</v>
      </c>
      <c r="I177" s="707">
        <f>SUM(I155:I176)</f>
        <v>223027.19826</v>
      </c>
      <c r="K177" s="707">
        <f>SUM(K155:K176)</f>
        <v>456088.34</v>
      </c>
      <c r="N177" s="707">
        <f>SUM(N155:N176)</f>
        <v>223027.19826000003</v>
      </c>
    </row>
    <row r="178" spans="1:19">
      <c r="A178" s="605">
        <f t="shared" si="46"/>
        <v>164</v>
      </c>
      <c r="B178" s="547"/>
      <c r="C178" s="4"/>
    </row>
    <row r="179" spans="1:19" ht="15.75" thickBot="1">
      <c r="A179" s="605">
        <f t="shared" si="46"/>
        <v>165</v>
      </c>
      <c r="B179" s="547"/>
      <c r="C179" s="98" t="s">
        <v>1246</v>
      </c>
      <c r="D179" s="712">
        <f>D127+D152+D177</f>
        <v>1750949.29</v>
      </c>
      <c r="E179" s="712">
        <f>E127+E152+E177</f>
        <v>0</v>
      </c>
      <c r="F179" s="712">
        <f>F127+F152+F177</f>
        <v>1750949.29</v>
      </c>
      <c r="I179" s="712">
        <f>I127+I152+I177</f>
        <v>856214.20280999993</v>
      </c>
      <c r="K179" s="712">
        <f>K127+K152+K177</f>
        <v>1750949.29</v>
      </c>
      <c r="N179" s="712">
        <f>N127+N152+N177</f>
        <v>856214.20280999993</v>
      </c>
    </row>
    <row r="180" spans="1:19" ht="15.75" thickTop="1">
      <c r="A180" s="605">
        <f t="shared" si="46"/>
        <v>166</v>
      </c>
      <c r="B180" s="547"/>
      <c r="C180" s="4"/>
      <c r="D180" s="186"/>
      <c r="E180" s="189"/>
      <c r="F180" s="189"/>
      <c r="I180" s="189"/>
    </row>
    <row r="181" spans="1:19">
      <c r="A181" s="605">
        <f t="shared" si="46"/>
        <v>167</v>
      </c>
      <c r="B181" s="547"/>
      <c r="C181" s="1"/>
      <c r="D181" s="706"/>
      <c r="E181" s="713"/>
      <c r="F181" s="713"/>
      <c r="G181" s="708"/>
      <c r="H181" s="360"/>
      <c r="I181" s="713"/>
      <c r="K181" s="706"/>
      <c r="L181" s="708"/>
      <c r="M181" s="360"/>
      <c r="N181" s="713"/>
    </row>
    <row r="182" spans="1:19">
      <c r="A182" s="605">
        <f t="shared" si="46"/>
        <v>168</v>
      </c>
      <c r="B182" s="547"/>
    </row>
    <row r="183" spans="1:19" ht="15.75">
      <c r="A183" s="605">
        <f t="shared" si="46"/>
        <v>169</v>
      </c>
      <c r="B183" s="550" t="s">
        <v>7</v>
      </c>
    </row>
    <row r="184" spans="1:19">
      <c r="A184" s="605">
        <f t="shared" si="46"/>
        <v>170</v>
      </c>
      <c r="B184" s="547"/>
    </row>
    <row r="185" spans="1:19">
      <c r="A185" s="605">
        <f t="shared" si="46"/>
        <v>171</v>
      </c>
      <c r="B185" s="547"/>
      <c r="C185" s="16" t="s">
        <v>292</v>
      </c>
    </row>
    <row r="186" spans="1:19">
      <c r="A186" s="605">
        <f t="shared" si="46"/>
        <v>172</v>
      </c>
      <c r="B186" s="619">
        <v>39000</v>
      </c>
      <c r="C186" s="98" t="s">
        <v>825</v>
      </c>
      <c r="D186" s="706">
        <v>5543564.4866843559</v>
      </c>
      <c r="E186" s="203">
        <v>0</v>
      </c>
      <c r="F186" s="707">
        <f t="shared" ref="F186" si="57">D186+E186</f>
        <v>5543564.4866843559</v>
      </c>
      <c r="G186" s="684">
        <f>Allocation!$C$14</f>
        <v>8.8999999999999996E-2</v>
      </c>
      <c r="H186" s="684">
        <f>Allocation!$D$14</f>
        <v>0.48899999999999999</v>
      </c>
      <c r="I186" s="707">
        <f t="shared" ref="I186:I223" si="58">F186*G186*H186</f>
        <v>241261.47002498983</v>
      </c>
      <c r="K186" s="706">
        <v>5655049.9399621077</v>
      </c>
      <c r="L186" s="360">
        <f t="shared" ref="L186:L213" si="59">G186</f>
        <v>8.8999999999999996E-2</v>
      </c>
      <c r="M186" s="360">
        <f t="shared" ref="M186:M198" si="60">H186</f>
        <v>0.48899999999999999</v>
      </c>
      <c r="N186" s="707">
        <f t="shared" ref="N186" si="61">K186*L186*M186</f>
        <v>246113.42843709086</v>
      </c>
      <c r="P186" s="360"/>
      <c r="S186" s="243"/>
    </row>
    <row r="187" spans="1:19">
      <c r="A187" s="605">
        <f t="shared" si="46"/>
        <v>173</v>
      </c>
      <c r="B187" s="619">
        <v>39005</v>
      </c>
      <c r="C187" s="98" t="s">
        <v>1153</v>
      </c>
      <c r="D187" s="709">
        <v>14884953.1</v>
      </c>
      <c r="E187" s="341">
        <v>0</v>
      </c>
      <c r="F187" s="345">
        <f>D187+E187</f>
        <v>14884953.1</v>
      </c>
      <c r="G187" s="267">
        <v>1</v>
      </c>
      <c r="H187" s="684">
        <f>Allocation!$E$20</f>
        <v>1.503839E-2</v>
      </c>
      <c r="I187" s="345">
        <f>F187*G187*H187</f>
        <v>223845.72984950899</v>
      </c>
      <c r="K187" s="709">
        <v>14884953.099999996</v>
      </c>
      <c r="L187" s="360">
        <f>G187</f>
        <v>1</v>
      </c>
      <c r="M187" s="360">
        <f t="shared" si="60"/>
        <v>1.503839E-2</v>
      </c>
      <c r="N187" s="345">
        <f>K187*L187*M187</f>
        <v>223845.72984950893</v>
      </c>
      <c r="P187" s="360"/>
      <c r="S187" s="243"/>
    </row>
    <row r="188" spans="1:19">
      <c r="A188" s="605">
        <f t="shared" si="46"/>
        <v>174</v>
      </c>
      <c r="B188" s="619">
        <v>39009</v>
      </c>
      <c r="C188" s="98" t="s">
        <v>997</v>
      </c>
      <c r="D188" s="709">
        <v>15287155.975154866</v>
      </c>
      <c r="E188" s="341">
        <v>0</v>
      </c>
      <c r="F188" s="345">
        <f t="shared" ref="F188:F223" si="62">D188+E188</f>
        <v>15287155.975154866</v>
      </c>
      <c r="G188" s="360">
        <f t="shared" ref="G188:G207" si="63">$G$186</f>
        <v>8.8999999999999996E-2</v>
      </c>
      <c r="H188" s="360">
        <f>$H$186</f>
        <v>0.48899999999999999</v>
      </c>
      <c r="I188" s="345">
        <f t="shared" si="58"/>
        <v>665312.31519471493</v>
      </c>
      <c r="K188" s="709">
        <v>14013114.037051184</v>
      </c>
      <c r="L188" s="360">
        <f t="shared" si="59"/>
        <v>8.8999999999999996E-2</v>
      </c>
      <c r="M188" s="360">
        <f t="shared" si="60"/>
        <v>0.48899999999999999</v>
      </c>
      <c r="N188" s="345">
        <f t="shared" ref="N188:N223" si="64">K188*L188*M188</f>
        <v>609864.73600650451</v>
      </c>
      <c r="P188" s="360"/>
      <c r="S188" s="243"/>
    </row>
    <row r="189" spans="1:19">
      <c r="A189" s="605">
        <f t="shared" si="46"/>
        <v>175</v>
      </c>
      <c r="B189" s="619">
        <v>39020</v>
      </c>
      <c r="C189" s="98" t="s">
        <v>1409</v>
      </c>
      <c r="D189" s="709">
        <v>24632.98</v>
      </c>
      <c r="E189" s="341">
        <v>0</v>
      </c>
      <c r="F189" s="345">
        <f t="shared" si="62"/>
        <v>24632.98</v>
      </c>
      <c r="G189" s="267">
        <v>1</v>
      </c>
      <c r="H189" s="684">
        <f>Allocation!E22</f>
        <v>5.5924710000000002E-2</v>
      </c>
      <c r="I189" s="345">
        <f t="shared" si="58"/>
        <v>1377.5922629358001</v>
      </c>
      <c r="K189" s="709">
        <v>24632.98</v>
      </c>
      <c r="L189" s="267">
        <v>1</v>
      </c>
      <c r="M189" s="360">
        <f t="shared" si="60"/>
        <v>5.5924710000000002E-2</v>
      </c>
      <c r="N189" s="345">
        <f t="shared" si="64"/>
        <v>1377.5922629358001</v>
      </c>
      <c r="P189" s="360"/>
      <c r="S189" s="243"/>
    </row>
    <row r="190" spans="1:19">
      <c r="A190" s="605">
        <f t="shared" si="46"/>
        <v>176</v>
      </c>
      <c r="B190" s="619">
        <v>39029</v>
      </c>
      <c r="C190" s="98" t="s">
        <v>1410</v>
      </c>
      <c r="D190" s="709">
        <v>54743.020000000004</v>
      </c>
      <c r="E190" s="341">
        <v>0</v>
      </c>
      <c r="F190" s="345">
        <f t="shared" si="62"/>
        <v>54743.020000000004</v>
      </c>
      <c r="G190" s="267">
        <v>1</v>
      </c>
      <c r="H190" s="360">
        <f>H189</f>
        <v>5.5924710000000002E-2</v>
      </c>
      <c r="I190" s="345">
        <f t="shared" si="58"/>
        <v>3061.4875180242002</v>
      </c>
      <c r="K190" s="709">
        <v>54743.020000000011</v>
      </c>
      <c r="L190" s="267">
        <v>1</v>
      </c>
      <c r="M190" s="360">
        <f t="shared" si="60"/>
        <v>5.5924710000000002E-2</v>
      </c>
      <c r="N190" s="345">
        <f t="shared" si="64"/>
        <v>3061.4875180242007</v>
      </c>
      <c r="P190" s="360"/>
      <c r="S190" s="243"/>
    </row>
    <row r="191" spans="1:19">
      <c r="A191" s="605">
        <f t="shared" si="46"/>
        <v>177</v>
      </c>
      <c r="B191" s="619">
        <v>39100</v>
      </c>
      <c r="C191" s="98" t="s">
        <v>749</v>
      </c>
      <c r="D191" s="709">
        <v>8614801.0614329278</v>
      </c>
      <c r="E191" s="341">
        <v>0</v>
      </c>
      <c r="F191" s="345">
        <f t="shared" si="62"/>
        <v>8614801.0614329278</v>
      </c>
      <c r="G191" s="360">
        <f t="shared" si="63"/>
        <v>8.8999999999999996E-2</v>
      </c>
      <c r="H191" s="360">
        <f>$H$186</f>
        <v>0.48899999999999999</v>
      </c>
      <c r="I191" s="345">
        <f t="shared" si="58"/>
        <v>374924.75699462241</v>
      </c>
      <c r="K191" s="709">
        <v>8019912.073391417</v>
      </c>
      <c r="L191" s="360">
        <f t="shared" si="59"/>
        <v>8.8999999999999996E-2</v>
      </c>
      <c r="M191" s="360">
        <f t="shared" si="60"/>
        <v>0.48899999999999999</v>
      </c>
      <c r="N191" s="345">
        <f t="shared" si="64"/>
        <v>349034.59334606782</v>
      </c>
      <c r="P191" s="360"/>
      <c r="S191" s="243"/>
    </row>
    <row r="192" spans="1:19">
      <c r="A192" s="605">
        <f t="shared" si="46"/>
        <v>178</v>
      </c>
      <c r="B192" s="619">
        <v>39102</v>
      </c>
      <c r="C192" s="98" t="s">
        <v>500</v>
      </c>
      <c r="D192" s="709">
        <v>0</v>
      </c>
      <c r="E192" s="341">
        <v>0</v>
      </c>
      <c r="F192" s="345">
        <f t="shared" si="62"/>
        <v>0</v>
      </c>
      <c r="G192" s="360">
        <f t="shared" si="63"/>
        <v>8.8999999999999996E-2</v>
      </c>
      <c r="H192" s="360">
        <f>$H$186</f>
        <v>0.48899999999999999</v>
      </c>
      <c r="I192" s="345">
        <f t="shared" si="58"/>
        <v>0</v>
      </c>
      <c r="K192" s="709">
        <v>0</v>
      </c>
      <c r="L192" s="360">
        <f t="shared" si="59"/>
        <v>8.8999999999999996E-2</v>
      </c>
      <c r="M192" s="360">
        <f t="shared" si="60"/>
        <v>0.48899999999999999</v>
      </c>
      <c r="N192" s="345">
        <f t="shared" si="64"/>
        <v>0</v>
      </c>
      <c r="P192" s="360"/>
      <c r="S192" s="243"/>
    </row>
    <row r="193" spans="1:19">
      <c r="A193" s="605">
        <f t="shared" si="46"/>
        <v>179</v>
      </c>
      <c r="B193" s="619">
        <v>39103</v>
      </c>
      <c r="C193" s="98" t="s">
        <v>750</v>
      </c>
      <c r="D193" s="709">
        <v>0</v>
      </c>
      <c r="E193" s="341">
        <v>0</v>
      </c>
      <c r="F193" s="345">
        <f t="shared" si="62"/>
        <v>0</v>
      </c>
      <c r="G193" s="360">
        <f t="shared" si="63"/>
        <v>8.8999999999999996E-2</v>
      </c>
      <c r="H193" s="360">
        <f>$H$186</f>
        <v>0.48899999999999999</v>
      </c>
      <c r="I193" s="345">
        <f t="shared" si="58"/>
        <v>0</v>
      </c>
      <c r="K193" s="709">
        <v>0</v>
      </c>
      <c r="L193" s="360">
        <f t="shared" si="59"/>
        <v>8.8999999999999996E-2</v>
      </c>
      <c r="M193" s="360">
        <f t="shared" si="60"/>
        <v>0.48899999999999999</v>
      </c>
      <c r="N193" s="345">
        <f t="shared" si="64"/>
        <v>0</v>
      </c>
      <c r="P193" s="360"/>
      <c r="S193" s="243"/>
    </row>
    <row r="194" spans="1:19">
      <c r="A194" s="605">
        <f t="shared" si="46"/>
        <v>180</v>
      </c>
      <c r="B194" s="619">
        <v>39104</v>
      </c>
      <c r="C194" s="98" t="s">
        <v>1154</v>
      </c>
      <c r="D194" s="709">
        <v>71036.47</v>
      </c>
      <c r="E194" s="341">
        <v>0</v>
      </c>
      <c r="F194" s="345">
        <f t="shared" si="62"/>
        <v>71036.47</v>
      </c>
      <c r="G194" s="267">
        <v>1</v>
      </c>
      <c r="H194" s="360">
        <f>$H$187</f>
        <v>1.503839E-2</v>
      </c>
      <c r="I194" s="345">
        <f t="shared" si="58"/>
        <v>1068.2741400833002</v>
      </c>
      <c r="K194" s="709">
        <v>71036.469999999987</v>
      </c>
      <c r="L194" s="360">
        <f>G194</f>
        <v>1</v>
      </c>
      <c r="M194" s="360">
        <f t="shared" si="60"/>
        <v>1.503839E-2</v>
      </c>
      <c r="N194" s="345">
        <f t="shared" si="64"/>
        <v>1068.2741400832999</v>
      </c>
      <c r="P194" s="360"/>
      <c r="S194" s="243"/>
    </row>
    <row r="195" spans="1:19">
      <c r="A195" s="605">
        <f t="shared" si="46"/>
        <v>181</v>
      </c>
      <c r="B195" s="619">
        <v>39120</v>
      </c>
      <c r="C195" s="98" t="s">
        <v>1411</v>
      </c>
      <c r="D195" s="709">
        <v>307893.22000000003</v>
      </c>
      <c r="E195" s="341">
        <v>0</v>
      </c>
      <c r="F195" s="345">
        <f t="shared" si="62"/>
        <v>307893.22000000003</v>
      </c>
      <c r="G195" s="267">
        <v>1</v>
      </c>
      <c r="H195" s="360">
        <f>H190</f>
        <v>5.5924710000000002E-2</v>
      </c>
      <c r="I195" s="345">
        <f t="shared" si="58"/>
        <v>17218.839039466202</v>
      </c>
      <c r="K195" s="709">
        <v>307893.22000000009</v>
      </c>
      <c r="L195" s="267">
        <v>1</v>
      </c>
      <c r="M195" s="360">
        <f t="shared" si="60"/>
        <v>5.5924710000000002E-2</v>
      </c>
      <c r="N195" s="345">
        <f t="shared" si="64"/>
        <v>17218.839039466206</v>
      </c>
      <c r="P195" s="360"/>
      <c r="S195" s="243"/>
    </row>
    <row r="196" spans="1:19">
      <c r="A196" s="605">
        <f t="shared" si="46"/>
        <v>182</v>
      </c>
      <c r="B196" s="619">
        <v>39200</v>
      </c>
      <c r="C196" s="98" t="s">
        <v>1037</v>
      </c>
      <c r="D196" s="709">
        <v>315397.35000000003</v>
      </c>
      <c r="E196" s="341">
        <v>0</v>
      </c>
      <c r="F196" s="345">
        <f t="shared" si="62"/>
        <v>315397.35000000003</v>
      </c>
      <c r="G196" s="360">
        <f t="shared" si="63"/>
        <v>8.8999999999999996E-2</v>
      </c>
      <c r="H196" s="360">
        <f t="shared" ref="H196:H218" si="65">$H$186</f>
        <v>0.48899999999999999</v>
      </c>
      <c r="I196" s="345">
        <f t="shared" si="58"/>
        <v>13726.40806935</v>
      </c>
      <c r="K196" s="709">
        <v>315397.35000000003</v>
      </c>
      <c r="L196" s="360">
        <f t="shared" si="59"/>
        <v>8.8999999999999996E-2</v>
      </c>
      <c r="M196" s="360">
        <f t="shared" si="60"/>
        <v>0.48899999999999999</v>
      </c>
      <c r="N196" s="345">
        <f t="shared" si="64"/>
        <v>13726.40806935</v>
      </c>
      <c r="P196" s="360"/>
      <c r="S196" s="243"/>
    </row>
    <row r="197" spans="1:19">
      <c r="A197" s="605">
        <f t="shared" si="46"/>
        <v>183</v>
      </c>
      <c r="B197" s="619">
        <v>39300</v>
      </c>
      <c r="C197" s="98" t="s">
        <v>622</v>
      </c>
      <c r="D197" s="709">
        <v>0</v>
      </c>
      <c r="E197" s="341">
        <v>0</v>
      </c>
      <c r="F197" s="345">
        <f t="shared" si="62"/>
        <v>0</v>
      </c>
      <c r="G197" s="360">
        <f t="shared" si="63"/>
        <v>8.8999999999999996E-2</v>
      </c>
      <c r="H197" s="360">
        <f t="shared" si="65"/>
        <v>0.48899999999999999</v>
      </c>
      <c r="I197" s="345">
        <f t="shared" si="58"/>
        <v>0</v>
      </c>
      <c r="K197" s="709">
        <v>0</v>
      </c>
      <c r="L197" s="360">
        <f t="shared" si="59"/>
        <v>8.8999999999999996E-2</v>
      </c>
      <c r="M197" s="360">
        <f t="shared" si="60"/>
        <v>0.48899999999999999</v>
      </c>
      <c r="N197" s="345">
        <f t="shared" si="64"/>
        <v>0</v>
      </c>
      <c r="P197" s="360"/>
      <c r="S197" s="243"/>
    </row>
    <row r="198" spans="1:19">
      <c r="A198" s="605">
        <f t="shared" si="46"/>
        <v>184</v>
      </c>
      <c r="B198" s="619">
        <v>39400</v>
      </c>
      <c r="C198" s="98" t="s">
        <v>996</v>
      </c>
      <c r="D198" s="709">
        <v>30133.930000000008</v>
      </c>
      <c r="E198" s="341">
        <v>0</v>
      </c>
      <c r="F198" s="345">
        <f t="shared" si="62"/>
        <v>30133.930000000008</v>
      </c>
      <c r="G198" s="360">
        <f t="shared" si="63"/>
        <v>8.8999999999999996E-2</v>
      </c>
      <c r="H198" s="360">
        <f t="shared" si="65"/>
        <v>0.48899999999999999</v>
      </c>
      <c r="I198" s="345">
        <f t="shared" si="58"/>
        <v>1311.4587675300002</v>
      </c>
      <c r="K198" s="709">
        <v>30133.929999999997</v>
      </c>
      <c r="L198" s="360">
        <f t="shared" si="59"/>
        <v>8.8999999999999996E-2</v>
      </c>
      <c r="M198" s="360">
        <f t="shared" si="60"/>
        <v>0.48899999999999999</v>
      </c>
      <c r="N198" s="345">
        <f t="shared" si="64"/>
        <v>1311.4587675299997</v>
      </c>
      <c r="P198" s="360"/>
      <c r="S198" s="243"/>
    </row>
    <row r="199" spans="1:19">
      <c r="A199" s="605">
        <f t="shared" si="46"/>
        <v>185</v>
      </c>
      <c r="B199" s="619">
        <v>39420</v>
      </c>
      <c r="C199" s="98" t="s">
        <v>1412</v>
      </c>
      <c r="D199" s="709">
        <v>0</v>
      </c>
      <c r="E199" s="341">
        <v>0</v>
      </c>
      <c r="F199" s="345">
        <f t="shared" si="62"/>
        <v>0</v>
      </c>
      <c r="G199" s="267">
        <v>1</v>
      </c>
      <c r="H199" s="360">
        <f>H195</f>
        <v>5.5924710000000002E-2</v>
      </c>
      <c r="I199" s="345">
        <f t="shared" si="58"/>
        <v>0</v>
      </c>
      <c r="K199" s="709">
        <v>0</v>
      </c>
      <c r="L199" s="267">
        <v>1</v>
      </c>
      <c r="M199" s="360">
        <f t="shared" ref="M199:M223" si="66">H199</f>
        <v>5.5924710000000002E-2</v>
      </c>
      <c r="N199" s="345">
        <f t="shared" si="64"/>
        <v>0</v>
      </c>
      <c r="P199" s="360"/>
      <c r="S199" s="243"/>
    </row>
    <row r="200" spans="1:19">
      <c r="A200" s="605">
        <f t="shared" si="46"/>
        <v>186</v>
      </c>
      <c r="B200" s="619">
        <v>39500</v>
      </c>
      <c r="C200" s="98" t="s">
        <v>1155</v>
      </c>
      <c r="D200" s="709">
        <v>0</v>
      </c>
      <c r="E200" s="341">
        <v>0</v>
      </c>
      <c r="F200" s="345">
        <f t="shared" si="62"/>
        <v>0</v>
      </c>
      <c r="G200" s="360">
        <f t="shared" si="63"/>
        <v>8.8999999999999996E-2</v>
      </c>
      <c r="H200" s="360">
        <f t="shared" si="65"/>
        <v>0.48899999999999999</v>
      </c>
      <c r="I200" s="345">
        <f t="shared" si="58"/>
        <v>0</v>
      </c>
      <c r="K200" s="709">
        <v>0</v>
      </c>
      <c r="L200" s="360">
        <f t="shared" si="59"/>
        <v>8.8999999999999996E-2</v>
      </c>
      <c r="M200" s="360">
        <f t="shared" si="66"/>
        <v>0.48899999999999999</v>
      </c>
      <c r="N200" s="345">
        <f t="shared" si="64"/>
        <v>0</v>
      </c>
      <c r="P200" s="360"/>
      <c r="S200" s="243"/>
    </row>
    <row r="201" spans="1:19">
      <c r="A201" s="605">
        <f t="shared" si="46"/>
        <v>187</v>
      </c>
      <c r="B201" s="619">
        <v>39700</v>
      </c>
      <c r="C201" s="98" t="s">
        <v>418</v>
      </c>
      <c r="D201" s="709">
        <v>712329.13359058509</v>
      </c>
      <c r="E201" s="341">
        <v>0</v>
      </c>
      <c r="F201" s="345">
        <f t="shared" si="62"/>
        <v>712329.13359058509</v>
      </c>
      <c r="G201" s="360">
        <f t="shared" si="63"/>
        <v>8.8999999999999996E-2</v>
      </c>
      <c r="H201" s="360">
        <f t="shared" si="65"/>
        <v>0.48899999999999999</v>
      </c>
      <c r="I201" s="345">
        <f t="shared" si="58"/>
        <v>31001.276222995853</v>
      </c>
      <c r="K201" s="709">
        <v>676658.38429765345</v>
      </c>
      <c r="L201" s="360">
        <f t="shared" si="59"/>
        <v>8.8999999999999996E-2</v>
      </c>
      <c r="M201" s="360">
        <f t="shared" si="66"/>
        <v>0.48899999999999999</v>
      </c>
      <c r="N201" s="345">
        <f t="shared" si="64"/>
        <v>29448.849543018176</v>
      </c>
      <c r="P201" s="360"/>
      <c r="S201" s="243"/>
    </row>
    <row r="202" spans="1:19">
      <c r="A202" s="605">
        <f t="shared" si="46"/>
        <v>188</v>
      </c>
      <c r="B202" s="619">
        <v>39720</v>
      </c>
      <c r="C202" s="98" t="s">
        <v>1413</v>
      </c>
      <c r="D202" s="709">
        <v>77436.150000000009</v>
      </c>
      <c r="E202" s="341">
        <v>0</v>
      </c>
      <c r="F202" s="345">
        <f t="shared" si="62"/>
        <v>77436.150000000009</v>
      </c>
      <c r="G202" s="267">
        <v>1</v>
      </c>
      <c r="H202" s="360">
        <f>H199</f>
        <v>5.5924710000000002E-2</v>
      </c>
      <c r="I202" s="345">
        <f t="shared" si="58"/>
        <v>4330.5942322665005</v>
      </c>
      <c r="K202" s="709">
        <v>77436.150000000009</v>
      </c>
      <c r="L202" s="267">
        <v>1</v>
      </c>
      <c r="M202" s="360">
        <f t="shared" si="66"/>
        <v>5.5924710000000002E-2</v>
      </c>
      <c r="N202" s="345">
        <f t="shared" si="64"/>
        <v>4330.5942322665005</v>
      </c>
      <c r="P202" s="360"/>
      <c r="S202" s="243"/>
    </row>
    <row r="203" spans="1:19">
      <c r="A203" s="605">
        <f t="shared" si="46"/>
        <v>189</v>
      </c>
      <c r="B203" s="619">
        <v>39800</v>
      </c>
      <c r="C203" s="98" t="s">
        <v>623</v>
      </c>
      <c r="D203" s="709">
        <v>107930.99</v>
      </c>
      <c r="E203" s="341">
        <v>0</v>
      </c>
      <c r="F203" s="345">
        <f t="shared" si="62"/>
        <v>107930.99</v>
      </c>
      <c r="G203" s="360">
        <f t="shared" si="63"/>
        <v>8.8999999999999996E-2</v>
      </c>
      <c r="H203" s="360">
        <f t="shared" si="65"/>
        <v>0.48899999999999999</v>
      </c>
      <c r="I203" s="345">
        <f t="shared" si="58"/>
        <v>4697.2646157899999</v>
      </c>
      <c r="K203" s="709">
        <v>107930.99</v>
      </c>
      <c r="L203" s="360">
        <f t="shared" si="59"/>
        <v>8.8999999999999996E-2</v>
      </c>
      <c r="M203" s="360">
        <f t="shared" si="66"/>
        <v>0.48899999999999999</v>
      </c>
      <c r="N203" s="345">
        <f t="shared" si="64"/>
        <v>4697.2646157899999</v>
      </c>
      <c r="P203" s="360"/>
      <c r="S203" s="243"/>
    </row>
    <row r="204" spans="1:19">
      <c r="A204" s="605">
        <f t="shared" si="46"/>
        <v>190</v>
      </c>
      <c r="B204" s="619">
        <v>39820</v>
      </c>
      <c r="C204" s="98" t="s">
        <v>1414</v>
      </c>
      <c r="D204" s="709">
        <v>10581.72</v>
      </c>
      <c r="E204" s="341">
        <v>0</v>
      </c>
      <c r="F204" s="345">
        <f t="shared" si="62"/>
        <v>10581.72</v>
      </c>
      <c r="G204" s="267">
        <v>1</v>
      </c>
      <c r="H204" s="360">
        <f>H202</f>
        <v>5.5924710000000002E-2</v>
      </c>
      <c r="I204" s="345">
        <f t="shared" si="58"/>
        <v>591.77962230119999</v>
      </c>
      <c r="K204" s="709">
        <v>10581.72</v>
      </c>
      <c r="L204" s="267">
        <v>1</v>
      </c>
      <c r="M204" s="360">
        <f t="shared" si="66"/>
        <v>5.5924710000000002E-2</v>
      </c>
      <c r="N204" s="345">
        <f t="shared" si="64"/>
        <v>591.77962230119999</v>
      </c>
      <c r="P204" s="360"/>
      <c r="S204" s="243"/>
    </row>
    <row r="205" spans="1:19">
      <c r="A205" s="605">
        <f t="shared" si="46"/>
        <v>191</v>
      </c>
      <c r="B205" s="619">
        <v>39900</v>
      </c>
      <c r="C205" s="98" t="s">
        <v>1110</v>
      </c>
      <c r="D205" s="709">
        <v>0</v>
      </c>
      <c r="E205" s="341">
        <v>0</v>
      </c>
      <c r="F205" s="345">
        <f t="shared" si="62"/>
        <v>0</v>
      </c>
      <c r="G205" s="360">
        <f t="shared" si="63"/>
        <v>8.8999999999999996E-2</v>
      </c>
      <c r="H205" s="360">
        <f t="shared" si="65"/>
        <v>0.48899999999999999</v>
      </c>
      <c r="I205" s="345">
        <f t="shared" si="58"/>
        <v>0</v>
      </c>
      <c r="K205" s="709">
        <v>0</v>
      </c>
      <c r="L205" s="360">
        <f t="shared" si="59"/>
        <v>8.8999999999999996E-2</v>
      </c>
      <c r="M205" s="360">
        <f t="shared" si="66"/>
        <v>0.48899999999999999</v>
      </c>
      <c r="N205" s="345">
        <f t="shared" si="64"/>
        <v>0</v>
      </c>
      <c r="P205" s="360"/>
      <c r="S205" s="243"/>
    </row>
    <row r="206" spans="1:19">
      <c r="A206" s="605">
        <f t="shared" si="46"/>
        <v>192</v>
      </c>
      <c r="B206" s="619">
        <v>39901</v>
      </c>
      <c r="C206" s="98" t="s">
        <v>452</v>
      </c>
      <c r="D206" s="709">
        <v>38222804.471563719</v>
      </c>
      <c r="E206" s="341">
        <v>0</v>
      </c>
      <c r="F206" s="345">
        <f t="shared" si="62"/>
        <v>38222804.471563719</v>
      </c>
      <c r="G206" s="360">
        <f t="shared" si="63"/>
        <v>8.8999999999999996E-2</v>
      </c>
      <c r="H206" s="360">
        <f t="shared" si="65"/>
        <v>0.48899999999999999</v>
      </c>
      <c r="I206" s="345">
        <f t="shared" si="58"/>
        <v>1663494.6734069244</v>
      </c>
      <c r="K206" s="709">
        <v>38220531.593548417</v>
      </c>
      <c r="L206" s="360">
        <f t="shared" si="59"/>
        <v>8.8999999999999996E-2</v>
      </c>
      <c r="M206" s="360">
        <f t="shared" si="66"/>
        <v>0.48899999999999999</v>
      </c>
      <c r="N206" s="345">
        <f t="shared" si="64"/>
        <v>1663395.7554828206</v>
      </c>
      <c r="P206" s="360"/>
      <c r="S206" s="243"/>
    </row>
    <row r="207" spans="1:19">
      <c r="A207" s="605">
        <f t="shared" si="46"/>
        <v>193</v>
      </c>
      <c r="B207" s="619">
        <v>39902</v>
      </c>
      <c r="C207" s="98" t="s">
        <v>924</v>
      </c>
      <c r="D207" s="709">
        <v>50221294.612945281</v>
      </c>
      <c r="E207" s="341">
        <v>0</v>
      </c>
      <c r="F207" s="345">
        <f t="shared" si="62"/>
        <v>50221294.612945281</v>
      </c>
      <c r="G207" s="360">
        <f t="shared" si="63"/>
        <v>8.8999999999999996E-2</v>
      </c>
      <c r="H207" s="360">
        <f t="shared" si="65"/>
        <v>0.48899999999999999</v>
      </c>
      <c r="I207" s="345">
        <f t="shared" si="58"/>
        <v>2185680.9628499914</v>
      </c>
      <c r="K207" s="709">
        <v>39713273.458999701</v>
      </c>
      <c r="L207" s="360">
        <f t="shared" si="59"/>
        <v>8.8999999999999996E-2</v>
      </c>
      <c r="M207" s="360">
        <f t="shared" si="66"/>
        <v>0.48899999999999999</v>
      </c>
      <c r="N207" s="345">
        <f t="shared" si="64"/>
        <v>1728361.3742091258</v>
      </c>
      <c r="P207" s="360"/>
      <c r="S207" s="243"/>
    </row>
    <row r="208" spans="1:19">
      <c r="A208" s="605">
        <f t="shared" si="46"/>
        <v>194</v>
      </c>
      <c r="B208" s="619">
        <v>39903</v>
      </c>
      <c r="C208" s="98" t="s">
        <v>967</v>
      </c>
      <c r="D208" s="709">
        <v>5009315.367441983</v>
      </c>
      <c r="E208" s="341">
        <v>0</v>
      </c>
      <c r="F208" s="345">
        <f t="shared" si="62"/>
        <v>5009315.367441983</v>
      </c>
      <c r="G208" s="360">
        <f t="shared" ref="G208:G218" si="67">$G$186</f>
        <v>8.8999999999999996E-2</v>
      </c>
      <c r="H208" s="360">
        <f t="shared" si="65"/>
        <v>0.48899999999999999</v>
      </c>
      <c r="I208" s="345">
        <f t="shared" si="58"/>
        <v>218010.41410644253</v>
      </c>
      <c r="K208" s="709">
        <v>4874974.3910585875</v>
      </c>
      <c r="L208" s="360">
        <f t="shared" si="59"/>
        <v>8.8999999999999996E-2</v>
      </c>
      <c r="M208" s="360">
        <f t="shared" si="66"/>
        <v>0.48899999999999999</v>
      </c>
      <c r="N208" s="345">
        <f t="shared" si="64"/>
        <v>212163.76047326077</v>
      </c>
      <c r="P208" s="360"/>
      <c r="S208" s="243"/>
    </row>
    <row r="209" spans="1:19">
      <c r="A209" s="605">
        <f t="shared" si="46"/>
        <v>195</v>
      </c>
      <c r="B209" s="619">
        <v>39904</v>
      </c>
      <c r="C209" s="98" t="s">
        <v>1135</v>
      </c>
      <c r="D209" s="709">
        <v>0</v>
      </c>
      <c r="E209" s="341">
        <v>0</v>
      </c>
      <c r="F209" s="345">
        <f t="shared" si="62"/>
        <v>0</v>
      </c>
      <c r="G209" s="360">
        <f t="shared" si="67"/>
        <v>8.8999999999999996E-2</v>
      </c>
      <c r="H209" s="360">
        <f t="shared" si="65"/>
        <v>0.48899999999999999</v>
      </c>
      <c r="I209" s="345">
        <f t="shared" si="58"/>
        <v>0</v>
      </c>
      <c r="K209" s="709">
        <v>0</v>
      </c>
      <c r="L209" s="360">
        <f t="shared" si="59"/>
        <v>8.8999999999999996E-2</v>
      </c>
      <c r="M209" s="360">
        <f t="shared" si="66"/>
        <v>0.48899999999999999</v>
      </c>
      <c r="N209" s="345">
        <f t="shared" si="64"/>
        <v>0</v>
      </c>
      <c r="P209" s="360"/>
      <c r="S209" s="243"/>
    </row>
    <row r="210" spans="1:19">
      <c r="A210" s="605">
        <f t="shared" si="46"/>
        <v>196</v>
      </c>
      <c r="B210" s="619">
        <v>39905</v>
      </c>
      <c r="C210" s="98" t="s">
        <v>471</v>
      </c>
      <c r="D210" s="709">
        <v>0</v>
      </c>
      <c r="E210" s="341">
        <v>0</v>
      </c>
      <c r="F210" s="345">
        <f t="shared" si="62"/>
        <v>0</v>
      </c>
      <c r="G210" s="360">
        <f t="shared" si="67"/>
        <v>8.8999999999999996E-2</v>
      </c>
      <c r="H210" s="360">
        <f t="shared" si="65"/>
        <v>0.48899999999999999</v>
      </c>
      <c r="I210" s="345">
        <f t="shared" si="58"/>
        <v>0</v>
      </c>
      <c r="K210" s="709">
        <v>0</v>
      </c>
      <c r="L210" s="360">
        <f t="shared" si="59"/>
        <v>8.8999999999999996E-2</v>
      </c>
      <c r="M210" s="360">
        <f t="shared" si="66"/>
        <v>0.48899999999999999</v>
      </c>
      <c r="N210" s="345">
        <f t="shared" si="64"/>
        <v>0</v>
      </c>
      <c r="P210" s="360"/>
      <c r="S210" s="243"/>
    </row>
    <row r="211" spans="1:19">
      <c r="A211" s="605">
        <f t="shared" si="46"/>
        <v>197</v>
      </c>
      <c r="B211" s="619">
        <v>39906</v>
      </c>
      <c r="C211" s="98" t="s">
        <v>429</v>
      </c>
      <c r="D211" s="709">
        <v>4523645.0749836192</v>
      </c>
      <c r="E211" s="341">
        <v>0</v>
      </c>
      <c r="F211" s="345">
        <f t="shared" si="62"/>
        <v>4523645.0749836192</v>
      </c>
      <c r="G211" s="360">
        <f t="shared" si="67"/>
        <v>8.8999999999999996E-2</v>
      </c>
      <c r="H211" s="360">
        <f t="shared" si="65"/>
        <v>0.48899999999999999</v>
      </c>
      <c r="I211" s="345">
        <f t="shared" si="58"/>
        <v>196873.5573083621</v>
      </c>
      <c r="K211" s="709">
        <v>4529780.4356537191</v>
      </c>
      <c r="L211" s="360">
        <f t="shared" si="59"/>
        <v>8.8999999999999996E-2</v>
      </c>
      <c r="M211" s="360">
        <f t="shared" si="66"/>
        <v>0.48899999999999999</v>
      </c>
      <c r="N211" s="345">
        <f t="shared" si="64"/>
        <v>197140.5743400855</v>
      </c>
      <c r="P211" s="360"/>
      <c r="S211" s="243"/>
    </row>
    <row r="212" spans="1:19">
      <c r="A212" s="605">
        <f t="shared" ref="A212:A268" si="68">A211+1</f>
        <v>198</v>
      </c>
      <c r="B212" s="619">
        <v>39907</v>
      </c>
      <c r="C212" s="98" t="s">
        <v>479</v>
      </c>
      <c r="D212" s="709">
        <v>82727.77</v>
      </c>
      <c r="E212" s="341">
        <v>0</v>
      </c>
      <c r="F212" s="345">
        <f t="shared" si="62"/>
        <v>82727.77</v>
      </c>
      <c r="G212" s="360">
        <f t="shared" si="67"/>
        <v>8.8999999999999996E-2</v>
      </c>
      <c r="H212" s="360">
        <f t="shared" si="65"/>
        <v>0.48899999999999999</v>
      </c>
      <c r="I212" s="345">
        <f t="shared" si="58"/>
        <v>3600.39527817</v>
      </c>
      <c r="K212" s="709">
        <v>82727.77</v>
      </c>
      <c r="L212" s="360">
        <f t="shared" si="59"/>
        <v>8.8999999999999996E-2</v>
      </c>
      <c r="M212" s="360">
        <f t="shared" si="66"/>
        <v>0.48899999999999999</v>
      </c>
      <c r="N212" s="345">
        <f t="shared" si="64"/>
        <v>3600.39527817</v>
      </c>
      <c r="P212" s="360"/>
      <c r="S212" s="243"/>
    </row>
    <row r="213" spans="1:19">
      <c r="A213" s="605">
        <f t="shared" si="68"/>
        <v>199</v>
      </c>
      <c r="B213" s="619">
        <v>39908</v>
      </c>
      <c r="C213" s="98" t="s">
        <v>173</v>
      </c>
      <c r="D213" s="709">
        <v>111806478.92295398</v>
      </c>
      <c r="E213" s="341">
        <v>0</v>
      </c>
      <c r="F213" s="345">
        <f t="shared" si="62"/>
        <v>111806478.92295398</v>
      </c>
      <c r="G213" s="360">
        <f t="shared" si="67"/>
        <v>8.8999999999999996E-2</v>
      </c>
      <c r="H213" s="360">
        <f t="shared" si="65"/>
        <v>0.48899999999999999</v>
      </c>
      <c r="I213" s="345">
        <f t="shared" si="58"/>
        <v>4865929.7692058794</v>
      </c>
      <c r="K213" s="709">
        <v>108286377.59297197</v>
      </c>
      <c r="L213" s="360">
        <f t="shared" si="59"/>
        <v>8.8999999999999996E-2</v>
      </c>
      <c r="M213" s="360">
        <f t="shared" si="66"/>
        <v>0.48899999999999999</v>
      </c>
      <c r="N213" s="345">
        <f t="shared" si="64"/>
        <v>4712731.4392237328</v>
      </c>
      <c r="P213" s="360"/>
      <c r="S213" s="243"/>
    </row>
    <row r="214" spans="1:19">
      <c r="A214" s="605">
        <f t="shared" si="68"/>
        <v>200</v>
      </c>
      <c r="B214" s="619">
        <v>39909</v>
      </c>
      <c r="C214" s="98" t="s">
        <v>333</v>
      </c>
      <c r="D214" s="709">
        <v>0</v>
      </c>
      <c r="E214" s="341">
        <v>0</v>
      </c>
      <c r="F214" s="345">
        <f t="shared" si="62"/>
        <v>0</v>
      </c>
      <c r="G214" s="360">
        <f t="shared" si="67"/>
        <v>8.8999999999999996E-2</v>
      </c>
      <c r="H214" s="360">
        <f t="shared" si="65"/>
        <v>0.48899999999999999</v>
      </c>
      <c r="I214" s="345">
        <f t="shared" si="58"/>
        <v>0</v>
      </c>
      <c r="K214" s="709">
        <v>0</v>
      </c>
      <c r="L214" s="360">
        <f t="shared" ref="L214:L218" si="69">G214</f>
        <v>8.8999999999999996E-2</v>
      </c>
      <c r="M214" s="360">
        <f t="shared" si="66"/>
        <v>0.48899999999999999</v>
      </c>
      <c r="N214" s="345">
        <f t="shared" si="64"/>
        <v>0</v>
      </c>
      <c r="P214" s="360"/>
      <c r="S214" s="243"/>
    </row>
    <row r="215" spans="1:19">
      <c r="A215" s="605">
        <f t="shared" si="68"/>
        <v>201</v>
      </c>
      <c r="B215" s="619">
        <v>39921</v>
      </c>
      <c r="C215" s="98" t="s">
        <v>1415</v>
      </c>
      <c r="D215" s="709">
        <v>20020796.463997133</v>
      </c>
      <c r="E215" s="341">
        <v>0</v>
      </c>
      <c r="F215" s="345">
        <f t="shared" si="62"/>
        <v>20020796.463997133</v>
      </c>
      <c r="G215" s="267">
        <v>1</v>
      </c>
      <c r="H215" s="360">
        <f>$H$204</f>
        <v>5.5924710000000002E-2</v>
      </c>
      <c r="I215" s="345">
        <f t="shared" si="58"/>
        <v>1119657.2362180653</v>
      </c>
      <c r="K215" s="709">
        <v>15816787.204963325</v>
      </c>
      <c r="L215" s="267">
        <v>1</v>
      </c>
      <c r="M215" s="360">
        <f t="shared" si="66"/>
        <v>5.5924710000000002E-2</v>
      </c>
      <c r="N215" s="345">
        <f t="shared" si="64"/>
        <v>884549.23756928451</v>
      </c>
      <c r="P215" s="360"/>
      <c r="S215" s="243"/>
    </row>
    <row r="216" spans="1:19">
      <c r="A216" s="605">
        <f t="shared" si="68"/>
        <v>202</v>
      </c>
      <c r="B216" s="619">
        <v>39922</v>
      </c>
      <c r="C216" s="98" t="s">
        <v>1416</v>
      </c>
      <c r="D216" s="709">
        <v>5425528.7999999998</v>
      </c>
      <c r="E216" s="341">
        <v>0</v>
      </c>
      <c r="F216" s="345">
        <f t="shared" si="62"/>
        <v>5425528.7999999998</v>
      </c>
      <c r="G216" s="267">
        <v>1</v>
      </c>
      <c r="H216" s="360">
        <f t="shared" ref="H216:H217" si="70">$H$204</f>
        <v>5.5924710000000002E-2</v>
      </c>
      <c r="I216" s="345">
        <f t="shared" si="58"/>
        <v>303421.12473664799</v>
      </c>
      <c r="K216" s="709">
        <v>5425528.7999999989</v>
      </c>
      <c r="L216" s="267">
        <v>1</v>
      </c>
      <c r="M216" s="360">
        <f t="shared" si="66"/>
        <v>5.5924710000000002E-2</v>
      </c>
      <c r="N216" s="345">
        <f t="shared" si="64"/>
        <v>303421.12473664794</v>
      </c>
      <c r="P216" s="360"/>
      <c r="S216" s="243"/>
    </row>
    <row r="217" spans="1:19">
      <c r="A217" s="605">
        <f t="shared" si="68"/>
        <v>203</v>
      </c>
      <c r="B217" s="619">
        <v>39923</v>
      </c>
      <c r="C217" s="98" t="s">
        <v>1417</v>
      </c>
      <c r="D217" s="709">
        <v>1500128.8587111414</v>
      </c>
      <c r="E217" s="341">
        <v>0</v>
      </c>
      <c r="F217" s="345">
        <f t="shared" si="62"/>
        <v>1500128.8587111414</v>
      </c>
      <c r="G217" s="267">
        <v>1</v>
      </c>
      <c r="H217" s="360">
        <f t="shared" si="70"/>
        <v>5.5924710000000002E-2</v>
      </c>
      <c r="I217" s="345">
        <f t="shared" si="58"/>
        <v>83894.271386051565</v>
      </c>
      <c r="K217" s="709">
        <v>1245267.8233388497</v>
      </c>
      <c r="L217" s="267">
        <v>1</v>
      </c>
      <c r="M217" s="360">
        <f t="shared" si="66"/>
        <v>5.5924710000000002E-2</v>
      </c>
      <c r="N217" s="345">
        <f t="shared" si="64"/>
        <v>69641.241892556398</v>
      </c>
      <c r="P217" s="360"/>
      <c r="S217" s="243"/>
    </row>
    <row r="218" spans="1:19">
      <c r="A218" s="605">
        <f t="shared" si="68"/>
        <v>204</v>
      </c>
      <c r="B218" s="619">
        <v>39924</v>
      </c>
      <c r="C218" s="98" t="s">
        <v>1311</v>
      </c>
      <c r="D218" s="709">
        <v>0</v>
      </c>
      <c r="E218" s="341">
        <v>0</v>
      </c>
      <c r="F218" s="345">
        <f t="shared" si="62"/>
        <v>0</v>
      </c>
      <c r="G218" s="360">
        <f t="shared" si="67"/>
        <v>8.8999999999999996E-2</v>
      </c>
      <c r="H218" s="360">
        <f t="shared" si="65"/>
        <v>0.48899999999999999</v>
      </c>
      <c r="I218" s="345">
        <f t="shared" si="58"/>
        <v>0</v>
      </c>
      <c r="K218" s="709">
        <v>0</v>
      </c>
      <c r="L218" s="360">
        <f t="shared" si="69"/>
        <v>8.8999999999999996E-2</v>
      </c>
      <c r="M218" s="360">
        <f t="shared" si="66"/>
        <v>0.48899999999999999</v>
      </c>
      <c r="N218" s="345">
        <f t="shared" si="64"/>
        <v>0</v>
      </c>
      <c r="P218" s="360"/>
      <c r="S218" s="243"/>
    </row>
    <row r="219" spans="1:19">
      <c r="A219" s="605">
        <f t="shared" si="68"/>
        <v>205</v>
      </c>
      <c r="B219" s="619">
        <v>39926</v>
      </c>
      <c r="C219" s="98" t="s">
        <v>1426</v>
      </c>
      <c r="D219" s="709">
        <v>146532.46</v>
      </c>
      <c r="E219" s="341">
        <v>0</v>
      </c>
      <c r="F219" s="345">
        <f t="shared" si="62"/>
        <v>146532.46</v>
      </c>
      <c r="G219" s="267">
        <v>1</v>
      </c>
      <c r="H219" s="360">
        <f>$H$204</f>
        <v>5.5924710000000002E-2</v>
      </c>
      <c r="I219" s="345">
        <f t="shared" si="58"/>
        <v>8194.7853310865994</v>
      </c>
      <c r="K219" s="709">
        <v>146532.46</v>
      </c>
      <c r="L219" s="267">
        <v>1</v>
      </c>
      <c r="M219" s="360">
        <f t="shared" si="66"/>
        <v>5.5924710000000002E-2</v>
      </c>
      <c r="N219" s="345">
        <f t="shared" si="64"/>
        <v>8194.7853310865994</v>
      </c>
      <c r="P219" s="360"/>
      <c r="S219" s="243"/>
    </row>
    <row r="220" spans="1:19">
      <c r="A220" s="605">
        <f t="shared" si="68"/>
        <v>206</v>
      </c>
      <c r="B220" s="619">
        <v>39928</v>
      </c>
      <c r="C220" s="98" t="s">
        <v>1427</v>
      </c>
      <c r="D220" s="709">
        <v>29590571.550000001</v>
      </c>
      <c r="E220" s="341">
        <v>0</v>
      </c>
      <c r="F220" s="345">
        <f t="shared" si="62"/>
        <v>29590571.550000001</v>
      </c>
      <c r="G220" s="267">
        <v>1</v>
      </c>
      <c r="H220" s="360">
        <f t="shared" ref="H220" si="71">$H$204</f>
        <v>5.5924710000000002E-2</v>
      </c>
      <c r="I220" s="345">
        <f t="shared" si="58"/>
        <v>1654844.1326680006</v>
      </c>
      <c r="K220" s="709">
        <v>29590571.550000008</v>
      </c>
      <c r="L220" s="267">
        <v>1</v>
      </c>
      <c r="M220" s="360">
        <f t="shared" si="66"/>
        <v>5.5924710000000002E-2</v>
      </c>
      <c r="N220" s="345">
        <f t="shared" si="64"/>
        <v>1654844.1326680011</v>
      </c>
      <c r="P220" s="360"/>
      <c r="S220" s="243"/>
    </row>
    <row r="221" spans="1:19">
      <c r="A221" s="605">
        <f t="shared" si="68"/>
        <v>207</v>
      </c>
      <c r="B221" s="619">
        <v>39931</v>
      </c>
      <c r="C221" s="98" t="s">
        <v>1428</v>
      </c>
      <c r="D221" s="709">
        <v>297266.61</v>
      </c>
      <c r="E221" s="341">
        <v>0</v>
      </c>
      <c r="F221" s="345">
        <f t="shared" si="62"/>
        <v>297266.61</v>
      </c>
      <c r="G221" s="267">
        <v>1</v>
      </c>
      <c r="H221" s="684">
        <f>Allocation!$E$23</f>
        <v>3.5999389999999999E-2</v>
      </c>
      <c r="I221" s="345">
        <f t="shared" si="58"/>
        <v>10701.416627367898</v>
      </c>
      <c r="K221" s="709">
        <v>297266.60999999993</v>
      </c>
      <c r="L221" s="267">
        <v>1</v>
      </c>
      <c r="M221" s="360">
        <f t="shared" si="66"/>
        <v>3.5999389999999999E-2</v>
      </c>
      <c r="N221" s="345">
        <f t="shared" si="64"/>
        <v>10701.416627367897</v>
      </c>
      <c r="P221" s="360"/>
      <c r="S221" s="243"/>
    </row>
    <row r="222" spans="1:19">
      <c r="A222" s="605">
        <f t="shared" si="68"/>
        <v>208</v>
      </c>
      <c r="B222" s="619">
        <v>39932</v>
      </c>
      <c r="C222" s="98" t="s">
        <v>1429</v>
      </c>
      <c r="D222" s="709">
        <v>783916.61</v>
      </c>
      <c r="E222" s="341">
        <v>0</v>
      </c>
      <c r="F222" s="345">
        <f t="shared" si="62"/>
        <v>783916.61</v>
      </c>
      <c r="G222" s="267">
        <v>1</v>
      </c>
      <c r="H222" s="684">
        <f>Allocation!$E$23</f>
        <v>3.5999389999999999E-2</v>
      </c>
      <c r="I222" s="345">
        <f t="shared" si="58"/>
        <v>28220.519770867901</v>
      </c>
      <c r="K222" s="709">
        <v>783916.61</v>
      </c>
      <c r="L222" s="267">
        <v>1</v>
      </c>
      <c r="M222" s="360">
        <f t="shared" si="66"/>
        <v>3.5999389999999999E-2</v>
      </c>
      <c r="N222" s="345">
        <f t="shared" si="64"/>
        <v>28220.519770867901</v>
      </c>
      <c r="P222" s="360"/>
      <c r="S222" s="243"/>
    </row>
    <row r="223" spans="1:19">
      <c r="A223" s="605">
        <f t="shared" si="68"/>
        <v>209</v>
      </c>
      <c r="B223" s="619">
        <v>39938</v>
      </c>
      <c r="C223" s="98" t="s">
        <v>1430</v>
      </c>
      <c r="D223" s="709">
        <v>21123036.719999999</v>
      </c>
      <c r="E223" s="341">
        <v>0</v>
      </c>
      <c r="F223" s="345">
        <f t="shared" si="62"/>
        <v>21123036.719999999</v>
      </c>
      <c r="G223" s="267">
        <v>1</v>
      </c>
      <c r="H223" s="684">
        <f>Allocation!$E$23</f>
        <v>3.5999389999999999E-2</v>
      </c>
      <c r="I223" s="345">
        <f t="shared" si="58"/>
        <v>760416.43686760077</v>
      </c>
      <c r="K223" s="709">
        <v>21123036.720000003</v>
      </c>
      <c r="L223" s="267">
        <v>1</v>
      </c>
      <c r="M223" s="360">
        <f t="shared" si="66"/>
        <v>3.5999389999999999E-2</v>
      </c>
      <c r="N223" s="345">
        <f t="shared" si="64"/>
        <v>760416.43686760089</v>
      </c>
      <c r="P223" s="360"/>
      <c r="S223" s="243"/>
    </row>
    <row r="224" spans="1:19">
      <c r="A224" s="605">
        <f t="shared" si="68"/>
        <v>210</v>
      </c>
      <c r="B224" s="428"/>
      <c r="C224" s="445"/>
      <c r="D224" s="339"/>
      <c r="E224" s="339"/>
      <c r="F224" s="339"/>
      <c r="I224" s="339"/>
      <c r="K224" s="339"/>
      <c r="N224" s="339"/>
    </row>
    <row r="225" spans="1:19" ht="15.75" thickBot="1">
      <c r="A225" s="605">
        <f t="shared" si="68"/>
        <v>211</v>
      </c>
      <c r="B225" s="553"/>
      <c r="C225" s="98" t="s">
        <v>1248</v>
      </c>
      <c r="D225" s="715">
        <f>SUM(D186:D223)</f>
        <v>334796633.87945962</v>
      </c>
      <c r="E225" s="715">
        <f>SUM(E186:E223)</f>
        <v>0</v>
      </c>
      <c r="F225" s="715">
        <f>SUM(F186:F223)</f>
        <v>334796633.87945962</v>
      </c>
      <c r="I225" s="715">
        <f>SUM(I186:I223)</f>
        <v>14686668.942316037</v>
      </c>
      <c r="K225" s="715">
        <f>SUM(K186:K223)</f>
        <v>314386046.38523698</v>
      </c>
      <c r="N225" s="715">
        <f>SUM(N186:N223)</f>
        <v>13743073.229920546</v>
      </c>
    </row>
    <row r="226" spans="1:19" ht="15.75" thickTop="1">
      <c r="A226" s="605">
        <f t="shared" si="68"/>
        <v>212</v>
      </c>
      <c r="B226" s="547"/>
      <c r="C226" s="4"/>
      <c r="D226" s="186"/>
      <c r="E226" s="189"/>
      <c r="F226" s="189"/>
      <c r="I226" s="189"/>
    </row>
    <row r="227" spans="1:19">
      <c r="A227" s="605">
        <f t="shared" si="68"/>
        <v>213</v>
      </c>
      <c r="B227" s="547"/>
      <c r="C227" s="1"/>
      <c r="D227" s="706"/>
      <c r="E227" s="713"/>
      <c r="F227" s="713"/>
      <c r="G227" s="360"/>
      <c r="H227" s="360"/>
      <c r="I227" s="713"/>
      <c r="K227" s="706"/>
      <c r="L227" s="360"/>
      <c r="M227" s="360"/>
      <c r="N227" s="713"/>
    </row>
    <row r="228" spans="1:19">
      <c r="A228" s="605">
        <f t="shared" si="68"/>
        <v>214</v>
      </c>
      <c r="B228" s="547"/>
    </row>
    <row r="229" spans="1:19" ht="15.75">
      <c r="A229" s="605">
        <f t="shared" si="68"/>
        <v>215</v>
      </c>
      <c r="B229" s="550" t="s">
        <v>8</v>
      </c>
    </row>
    <row r="230" spans="1:19">
      <c r="A230" s="605">
        <f t="shared" si="68"/>
        <v>216</v>
      </c>
      <c r="B230" s="547"/>
    </row>
    <row r="231" spans="1:19">
      <c r="A231" s="605">
        <f t="shared" si="68"/>
        <v>217</v>
      </c>
      <c r="B231" s="553"/>
      <c r="C231" s="16" t="s">
        <v>292</v>
      </c>
      <c r="H231" s="188"/>
    </row>
    <row r="232" spans="1:19">
      <c r="A232" s="605">
        <f t="shared" si="68"/>
        <v>218</v>
      </c>
      <c r="B232" s="619">
        <v>38900</v>
      </c>
      <c r="C232" s="98" t="s">
        <v>283</v>
      </c>
      <c r="D232" s="706">
        <v>2874239.86</v>
      </c>
      <c r="E232" s="203">
        <v>0</v>
      </c>
      <c r="F232" s="707">
        <f t="shared" ref="F232:F260" si="72">D232+E232</f>
        <v>2874239.86</v>
      </c>
      <c r="G232" s="684">
        <f>Allocation!$C$15</f>
        <v>0.1086</v>
      </c>
      <c r="H232" s="684">
        <f>Allocation!$D$15</f>
        <v>0.48899999999999999</v>
      </c>
      <c r="I232" s="707">
        <f t="shared" ref="I232:I235" si="73">F232*G232*H232</f>
        <v>152637.657461244</v>
      </c>
      <c r="K232" s="706">
        <v>2874239.86</v>
      </c>
      <c r="L232" s="360">
        <f t="shared" ref="L232:L255" si="74">G232</f>
        <v>0.1086</v>
      </c>
      <c r="M232" s="360">
        <f t="shared" ref="M232:M255" si="75">H232</f>
        <v>0.48899999999999999</v>
      </c>
      <c r="N232" s="707">
        <f t="shared" ref="N232:N260" si="76">K232*L232*M232</f>
        <v>152637.657461244</v>
      </c>
      <c r="P232" s="360"/>
      <c r="S232" s="243"/>
    </row>
    <row r="233" spans="1:19">
      <c r="A233" s="605">
        <f t="shared" si="68"/>
        <v>219</v>
      </c>
      <c r="B233" s="619">
        <v>38910</v>
      </c>
      <c r="C233" s="98" t="s">
        <v>1156</v>
      </c>
      <c r="D233" s="709">
        <v>1886442.92</v>
      </c>
      <c r="E233" s="248">
        <v>0</v>
      </c>
      <c r="F233" s="716">
        <f>D233+E233</f>
        <v>1886442.92</v>
      </c>
      <c r="G233" s="267">
        <v>1</v>
      </c>
      <c r="H233" s="684">
        <f>Allocation!$E$21</f>
        <v>2.983098E-2</v>
      </c>
      <c r="I233" s="345">
        <f>F233*G233*H233</f>
        <v>56274.4410176616</v>
      </c>
      <c r="K233" s="709">
        <v>1886442.9200000006</v>
      </c>
      <c r="L233" s="360">
        <f>G233</f>
        <v>1</v>
      </c>
      <c r="M233" s="360">
        <f>H233</f>
        <v>2.983098E-2</v>
      </c>
      <c r="N233" s="345">
        <f>K233*L233*M233</f>
        <v>56274.441017661622</v>
      </c>
      <c r="P233" s="360"/>
      <c r="S233" s="243"/>
    </row>
    <row r="234" spans="1:19">
      <c r="A234" s="605">
        <f t="shared" si="68"/>
        <v>220</v>
      </c>
      <c r="B234" s="619">
        <v>39000</v>
      </c>
      <c r="C234" s="98" t="s">
        <v>825</v>
      </c>
      <c r="D234" s="709">
        <v>13602813.181846898</v>
      </c>
      <c r="E234" s="248">
        <v>0</v>
      </c>
      <c r="F234" s="716">
        <f t="shared" si="72"/>
        <v>13602813.181846898</v>
      </c>
      <c r="G234" s="360">
        <f>$G$232</f>
        <v>0.1086</v>
      </c>
      <c r="H234" s="360">
        <f>$H$232</f>
        <v>0.48899999999999999</v>
      </c>
      <c r="I234" s="345">
        <f t="shared" si="73"/>
        <v>722382.83514725231</v>
      </c>
      <c r="K234" s="709">
        <v>13584463.493271984</v>
      </c>
      <c r="L234" s="360">
        <f t="shared" si="74"/>
        <v>0.1086</v>
      </c>
      <c r="M234" s="360">
        <f t="shared" si="75"/>
        <v>0.48899999999999999</v>
      </c>
      <c r="N234" s="345">
        <f t="shared" si="76"/>
        <v>721408.36759560602</v>
      </c>
      <c r="P234" s="360"/>
      <c r="S234" s="243"/>
    </row>
    <row r="235" spans="1:19">
      <c r="A235" s="605">
        <f t="shared" si="68"/>
        <v>221</v>
      </c>
      <c r="B235" s="619">
        <v>39009</v>
      </c>
      <c r="C235" s="98" t="s">
        <v>997</v>
      </c>
      <c r="D235" s="709">
        <v>3170597.68</v>
      </c>
      <c r="E235" s="248">
        <v>0</v>
      </c>
      <c r="F235" s="716">
        <f t="shared" si="72"/>
        <v>3170597.68</v>
      </c>
      <c r="G235" s="360">
        <f>$G$232</f>
        <v>0.1086</v>
      </c>
      <c r="H235" s="360">
        <f>$H$232</f>
        <v>0.48899999999999999</v>
      </c>
      <c r="I235" s="345">
        <f t="shared" si="73"/>
        <v>168375.85803547199</v>
      </c>
      <c r="K235" s="709">
        <v>3170597.68</v>
      </c>
      <c r="L235" s="360">
        <f t="shared" si="74"/>
        <v>0.1086</v>
      </c>
      <c r="M235" s="360">
        <f t="shared" si="75"/>
        <v>0.48899999999999999</v>
      </c>
      <c r="N235" s="345">
        <f t="shared" si="76"/>
        <v>168375.85803547199</v>
      </c>
      <c r="P235" s="360"/>
      <c r="S235" s="243"/>
    </row>
    <row r="236" spans="1:19">
      <c r="A236" s="605">
        <f t="shared" si="68"/>
        <v>222</v>
      </c>
      <c r="B236" s="619">
        <v>39010</v>
      </c>
      <c r="C236" s="98" t="s">
        <v>1157</v>
      </c>
      <c r="D236" s="709">
        <v>12590702.67</v>
      </c>
      <c r="E236" s="248">
        <v>0</v>
      </c>
      <c r="F236" s="716">
        <f>D236+E236</f>
        <v>12590702.67</v>
      </c>
      <c r="G236" s="267">
        <v>1</v>
      </c>
      <c r="H236" s="360">
        <f>$H$233</f>
        <v>2.983098E-2</v>
      </c>
      <c r="I236" s="345">
        <f>F236*G236*H236</f>
        <v>375592.9995347166</v>
      </c>
      <c r="K236" s="709">
        <v>12590702.669999998</v>
      </c>
      <c r="L236" s="360">
        <f>G236</f>
        <v>1</v>
      </c>
      <c r="M236" s="360">
        <f>H236</f>
        <v>2.983098E-2</v>
      </c>
      <c r="N236" s="345">
        <f>K236*L236*M236</f>
        <v>375592.99953471654</v>
      </c>
      <c r="P236" s="360"/>
      <c r="S236" s="243"/>
    </row>
    <row r="237" spans="1:19">
      <c r="A237" s="605">
        <f t="shared" si="68"/>
        <v>223</v>
      </c>
      <c r="B237" s="619">
        <v>39100</v>
      </c>
      <c r="C237" s="98" t="s">
        <v>749</v>
      </c>
      <c r="D237" s="709">
        <v>2730257.91</v>
      </c>
      <c r="E237" s="248">
        <v>0</v>
      </c>
      <c r="F237" s="716">
        <f t="shared" si="72"/>
        <v>2730257.91</v>
      </c>
      <c r="G237" s="360">
        <f>$G$232</f>
        <v>0.1086</v>
      </c>
      <c r="H237" s="360">
        <f>$H$232</f>
        <v>0.48899999999999999</v>
      </c>
      <c r="I237" s="345">
        <f t="shared" ref="I237:I260" si="77">F237*G237*H237</f>
        <v>144991.43841371403</v>
      </c>
      <c r="K237" s="709">
        <v>2730257.9099999997</v>
      </c>
      <c r="L237" s="360">
        <f t="shared" si="74"/>
        <v>0.1086</v>
      </c>
      <c r="M237" s="360">
        <f t="shared" si="75"/>
        <v>0.48899999999999999</v>
      </c>
      <c r="N237" s="345">
        <f t="shared" si="76"/>
        <v>144991.438413714</v>
      </c>
      <c r="P237" s="360"/>
      <c r="S237" s="243"/>
    </row>
    <row r="238" spans="1:19">
      <c r="A238" s="605">
        <f t="shared" si="68"/>
        <v>224</v>
      </c>
      <c r="B238" s="619">
        <v>39101</v>
      </c>
      <c r="C238" s="98" t="s">
        <v>1408</v>
      </c>
      <c r="D238" s="709">
        <v>0</v>
      </c>
      <c r="E238" s="248">
        <v>0</v>
      </c>
      <c r="F238" s="716">
        <f t="shared" si="72"/>
        <v>0</v>
      </c>
      <c r="G238" s="684">
        <f>Allocation!$C$15</f>
        <v>0.1086</v>
      </c>
      <c r="H238" s="684">
        <f>Allocation!$D$15</f>
        <v>0.48899999999999999</v>
      </c>
      <c r="I238" s="345">
        <f t="shared" si="77"/>
        <v>0</v>
      </c>
      <c r="K238" s="709">
        <v>0</v>
      </c>
      <c r="L238" s="684">
        <f>Allocation!$C$15</f>
        <v>0.1086</v>
      </c>
      <c r="M238" s="684">
        <f>Allocation!$D$15</f>
        <v>0.48899999999999999</v>
      </c>
      <c r="N238" s="345">
        <f t="shared" si="76"/>
        <v>0</v>
      </c>
      <c r="P238" s="360"/>
      <c r="S238" s="243"/>
    </row>
    <row r="239" spans="1:19">
      <c r="A239" s="605">
        <f t="shared" si="68"/>
        <v>225</v>
      </c>
      <c r="B239" s="619">
        <v>39102</v>
      </c>
      <c r="C239" s="98" t="s">
        <v>1418</v>
      </c>
      <c r="D239" s="709">
        <v>0</v>
      </c>
      <c r="E239" s="248">
        <v>0</v>
      </c>
      <c r="F239" s="716">
        <f t="shared" si="72"/>
        <v>0</v>
      </c>
      <c r="G239" s="684">
        <f>Allocation!$C$15</f>
        <v>0.1086</v>
      </c>
      <c r="H239" s="684">
        <f>Allocation!$D$15</f>
        <v>0.48899999999999999</v>
      </c>
      <c r="I239" s="345">
        <f t="shared" si="77"/>
        <v>0</v>
      </c>
      <c r="K239" s="709">
        <v>0</v>
      </c>
      <c r="L239" s="684">
        <f>Allocation!$C$15</f>
        <v>0.1086</v>
      </c>
      <c r="M239" s="684">
        <f>Allocation!$D$15</f>
        <v>0.48899999999999999</v>
      </c>
      <c r="N239" s="345">
        <f t="shared" si="76"/>
        <v>0</v>
      </c>
      <c r="P239" s="360"/>
      <c r="S239" s="243"/>
    </row>
    <row r="240" spans="1:19">
      <c r="A240" s="605">
        <f t="shared" si="68"/>
        <v>226</v>
      </c>
      <c r="B240" s="619">
        <v>39103</v>
      </c>
      <c r="C240" s="98" t="s">
        <v>1250</v>
      </c>
      <c r="D240" s="709">
        <v>0</v>
      </c>
      <c r="E240" s="248">
        <v>0</v>
      </c>
      <c r="F240" s="716">
        <f t="shared" si="72"/>
        <v>0</v>
      </c>
      <c r="G240" s="360">
        <f>$G$232</f>
        <v>0.1086</v>
      </c>
      <c r="H240" s="360">
        <f>$H$232</f>
        <v>0.48899999999999999</v>
      </c>
      <c r="I240" s="345">
        <f t="shared" si="77"/>
        <v>0</v>
      </c>
      <c r="K240" s="709">
        <v>0</v>
      </c>
      <c r="L240" s="360">
        <f t="shared" ref="L240:L244" si="78">G240</f>
        <v>0.1086</v>
      </c>
      <c r="M240" s="360">
        <f t="shared" ref="M240:M244" si="79">H240</f>
        <v>0.48899999999999999</v>
      </c>
      <c r="N240" s="345">
        <f t="shared" si="76"/>
        <v>0</v>
      </c>
      <c r="P240" s="360"/>
      <c r="S240" s="243"/>
    </row>
    <row r="241" spans="1:19">
      <c r="A241" s="605">
        <f t="shared" si="68"/>
        <v>227</v>
      </c>
      <c r="B241" s="619">
        <v>39110</v>
      </c>
      <c r="C241" s="98" t="s">
        <v>1419</v>
      </c>
      <c r="D241" s="709">
        <v>1080088.7774811932</v>
      </c>
      <c r="E241" s="248">
        <v>0</v>
      </c>
      <c r="F241" s="716">
        <f t="shared" si="72"/>
        <v>1080088.7774811932</v>
      </c>
      <c r="G241" s="267">
        <v>1</v>
      </c>
      <c r="H241" s="684">
        <f>Allocation!$E$21</f>
        <v>2.983098E-2</v>
      </c>
      <c r="I241" s="345">
        <f t="shared" si="77"/>
        <v>32220.106719265925</v>
      </c>
      <c r="K241" s="709">
        <v>979712.92663064122</v>
      </c>
      <c r="L241" s="360">
        <f t="shared" si="78"/>
        <v>1</v>
      </c>
      <c r="M241" s="360">
        <f t="shared" si="79"/>
        <v>2.983098E-2</v>
      </c>
      <c r="N241" s="345">
        <f t="shared" si="76"/>
        <v>29225.796720060127</v>
      </c>
      <c r="P241" s="360"/>
      <c r="S241" s="243"/>
    </row>
    <row r="242" spans="1:19">
      <c r="A242" s="605">
        <f t="shared" si="68"/>
        <v>228</v>
      </c>
      <c r="B242" s="619">
        <v>39210</v>
      </c>
      <c r="C242" s="98" t="s">
        <v>1420</v>
      </c>
      <c r="D242" s="709">
        <v>74993.77</v>
      </c>
      <c r="E242" s="248">
        <v>0</v>
      </c>
      <c r="F242" s="716">
        <f t="shared" si="72"/>
        <v>74993.77</v>
      </c>
      <c r="G242" s="267">
        <v>1</v>
      </c>
      <c r="H242" s="684">
        <f>Allocation!$E$21</f>
        <v>2.983098E-2</v>
      </c>
      <c r="I242" s="345">
        <f t="shared" si="77"/>
        <v>2237.1376529946001</v>
      </c>
      <c r="K242" s="709">
        <v>74993.77</v>
      </c>
      <c r="L242" s="360">
        <f t="shared" si="78"/>
        <v>1</v>
      </c>
      <c r="M242" s="360">
        <f t="shared" si="79"/>
        <v>2.983098E-2</v>
      </c>
      <c r="N242" s="345">
        <f t="shared" si="76"/>
        <v>2237.1376529946001</v>
      </c>
      <c r="P242" s="360"/>
      <c r="S242" s="243"/>
    </row>
    <row r="243" spans="1:19">
      <c r="A243" s="605">
        <f t="shared" si="68"/>
        <v>229</v>
      </c>
      <c r="B243" s="619">
        <v>39410</v>
      </c>
      <c r="C243" s="98" t="s">
        <v>1421</v>
      </c>
      <c r="D243" s="709">
        <v>726197.34628957661</v>
      </c>
      <c r="E243" s="248">
        <v>0</v>
      </c>
      <c r="F243" s="716">
        <f t="shared" si="72"/>
        <v>726197.34628957661</v>
      </c>
      <c r="G243" s="267">
        <v>1</v>
      </c>
      <c r="H243" s="684">
        <f>Allocation!$E$21</f>
        <v>2.983098E-2</v>
      </c>
      <c r="I243" s="345">
        <f t="shared" si="77"/>
        <v>21663.178513217434</v>
      </c>
      <c r="K243" s="709">
        <v>712647.59800695791</v>
      </c>
      <c r="L243" s="360">
        <f t="shared" si="78"/>
        <v>1</v>
      </c>
      <c r="M243" s="360">
        <f t="shared" si="79"/>
        <v>2.983098E-2</v>
      </c>
      <c r="N243" s="345">
        <f t="shared" si="76"/>
        <v>21258.9762431936</v>
      </c>
      <c r="P243" s="360"/>
      <c r="S243" s="243"/>
    </row>
    <row r="244" spans="1:19">
      <c r="A244" s="605">
        <f t="shared" si="68"/>
        <v>230</v>
      </c>
      <c r="B244" s="619">
        <v>39510</v>
      </c>
      <c r="C244" s="98" t="s">
        <v>1422</v>
      </c>
      <c r="D244" s="709">
        <v>0</v>
      </c>
      <c r="E244" s="248">
        <v>0</v>
      </c>
      <c r="F244" s="716">
        <f t="shared" si="72"/>
        <v>0</v>
      </c>
      <c r="G244" s="267">
        <v>1</v>
      </c>
      <c r="H244" s="684">
        <f>Allocation!$E$21</f>
        <v>2.983098E-2</v>
      </c>
      <c r="I244" s="345">
        <f t="shared" si="77"/>
        <v>0</v>
      </c>
      <c r="K244" s="709">
        <v>0</v>
      </c>
      <c r="L244" s="360">
        <f t="shared" si="78"/>
        <v>1</v>
      </c>
      <c r="M244" s="360">
        <f t="shared" si="79"/>
        <v>2.983098E-2</v>
      </c>
      <c r="N244" s="345">
        <f t="shared" si="76"/>
        <v>0</v>
      </c>
      <c r="P244" s="360"/>
      <c r="S244" s="243"/>
    </row>
    <row r="245" spans="1:19">
      <c r="A245" s="605">
        <f t="shared" si="68"/>
        <v>231</v>
      </c>
      <c r="B245" s="619">
        <v>39700</v>
      </c>
      <c r="C245" s="98" t="s">
        <v>418</v>
      </c>
      <c r="D245" s="709">
        <v>1913117.1099999999</v>
      </c>
      <c r="E245" s="248">
        <v>0</v>
      </c>
      <c r="F245" s="716">
        <f t="shared" si="72"/>
        <v>1913117.1099999999</v>
      </c>
      <c r="G245" s="360">
        <f>$G$232</f>
        <v>0.1086</v>
      </c>
      <c r="H245" s="360">
        <f>$H$232</f>
        <v>0.48899999999999999</v>
      </c>
      <c r="I245" s="345">
        <f t="shared" si="77"/>
        <v>101596.849373394</v>
      </c>
      <c r="K245" s="709">
        <v>1913117.1099999996</v>
      </c>
      <c r="L245" s="360">
        <f t="shared" si="74"/>
        <v>0.1086</v>
      </c>
      <c r="M245" s="360">
        <f t="shared" si="75"/>
        <v>0.48899999999999999</v>
      </c>
      <c r="N245" s="345">
        <f t="shared" si="76"/>
        <v>101596.84937339398</v>
      </c>
      <c r="P245" s="360"/>
      <c r="S245" s="243"/>
    </row>
    <row r="246" spans="1:19">
      <c r="A246" s="605">
        <f t="shared" si="68"/>
        <v>232</v>
      </c>
      <c r="B246" s="619">
        <v>39710</v>
      </c>
      <c r="C246" s="98" t="s">
        <v>1158</v>
      </c>
      <c r="D246" s="709">
        <v>92838.24</v>
      </c>
      <c r="E246" s="248">
        <v>0</v>
      </c>
      <c r="F246" s="716">
        <f t="shared" si="72"/>
        <v>92838.24</v>
      </c>
      <c r="G246" s="267">
        <v>1</v>
      </c>
      <c r="H246" s="360">
        <f>$H$233</f>
        <v>2.983098E-2</v>
      </c>
      <c r="I246" s="345">
        <f t="shared" si="77"/>
        <v>2769.4556806752003</v>
      </c>
      <c r="K246" s="709">
        <v>92838.24</v>
      </c>
      <c r="L246" s="360">
        <f>G246</f>
        <v>1</v>
      </c>
      <c r="M246" s="360">
        <f>H246</f>
        <v>2.983098E-2</v>
      </c>
      <c r="N246" s="345">
        <f t="shared" si="76"/>
        <v>2769.4556806752003</v>
      </c>
      <c r="P246" s="360"/>
      <c r="S246" s="243"/>
    </row>
    <row r="247" spans="1:19">
      <c r="A247" s="605">
        <f t="shared" si="68"/>
        <v>233</v>
      </c>
      <c r="B247" s="619">
        <v>39800</v>
      </c>
      <c r="C247" s="98" t="s">
        <v>623</v>
      </c>
      <c r="D247" s="709">
        <v>133347.03</v>
      </c>
      <c r="E247" s="248">
        <v>0</v>
      </c>
      <c r="F247" s="716">
        <f t="shared" si="72"/>
        <v>133347.03</v>
      </c>
      <c r="G247" s="360">
        <f t="shared" ref="G247:G255" si="80">$G$232</f>
        <v>0.1086</v>
      </c>
      <c r="H247" s="360">
        <f t="shared" ref="H247:H255" si="81">$H$232</f>
        <v>0.48899999999999999</v>
      </c>
      <c r="I247" s="345">
        <f t="shared" si="77"/>
        <v>7081.4473669619993</v>
      </c>
      <c r="K247" s="709">
        <v>133347.03</v>
      </c>
      <c r="L247" s="360">
        <f t="shared" si="74"/>
        <v>0.1086</v>
      </c>
      <c r="M247" s="360">
        <f t="shared" si="75"/>
        <v>0.48899999999999999</v>
      </c>
      <c r="N247" s="345">
        <f t="shared" si="76"/>
        <v>7081.4473669619993</v>
      </c>
      <c r="P247" s="360"/>
      <c r="S247" s="243"/>
    </row>
    <row r="248" spans="1:19">
      <c r="A248" s="605">
        <f t="shared" si="68"/>
        <v>234</v>
      </c>
      <c r="B248" s="619">
        <v>39810</v>
      </c>
      <c r="C248" s="98" t="s">
        <v>1423</v>
      </c>
      <c r="D248" s="709">
        <v>822381.3316456991</v>
      </c>
      <c r="E248" s="248">
        <v>0</v>
      </c>
      <c r="F248" s="716">
        <f t="shared" si="72"/>
        <v>822381.3316456991</v>
      </c>
      <c r="G248" s="267">
        <v>1</v>
      </c>
      <c r="H248" s="684">
        <f>Allocation!$E$21</f>
        <v>2.983098E-2</v>
      </c>
      <c r="I248" s="345">
        <f t="shared" si="77"/>
        <v>24532.441056696218</v>
      </c>
      <c r="K248" s="709">
        <v>759367.16932321235</v>
      </c>
      <c r="L248" s="360">
        <f t="shared" si="74"/>
        <v>1</v>
      </c>
      <c r="M248" s="360">
        <f t="shared" si="75"/>
        <v>2.983098E-2</v>
      </c>
      <c r="N248" s="345">
        <f t="shared" si="76"/>
        <v>22652.666840737362</v>
      </c>
      <c r="P248" s="360"/>
      <c r="S248" s="243"/>
    </row>
    <row r="249" spans="1:19">
      <c r="A249" s="605">
        <f t="shared" si="68"/>
        <v>235</v>
      </c>
      <c r="B249" s="619">
        <v>39900</v>
      </c>
      <c r="C249" s="98" t="s">
        <v>1110</v>
      </c>
      <c r="D249" s="709">
        <v>0</v>
      </c>
      <c r="E249" s="248">
        <v>0</v>
      </c>
      <c r="F249" s="716">
        <f t="shared" si="72"/>
        <v>0</v>
      </c>
      <c r="G249" s="360">
        <f t="shared" si="80"/>
        <v>0.1086</v>
      </c>
      <c r="H249" s="360">
        <f t="shared" si="81"/>
        <v>0.48899999999999999</v>
      </c>
      <c r="I249" s="345">
        <f t="shared" si="77"/>
        <v>0</v>
      </c>
      <c r="K249" s="709">
        <v>0</v>
      </c>
      <c r="L249" s="360">
        <f t="shared" si="74"/>
        <v>0.1086</v>
      </c>
      <c r="M249" s="360">
        <f t="shared" si="75"/>
        <v>0.48899999999999999</v>
      </c>
      <c r="N249" s="345">
        <f t="shared" si="76"/>
        <v>0</v>
      </c>
      <c r="P249" s="360"/>
      <c r="S249" s="243"/>
    </row>
    <row r="250" spans="1:19">
      <c r="A250" s="605">
        <f t="shared" si="68"/>
        <v>236</v>
      </c>
      <c r="B250" s="619">
        <v>39901</v>
      </c>
      <c r="C250" s="98" t="s">
        <v>452</v>
      </c>
      <c r="D250" s="709">
        <v>5650663.1399999997</v>
      </c>
      <c r="E250" s="248">
        <v>0</v>
      </c>
      <c r="F250" s="716">
        <f t="shared" si="72"/>
        <v>5650663.1399999997</v>
      </c>
      <c r="G250" s="360">
        <f t="shared" si="80"/>
        <v>0.1086</v>
      </c>
      <c r="H250" s="360">
        <f t="shared" si="81"/>
        <v>0.48899999999999999</v>
      </c>
      <c r="I250" s="345">
        <f t="shared" si="77"/>
        <v>300080.72631495603</v>
      </c>
      <c r="K250" s="709">
        <v>5650663.1399999997</v>
      </c>
      <c r="L250" s="360">
        <f t="shared" si="74"/>
        <v>0.1086</v>
      </c>
      <c r="M250" s="360">
        <f t="shared" si="75"/>
        <v>0.48899999999999999</v>
      </c>
      <c r="N250" s="345">
        <f t="shared" si="76"/>
        <v>300080.72631495603</v>
      </c>
      <c r="P250" s="360"/>
      <c r="S250" s="243"/>
    </row>
    <row r="251" spans="1:19">
      <c r="A251" s="605">
        <f t="shared" si="68"/>
        <v>237</v>
      </c>
      <c r="B251" s="619">
        <v>39902</v>
      </c>
      <c r="C251" s="98" t="s">
        <v>924</v>
      </c>
      <c r="D251" s="709">
        <v>1824739.9100000001</v>
      </c>
      <c r="E251" s="248">
        <v>0</v>
      </c>
      <c r="F251" s="716">
        <f t="shared" si="72"/>
        <v>1824739.9100000001</v>
      </c>
      <c r="G251" s="360">
        <f t="shared" si="80"/>
        <v>0.1086</v>
      </c>
      <c r="H251" s="360">
        <f t="shared" si="81"/>
        <v>0.48899999999999999</v>
      </c>
      <c r="I251" s="345">
        <f t="shared" si="77"/>
        <v>96903.542816514004</v>
      </c>
      <c r="K251" s="709">
        <v>1824739.9100000001</v>
      </c>
      <c r="L251" s="360">
        <f t="shared" si="74"/>
        <v>0.1086</v>
      </c>
      <c r="M251" s="360">
        <f t="shared" si="75"/>
        <v>0.48899999999999999</v>
      </c>
      <c r="N251" s="345">
        <f t="shared" si="76"/>
        <v>96903.542816514004</v>
      </c>
      <c r="P251" s="360"/>
      <c r="S251" s="243"/>
    </row>
    <row r="252" spans="1:19">
      <c r="A252" s="605">
        <f t="shared" si="68"/>
        <v>238</v>
      </c>
      <c r="B252" s="619">
        <v>39903</v>
      </c>
      <c r="C252" s="98" t="s">
        <v>967</v>
      </c>
      <c r="D252" s="709">
        <v>659278.31000000006</v>
      </c>
      <c r="E252" s="248">
        <v>0</v>
      </c>
      <c r="F252" s="716">
        <f t="shared" si="72"/>
        <v>659278.31000000006</v>
      </c>
      <c r="G252" s="360">
        <f t="shared" si="80"/>
        <v>0.1086</v>
      </c>
      <c r="H252" s="360">
        <f t="shared" si="81"/>
        <v>0.48899999999999999</v>
      </c>
      <c r="I252" s="345">
        <f t="shared" si="77"/>
        <v>35011.238363874007</v>
      </c>
      <c r="K252" s="709">
        <v>659278.31000000029</v>
      </c>
      <c r="L252" s="360">
        <f t="shared" si="74"/>
        <v>0.1086</v>
      </c>
      <c r="M252" s="360">
        <f t="shared" si="75"/>
        <v>0.48899999999999999</v>
      </c>
      <c r="N252" s="345">
        <f t="shared" si="76"/>
        <v>35011.238363874021</v>
      </c>
      <c r="P252" s="360"/>
      <c r="S252" s="243"/>
    </row>
    <row r="253" spans="1:19">
      <c r="A253" s="605">
        <f t="shared" si="68"/>
        <v>239</v>
      </c>
      <c r="B253" s="619">
        <v>39906</v>
      </c>
      <c r="C253" s="98" t="s">
        <v>429</v>
      </c>
      <c r="D253" s="709">
        <v>1673779.5899999999</v>
      </c>
      <c r="E253" s="248">
        <v>0</v>
      </c>
      <c r="F253" s="716">
        <f t="shared" si="72"/>
        <v>1673779.5899999999</v>
      </c>
      <c r="G253" s="360">
        <f t="shared" si="80"/>
        <v>0.1086</v>
      </c>
      <c r="H253" s="360">
        <f t="shared" si="81"/>
        <v>0.48899999999999999</v>
      </c>
      <c r="I253" s="345">
        <f t="shared" si="77"/>
        <v>88886.734638785987</v>
      </c>
      <c r="K253" s="709">
        <v>1673779.5899999999</v>
      </c>
      <c r="L253" s="360">
        <f t="shared" si="74"/>
        <v>0.1086</v>
      </c>
      <c r="M253" s="360">
        <f t="shared" si="75"/>
        <v>0.48899999999999999</v>
      </c>
      <c r="N253" s="345">
        <f t="shared" si="76"/>
        <v>88886.734638785987</v>
      </c>
      <c r="P253" s="360"/>
      <c r="S253" s="243"/>
    </row>
    <row r="254" spans="1:19">
      <c r="A254" s="605">
        <f t="shared" si="68"/>
        <v>240</v>
      </c>
      <c r="B254" s="619">
        <v>39907</v>
      </c>
      <c r="C254" s="98" t="s">
        <v>479</v>
      </c>
      <c r="D254" s="709">
        <v>0</v>
      </c>
      <c r="E254" s="248">
        <v>0</v>
      </c>
      <c r="F254" s="716">
        <f t="shared" si="72"/>
        <v>0</v>
      </c>
      <c r="G254" s="360">
        <f t="shared" si="80"/>
        <v>0.1086</v>
      </c>
      <c r="H254" s="360">
        <f t="shared" si="81"/>
        <v>0.48899999999999999</v>
      </c>
      <c r="I254" s="345">
        <f t="shared" si="77"/>
        <v>0</v>
      </c>
      <c r="K254" s="709">
        <v>0</v>
      </c>
      <c r="L254" s="360">
        <f t="shared" si="74"/>
        <v>0.1086</v>
      </c>
      <c r="M254" s="360">
        <f t="shared" si="75"/>
        <v>0.48899999999999999</v>
      </c>
      <c r="N254" s="345">
        <f t="shared" si="76"/>
        <v>0</v>
      </c>
      <c r="P254" s="360"/>
      <c r="S254" s="243"/>
    </row>
    <row r="255" spans="1:19">
      <c r="A255" s="605">
        <f t="shared" si="68"/>
        <v>241</v>
      </c>
      <c r="B255" s="619">
        <v>39908</v>
      </c>
      <c r="C255" s="98" t="s">
        <v>173</v>
      </c>
      <c r="D255" s="709">
        <v>108594769.09423797</v>
      </c>
      <c r="E255" s="248">
        <v>0</v>
      </c>
      <c r="F255" s="716">
        <f t="shared" si="72"/>
        <v>108594769.09423797</v>
      </c>
      <c r="G255" s="360">
        <f t="shared" si="80"/>
        <v>0.1086</v>
      </c>
      <c r="H255" s="360">
        <f t="shared" si="81"/>
        <v>0.48899999999999999</v>
      </c>
      <c r="I255" s="345">
        <f t="shared" si="77"/>
        <v>5766968.6506571453</v>
      </c>
      <c r="K255" s="709">
        <v>107593558.05838345</v>
      </c>
      <c r="L255" s="360">
        <f t="shared" si="74"/>
        <v>0.1086</v>
      </c>
      <c r="M255" s="360">
        <f t="shared" si="75"/>
        <v>0.48899999999999999</v>
      </c>
      <c r="N255" s="345">
        <f t="shared" si="76"/>
        <v>5713798.9381136764</v>
      </c>
      <c r="P255" s="360"/>
      <c r="S255" s="243"/>
    </row>
    <row r="256" spans="1:19">
      <c r="A256" s="605">
        <f t="shared" si="68"/>
        <v>242</v>
      </c>
      <c r="B256" s="619">
        <v>39910</v>
      </c>
      <c r="C256" s="98" t="s">
        <v>1159</v>
      </c>
      <c r="D256" s="709">
        <v>310800.39260853879</v>
      </c>
      <c r="E256" s="248">
        <v>0</v>
      </c>
      <c r="F256" s="716">
        <f t="shared" si="72"/>
        <v>310800.39260853879</v>
      </c>
      <c r="G256" s="267">
        <v>1</v>
      </c>
      <c r="H256" s="360">
        <f>$H$233</f>
        <v>2.983098E-2</v>
      </c>
      <c r="I256" s="345">
        <f t="shared" si="77"/>
        <v>9271.4802958974687</v>
      </c>
      <c r="K256" s="709">
        <v>276023.20701298903</v>
      </c>
      <c r="L256" s="360">
        <f t="shared" ref="L256:M258" si="82">G256</f>
        <v>1</v>
      </c>
      <c r="M256" s="360">
        <f t="shared" si="82"/>
        <v>2.983098E-2</v>
      </c>
      <c r="N256" s="345">
        <f t="shared" si="76"/>
        <v>8234.0427679403365</v>
      </c>
      <c r="P256" s="360"/>
      <c r="S256" s="243"/>
    </row>
    <row r="257" spans="1:19">
      <c r="A257" s="605">
        <f t="shared" si="68"/>
        <v>243</v>
      </c>
      <c r="B257" s="619">
        <v>39916</v>
      </c>
      <c r="C257" t="s">
        <v>1160</v>
      </c>
      <c r="D257" s="709">
        <v>116342.47</v>
      </c>
      <c r="E257" s="248">
        <v>0</v>
      </c>
      <c r="F257" s="716">
        <f t="shared" si="72"/>
        <v>116342.47</v>
      </c>
      <c r="G257" s="267">
        <v>1</v>
      </c>
      <c r="H257" s="360">
        <f>$H$233</f>
        <v>2.983098E-2</v>
      </c>
      <c r="I257" s="345">
        <f t="shared" si="77"/>
        <v>3470.6098957206</v>
      </c>
      <c r="K257" s="709">
        <v>116342.46999999999</v>
      </c>
      <c r="L257" s="360">
        <f t="shared" si="82"/>
        <v>1</v>
      </c>
      <c r="M257" s="360">
        <f t="shared" si="82"/>
        <v>2.983098E-2</v>
      </c>
      <c r="N257" s="345">
        <f t="shared" si="76"/>
        <v>3470.6098957205995</v>
      </c>
      <c r="P257" s="360"/>
      <c r="S257" s="243"/>
    </row>
    <row r="258" spans="1:19">
      <c r="A258" s="605">
        <f t="shared" si="68"/>
        <v>244</v>
      </c>
      <c r="B258" s="619">
        <v>39917</v>
      </c>
      <c r="C258" t="s">
        <v>1161</v>
      </c>
      <c r="D258" s="709">
        <v>3299.04</v>
      </c>
      <c r="E258" s="248">
        <v>0</v>
      </c>
      <c r="F258" s="716">
        <f t="shared" si="72"/>
        <v>3299.04</v>
      </c>
      <c r="G258" s="267">
        <v>1</v>
      </c>
      <c r="H258" s="360">
        <f>$H$233</f>
        <v>2.983098E-2</v>
      </c>
      <c r="I258" s="345">
        <f t="shared" si="77"/>
        <v>98.413596259200006</v>
      </c>
      <c r="K258" s="709">
        <v>3299.0400000000004</v>
      </c>
      <c r="L258" s="360">
        <f t="shared" si="82"/>
        <v>1</v>
      </c>
      <c r="M258" s="360">
        <f t="shared" si="82"/>
        <v>2.983098E-2</v>
      </c>
      <c r="N258" s="345">
        <f t="shared" si="76"/>
        <v>98.413596259200006</v>
      </c>
      <c r="P258" s="360"/>
      <c r="S258" s="243"/>
    </row>
    <row r="259" spans="1:19">
      <c r="A259" s="605">
        <f t="shared" si="68"/>
        <v>245</v>
      </c>
      <c r="B259" s="619">
        <v>39918</v>
      </c>
      <c r="C259" t="s">
        <v>1424</v>
      </c>
      <c r="D259" s="709">
        <v>0</v>
      </c>
      <c r="E259" s="248">
        <v>0</v>
      </c>
      <c r="F259" s="716">
        <f t="shared" si="72"/>
        <v>0</v>
      </c>
      <c r="G259" s="267">
        <v>1</v>
      </c>
      <c r="H259" s="684">
        <f>Allocation!$E$21</f>
        <v>2.983098E-2</v>
      </c>
      <c r="I259" s="345">
        <f t="shared" si="77"/>
        <v>0</v>
      </c>
      <c r="K259" s="709">
        <v>0</v>
      </c>
      <c r="L259" s="360">
        <f t="shared" ref="L259" si="83">G259</f>
        <v>1</v>
      </c>
      <c r="M259" s="360">
        <f t="shared" ref="M259" si="84">H259</f>
        <v>2.983098E-2</v>
      </c>
      <c r="N259" s="345">
        <f t="shared" si="76"/>
        <v>0</v>
      </c>
      <c r="P259" s="360"/>
      <c r="S259" s="243"/>
    </row>
    <row r="260" spans="1:19">
      <c r="A260" s="605">
        <f t="shared" si="68"/>
        <v>246</v>
      </c>
      <c r="B260" s="619">
        <v>39924</v>
      </c>
      <c r="C260" t="s">
        <v>1425</v>
      </c>
      <c r="D260" s="709">
        <v>0</v>
      </c>
      <c r="E260" s="248">
        <v>0</v>
      </c>
      <c r="F260" s="716">
        <f t="shared" si="72"/>
        <v>0</v>
      </c>
      <c r="G260" s="684">
        <f>Allocation!$C$15</f>
        <v>0.1086</v>
      </c>
      <c r="H260" s="684">
        <f>Allocation!$D$15</f>
        <v>0.48899999999999999</v>
      </c>
      <c r="I260" s="345">
        <f t="shared" si="77"/>
        <v>0</v>
      </c>
      <c r="K260" s="709">
        <v>0</v>
      </c>
      <c r="L260" s="684">
        <f>Allocation!$C$15</f>
        <v>0.1086</v>
      </c>
      <c r="M260" s="684">
        <f>Allocation!$D$15</f>
        <v>0.48899999999999999</v>
      </c>
      <c r="N260" s="345">
        <f t="shared" si="76"/>
        <v>0</v>
      </c>
      <c r="P260" s="360"/>
      <c r="S260" s="243"/>
    </row>
    <row r="261" spans="1:19">
      <c r="A261" s="605">
        <f t="shared" si="68"/>
        <v>247</v>
      </c>
      <c r="B261" s="1"/>
      <c r="C261" s="98"/>
      <c r="D261" s="339"/>
      <c r="E261" s="339"/>
      <c r="F261" s="339"/>
      <c r="I261" s="339"/>
      <c r="K261" s="339"/>
      <c r="N261" s="339"/>
    </row>
    <row r="262" spans="1:19" ht="15.75" thickBot="1">
      <c r="A262" s="605">
        <f t="shared" si="68"/>
        <v>248</v>
      </c>
      <c r="B262" s="1"/>
      <c r="C262" s="98" t="s">
        <v>1249</v>
      </c>
      <c r="D262" s="715">
        <f>SUM(D232:D260)</f>
        <v>160531689.77410987</v>
      </c>
      <c r="E262" s="715">
        <f>SUM(E232:E260)</f>
        <v>0</v>
      </c>
      <c r="F262" s="715">
        <f>SUM(F232:F260)</f>
        <v>160531689.77410987</v>
      </c>
      <c r="I262" s="715">
        <f>SUM(I232:I260)</f>
        <v>8113047.2425524183</v>
      </c>
      <c r="K262" s="715">
        <f>SUM(K232:K260)</f>
        <v>159300412.10262921</v>
      </c>
      <c r="N262" s="715">
        <f>SUM(N232:N260)</f>
        <v>8052587.3384441575</v>
      </c>
    </row>
    <row r="263" spans="1:19" ht="15.75" thickTop="1">
      <c r="A263" s="605">
        <f t="shared" si="68"/>
        <v>249</v>
      </c>
      <c r="B263" s="1"/>
      <c r="C263" s="4"/>
      <c r="D263" s="189"/>
      <c r="E263" s="189"/>
      <c r="F263" s="189"/>
      <c r="I263" s="189"/>
      <c r="K263" s="189"/>
      <c r="N263" s="189"/>
    </row>
    <row r="264" spans="1:19">
      <c r="A264" s="605">
        <f t="shared" si="68"/>
        <v>250</v>
      </c>
      <c r="B264" s="1"/>
      <c r="C264" s="1"/>
      <c r="D264" s="706"/>
      <c r="E264" s="713"/>
      <c r="F264" s="713"/>
      <c r="G264" s="360"/>
      <c r="H264" s="360"/>
      <c r="I264" s="713"/>
      <c r="K264" s="706"/>
      <c r="L264" s="360"/>
      <c r="M264" s="360"/>
      <c r="N264" s="713"/>
    </row>
    <row r="265" spans="1:19">
      <c r="A265" s="605">
        <f t="shared" si="68"/>
        <v>251</v>
      </c>
    </row>
    <row r="266" spans="1:19" ht="15.75" thickBot="1">
      <c r="A266" s="605">
        <f t="shared" si="68"/>
        <v>252</v>
      </c>
      <c r="C266" s="4" t="s">
        <v>720</v>
      </c>
      <c r="D266" s="715">
        <f>D262+D225+D179+D117</f>
        <v>1437404445.6209989</v>
      </c>
      <c r="E266" s="715">
        <f>E262+E225+E179+E117</f>
        <v>0</v>
      </c>
      <c r="F266" s="715">
        <f>F262+F225+F179+F117</f>
        <v>1437404445.6209989</v>
      </c>
      <c r="I266" s="715">
        <f>I262+I225+I179+I117</f>
        <v>963981103.06510794</v>
      </c>
      <c r="K266" s="715">
        <f>K262+K225+K179+K117</f>
        <v>1402980071.3604474</v>
      </c>
      <c r="N266" s="715">
        <f>N262+N225+N179+N117</f>
        <v>950194538.35375583</v>
      </c>
      <c r="P266" s="329"/>
    </row>
    <row r="267" spans="1:19" ht="15.75" thickTop="1">
      <c r="A267" s="605">
        <f t="shared" si="68"/>
        <v>253</v>
      </c>
    </row>
    <row r="268" spans="1:19">
      <c r="A268" s="605">
        <f t="shared" si="68"/>
        <v>254</v>
      </c>
      <c r="C268" s="336"/>
      <c r="D268" s="713"/>
      <c r="E268" s="713"/>
      <c r="F268" s="713"/>
      <c r="I268" s="713"/>
      <c r="K268" s="713"/>
      <c r="N268" s="713"/>
    </row>
    <row r="269" spans="1:19">
      <c r="A269" s="605"/>
    </row>
    <row r="270" spans="1:19">
      <c r="A270" s="605"/>
    </row>
    <row r="271" spans="1:19">
      <c r="A271" s="605"/>
    </row>
    <row r="272" spans="1:19">
      <c r="A272" s="605"/>
      <c r="C272" t="s">
        <v>492</v>
      </c>
    </row>
    <row r="273" spans="1:3">
      <c r="A273" s="605"/>
      <c r="C273" t="s">
        <v>1611</v>
      </c>
    </row>
    <row r="275" spans="1:3">
      <c r="C275" s="652" t="s">
        <v>1551</v>
      </c>
    </row>
  </sheetData>
  <mergeCells count="4">
    <mergeCell ref="A1:N1"/>
    <mergeCell ref="A2:N2"/>
    <mergeCell ref="A3:N3"/>
    <mergeCell ref="A4:N4"/>
  </mergeCells>
  <phoneticPr fontId="20" type="noConversion"/>
  <pageMargins left="0.52" right="0.34" top="0.96" bottom="1" header="0.5" footer="0.42"/>
  <pageSetup scale="53" orientation="landscape" r:id="rId1"/>
  <headerFooter alignWithMargins="0">
    <oddFooter>&amp;RSchedule &amp;A
Page &amp;P of &amp;N</oddFooter>
  </headerFooter>
  <rowBreaks count="6" manualBreakCount="6">
    <brk id="47" max="13" man="1"/>
    <brk id="86" max="13" man="1"/>
    <brk id="119" max="13" man="1"/>
    <brk id="152" max="13" man="1"/>
    <brk id="181" max="13" man="1"/>
    <brk id="22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116</vt:i4>
      </vt:variant>
    </vt:vector>
  </HeadingPairs>
  <TitlesOfParts>
    <vt:vector size="199" baseType="lpstr">
      <vt:lpstr>Table of Contents</vt:lpstr>
      <vt:lpstr>Allocation</vt:lpstr>
      <vt:lpstr>Cover A</vt:lpstr>
      <vt:lpstr>A.1</vt:lpstr>
      <vt:lpstr>Cover B</vt:lpstr>
      <vt:lpstr>B.1 B</vt:lpstr>
      <vt:lpstr>B.1 F </vt:lpstr>
      <vt:lpstr>B.2 B</vt:lpstr>
      <vt:lpstr>B.2 F</vt:lpstr>
      <vt:lpstr>B.3 B</vt:lpstr>
      <vt:lpstr>B.3 F</vt:lpstr>
      <vt:lpstr>B.3.1 F</vt:lpstr>
      <vt:lpstr>B.4 B</vt:lpstr>
      <vt:lpstr>B.4 F</vt:lpstr>
      <vt:lpstr>B.4.1 B</vt:lpstr>
      <vt:lpstr>B.4.1 F</vt:lpstr>
      <vt:lpstr>B.4.2 B</vt:lpstr>
      <vt:lpstr>B.4.2 F</vt:lpstr>
      <vt:lpstr>B.5 B</vt:lpstr>
      <vt:lpstr>B.5 F</vt:lpstr>
      <vt:lpstr>B.6 B</vt:lpstr>
      <vt:lpstr>B.6 F</vt:lpstr>
      <vt:lpstr>WP B.4.1B</vt:lpstr>
      <vt:lpstr>WP B.4.1F</vt:lpstr>
      <vt:lpstr>WP B.5 B</vt:lpstr>
      <vt:lpstr>WP B.5 B1</vt:lpstr>
      <vt:lpstr>WP B.5 F</vt:lpstr>
      <vt:lpstr>WP B.5 F1</vt:lpstr>
      <vt:lpstr>WP B.6 B</vt:lpstr>
      <vt:lpstr>WP B.6 F</vt:lpstr>
      <vt:lpstr>Cover C</vt:lpstr>
      <vt:lpstr>C.1</vt:lpstr>
      <vt:lpstr>C.2</vt:lpstr>
      <vt:lpstr>C.2.1 B</vt:lpstr>
      <vt:lpstr>C.2.1 F</vt:lpstr>
      <vt:lpstr>C.2.2 B 09</vt:lpstr>
      <vt:lpstr>C.2.2 B 02</vt:lpstr>
      <vt:lpstr>C.2.2 B 12</vt:lpstr>
      <vt:lpstr>C.2.2 B 91</vt:lpstr>
      <vt:lpstr>C.2.2-F 09</vt:lpstr>
      <vt:lpstr>C.2.2-F 02</vt:lpstr>
      <vt:lpstr>C.2.2-F 12</vt:lpstr>
      <vt:lpstr>C.2.2-F 91</vt:lpstr>
      <vt:lpstr>C.2.3 B</vt:lpstr>
      <vt:lpstr>C.2.3 F</vt:lpstr>
      <vt:lpstr>WP C.2.3 F</vt:lpstr>
      <vt:lpstr>Cover D</vt:lpstr>
      <vt:lpstr>D.1</vt:lpstr>
      <vt:lpstr>D.2.1</vt:lpstr>
      <vt:lpstr>D.2.2</vt:lpstr>
      <vt:lpstr>D.2.3</vt:lpstr>
      <vt:lpstr>Cover E</vt:lpstr>
      <vt:lpstr>E</vt:lpstr>
      <vt:lpstr>Cover F</vt:lpstr>
      <vt:lpstr>F.1</vt:lpstr>
      <vt:lpstr>F.2.1</vt:lpstr>
      <vt:lpstr>F.2.2</vt:lpstr>
      <vt:lpstr>F.3</vt:lpstr>
      <vt:lpstr>F.4</vt:lpstr>
      <vt:lpstr>F.5</vt:lpstr>
      <vt:lpstr>F.6</vt:lpstr>
      <vt:lpstr>F.7</vt:lpstr>
      <vt:lpstr>F.8</vt:lpstr>
      <vt:lpstr>F.9</vt:lpstr>
      <vt:lpstr>F.10</vt:lpstr>
      <vt:lpstr>F.11</vt:lpstr>
      <vt:lpstr>F.12</vt:lpstr>
      <vt:lpstr>G.1</vt:lpstr>
      <vt:lpstr>G.2</vt:lpstr>
      <vt:lpstr>G.3</vt:lpstr>
      <vt:lpstr>H.1</vt:lpstr>
      <vt:lpstr>I.1</vt:lpstr>
      <vt:lpstr>I.2</vt:lpstr>
      <vt:lpstr>I.3</vt:lpstr>
      <vt:lpstr>J-1 Base</vt:lpstr>
      <vt:lpstr>J.1</vt:lpstr>
      <vt:lpstr>J-2 B</vt:lpstr>
      <vt:lpstr>J-3 B</vt:lpstr>
      <vt:lpstr>J-4</vt:lpstr>
      <vt:lpstr>J-1 F</vt:lpstr>
      <vt:lpstr>J-3 F</vt:lpstr>
      <vt:lpstr>J-2 F</vt:lpstr>
      <vt:lpstr>K</vt:lpstr>
      <vt:lpstr>\p</vt:lpstr>
      <vt:lpstr>A.1!Print_Area</vt:lpstr>
      <vt:lpstr>Allocation!Print_Area</vt:lpstr>
      <vt:lpstr>'B.1 B'!Print_Area</vt:lpstr>
      <vt:lpstr>'B.1 F '!Print_Area</vt:lpstr>
      <vt:lpstr>'B.2 B'!Print_Area</vt:lpstr>
      <vt:lpstr>'B.2 F'!Print_Area</vt:lpstr>
      <vt:lpstr>'B.3 B'!Print_Area</vt:lpstr>
      <vt:lpstr>'B.3 F'!Print_Area</vt:lpstr>
      <vt:lpstr>'B.3.1 F'!Print_Area</vt:lpstr>
      <vt:lpstr>'B.4 B'!Print_Area</vt:lpstr>
      <vt:lpstr>'B.4 F'!Print_Area</vt:lpstr>
      <vt:lpstr>'B.4.1 B'!Print_Area</vt:lpstr>
      <vt:lpstr>'B.4.1 F'!Print_Area</vt:lpstr>
      <vt:lpstr>'B.4.2 B'!Print_Area</vt:lpstr>
      <vt:lpstr>'B.4.2 F'!Print_Area</vt:lpstr>
      <vt:lpstr>'B.5 B'!Print_Area</vt:lpstr>
      <vt:lpstr>'B.5 F'!Print_Area</vt:lpstr>
      <vt:lpstr>'B.6 B'!Print_Area</vt:lpstr>
      <vt:lpstr>'B.6 F'!Print_Area</vt:lpstr>
      <vt:lpstr>C.1!Print_Area</vt:lpstr>
      <vt:lpstr>C.2!Print_Area</vt:lpstr>
      <vt:lpstr>'C.2.1 B'!Print_Area</vt:lpstr>
      <vt:lpstr>'C.2.1 F'!Print_Area</vt:lpstr>
      <vt:lpstr>'C.2.2 B 02'!Print_Area</vt:lpstr>
      <vt:lpstr>'C.2.2 B 09'!Print_Area</vt:lpstr>
      <vt:lpstr>'C.2.2 B 12'!Print_Area</vt:lpstr>
      <vt:lpstr>'C.2.2 B 91'!Print_Area</vt:lpstr>
      <vt:lpstr>'C.2.2-F 02'!Print_Area</vt:lpstr>
      <vt:lpstr>'C.2.2-F 09'!Print_Area</vt:lpstr>
      <vt:lpstr>'C.2.2-F 12'!Print_Area</vt:lpstr>
      <vt:lpstr>'C.2.2-F 91'!Print_Area</vt:lpstr>
      <vt:lpstr>'C.2.3 B'!Print_Area</vt:lpstr>
      <vt:lpstr>'C.2.3 F'!Print_Area</vt:lpstr>
      <vt:lpstr>'Cover B'!Print_Area</vt:lpstr>
      <vt:lpstr>'Cover C'!Print_Area</vt:lpstr>
      <vt:lpstr>'Cover D'!Print_Area</vt:lpstr>
      <vt:lpstr>'Cover E'!Print_Area</vt:lpstr>
      <vt:lpstr>'Cover F'!Print_Area</vt:lpstr>
      <vt:lpstr>D.1!Print_Area</vt:lpstr>
      <vt:lpstr>D.2.1!Print_Area</vt:lpstr>
      <vt:lpstr>D.2.2!Print_Area</vt:lpstr>
      <vt:lpstr>D.2.3!Print_Area</vt:lpstr>
      <vt:lpstr>E!Print_Area</vt:lpstr>
      <vt:lpstr>F.1!Print_Area</vt:lpstr>
      <vt:lpstr>F.10!Print_Area</vt:lpstr>
      <vt:lpstr>F.11!Print_Area</vt:lpstr>
      <vt:lpstr>F.12!Print_Area</vt:lpstr>
      <vt:lpstr>F.2.1!Print_Area</vt:lpstr>
      <vt:lpstr>F.2.2!Print_Area</vt:lpstr>
      <vt:lpstr>F.3!Print_Area</vt:lpstr>
      <vt:lpstr>F.4!Print_Area</vt:lpstr>
      <vt:lpstr>F.5!Print_Area</vt:lpstr>
      <vt:lpstr>F.6!Print_Area</vt:lpstr>
      <vt:lpstr>F.7!Print_Area</vt:lpstr>
      <vt:lpstr>F.8!Print_Area</vt:lpstr>
      <vt:lpstr>F.9!Print_Area</vt:lpstr>
      <vt:lpstr>G.1!Print_Area</vt:lpstr>
      <vt:lpstr>G.2!Print_Area</vt:lpstr>
      <vt:lpstr>G.3!Print_Area</vt:lpstr>
      <vt:lpstr>H.1!Print_Area</vt:lpstr>
      <vt:lpstr>I.1!Print_Area</vt:lpstr>
      <vt:lpstr>I.2!Print_Area</vt:lpstr>
      <vt:lpstr>I.3!Print_Area</vt:lpstr>
      <vt:lpstr>J.1!Print_Area</vt:lpstr>
      <vt:lpstr>'J-1 Base'!Print_Area</vt:lpstr>
      <vt:lpstr>'J-1 F'!Print_Area</vt:lpstr>
      <vt:lpstr>'J-2 B'!Print_Area</vt:lpstr>
      <vt:lpstr>'J-2 F'!Print_Area</vt:lpstr>
      <vt:lpstr>'J-3 B'!Print_Area</vt:lpstr>
      <vt:lpstr>'J-3 F'!Print_Area</vt:lpstr>
      <vt:lpstr>'J-4'!Print_Area</vt:lpstr>
      <vt:lpstr>K!Print_Area</vt:lpstr>
      <vt:lpstr>'Table of Contents'!Print_Area</vt:lpstr>
      <vt:lpstr>'WP B.4.1B'!Print_Area</vt:lpstr>
      <vt:lpstr>'WP B.4.1F'!Print_Area</vt:lpstr>
      <vt:lpstr>'WP B.5 B'!Print_Area</vt:lpstr>
      <vt:lpstr>'WP B.5 B1'!Print_Area</vt:lpstr>
      <vt:lpstr>'WP B.5 F'!Print_Area</vt:lpstr>
      <vt:lpstr>'WP B.5 F1'!Print_Area</vt:lpstr>
      <vt:lpstr>'WP B.6 B'!Print_Area</vt:lpstr>
      <vt:lpstr>'WP B.6 F'!Print_Area</vt:lpstr>
      <vt:lpstr>'WP C.2.3 F'!Print_Area</vt:lpstr>
      <vt:lpstr>Print_Area_MI</vt:lpstr>
      <vt:lpstr>'B.1 B'!Print_Titles</vt:lpstr>
      <vt:lpstr>'B.2 B'!Print_Titles</vt:lpstr>
      <vt:lpstr>'B.2 F'!Print_Titles</vt:lpstr>
      <vt:lpstr>'B.3 B'!Print_Titles</vt:lpstr>
      <vt:lpstr>'B.3 F'!Print_Titles</vt:lpstr>
      <vt:lpstr>'B.3.1 F'!Print_Titles</vt:lpstr>
      <vt:lpstr>'B.5 B'!Print_Titles</vt:lpstr>
      <vt:lpstr>'B.5 F'!Print_Titles</vt:lpstr>
      <vt:lpstr>'B.6 B'!Print_Titles</vt:lpstr>
      <vt:lpstr>'B.6 F'!Print_Titles</vt:lpstr>
      <vt:lpstr>'C.2.1 B'!Print_Titles</vt:lpstr>
      <vt:lpstr>'C.2.1 F'!Print_Titles</vt:lpstr>
      <vt:lpstr>'C.2.2 B 02'!Print_Titles</vt:lpstr>
      <vt:lpstr>'C.2.2 B 09'!Print_Titles</vt:lpstr>
      <vt:lpstr>'C.2.2 B 12'!Print_Titles</vt:lpstr>
      <vt:lpstr>'C.2.2 B 91'!Print_Titles</vt:lpstr>
      <vt:lpstr>'C.2.2-F 02'!Print_Titles</vt:lpstr>
      <vt:lpstr>'C.2.2-F 09'!Print_Titles</vt:lpstr>
      <vt:lpstr>'C.2.2-F 12'!Print_Titles</vt:lpstr>
      <vt:lpstr>'C.2.2-F 91'!Print_Titles</vt:lpstr>
      <vt:lpstr>'C.2.3 B'!Print_Titles</vt:lpstr>
      <vt:lpstr>'C.2.3 F'!Print_Titles</vt:lpstr>
      <vt:lpstr>D.1!Print_Titles</vt:lpstr>
      <vt:lpstr>F.1!Print_Titles</vt:lpstr>
      <vt:lpstr>F.6!Print_Titles</vt:lpstr>
      <vt:lpstr>K!Print_Titles</vt:lpstr>
      <vt:lpstr>'WP B.5 B'!Print_Titles</vt:lpstr>
      <vt:lpstr>'WP B.5 F'!Print_Titles</vt:lpstr>
      <vt:lpstr>'WP B.5 F1'!Print_Titles</vt:lpstr>
      <vt:lpstr>'WP B.6 B'!Print_Titles</vt:lpstr>
      <vt:lpstr>'WP B.6 F'!Print_Titles</vt:lpstr>
      <vt:lpstr>SCHEDA</vt:lpstr>
    </vt:vector>
  </TitlesOfParts>
  <Company>Atmos Energy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Cagle</dc:creator>
  <cp:lastModifiedBy>Randy1</cp:lastModifiedBy>
  <cp:lastPrinted>2024-09-24T22:04:33Z</cp:lastPrinted>
  <dcterms:created xsi:type="dcterms:W3CDTF">1998-03-09T18:47:56Z</dcterms:created>
  <dcterms:modified xsi:type="dcterms:W3CDTF">2025-01-15T18:44:11Z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