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20783bd5d64abe/Fleming County WA/"/>
    </mc:Choice>
  </mc:AlternateContent>
  <xr:revisionPtr revIDLastSave="3" documentId="13_ncr:1_{5626AA1D-77E3-4E0D-9A9D-22072C52586C}" xr6:coauthVersionLast="47" xr6:coauthVersionMax="47" xr10:uidLastSave="{F735A514-4EDE-4B57-A30F-C7DADF829D9D}"/>
  <bookViews>
    <workbookView xWindow="-98" yWindow="-98" windowWidth="20715" windowHeight="13155" xr2:uid="{66DCB12E-7761-47D1-A8C5-985704888B5C}"/>
  </bookViews>
  <sheets>
    <sheet name="SAO" sheetId="3" r:id="rId1"/>
    <sheet name="Adj" sheetId="16" r:id="rId2"/>
    <sheet name="DeprAdj" sheetId="1" r:id="rId3"/>
    <sheet name="DSch" sheetId="5" r:id="rId4"/>
    <sheet name="Rates" sheetId="25" r:id="rId5"/>
    <sheet name="Bills" sheetId="21" r:id="rId6"/>
    <sheet name="ExBA" sheetId="10" r:id="rId7"/>
    <sheet name="PropBA" sheetId="15" r:id="rId8"/>
    <sheet name="Notice" sheetId="26" r:id="rId9"/>
  </sheets>
  <definedNames>
    <definedName name="_xlnm.Print_Area" localSheetId="1">Adj!$I$3:$P$18</definedName>
    <definedName name="_xlnm.Print_Area" localSheetId="5">Bills!$B$3:$G$22</definedName>
    <definedName name="_xlnm.Print_Area" localSheetId="2">DeprAdj!$B$2:$K$43</definedName>
    <definedName name="_xlnm.Print_Area" localSheetId="3">DSch!$B$2:$L$23</definedName>
    <definedName name="_xlnm.Print_Area" localSheetId="6">ExBA!$B$2:$I$31</definedName>
    <definedName name="_xlnm.Print_Area" localSheetId="7">PropBA!$B$2:$I$31</definedName>
    <definedName name="_xlnm.Print_Area" localSheetId="4">Rates!$B$2:$M$14</definedName>
    <definedName name="_xlnm.Print_Area" localSheetId="0">SAO!$B$2:$J$51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6" l="1"/>
  <c r="D9" i="26"/>
  <c r="D8" i="26"/>
  <c r="D7" i="26"/>
  <c r="G23" i="3"/>
  <c r="P18" i="16"/>
  <c r="D13" i="21" l="1"/>
  <c r="D14" i="21" s="1"/>
  <c r="D12" i="21"/>
  <c r="D15" i="21" s="1"/>
  <c r="C29" i="15"/>
  <c r="C28" i="15"/>
  <c r="C27" i="15"/>
  <c r="C26" i="15"/>
  <c r="E20" i="15"/>
  <c r="D20" i="15"/>
  <c r="F20" i="15" s="1"/>
  <c r="E19" i="15"/>
  <c r="D19" i="15"/>
  <c r="F19" i="15" s="1"/>
  <c r="E18" i="15"/>
  <c r="D18" i="15"/>
  <c r="E17" i="15"/>
  <c r="D17" i="15"/>
  <c r="I16" i="15"/>
  <c r="H16" i="15"/>
  <c r="G16" i="15"/>
  <c r="F16" i="15"/>
  <c r="J13" i="25"/>
  <c r="J12" i="25"/>
  <c r="J11" i="25"/>
  <c r="J10" i="25"/>
  <c r="I9" i="25"/>
  <c r="D18" i="21" l="1"/>
  <c r="D19" i="21" s="1"/>
  <c r="D17" i="21"/>
  <c r="D16" i="21"/>
  <c r="D21" i="15"/>
  <c r="D26" i="15" s="1"/>
  <c r="E21" i="15"/>
  <c r="G19" i="15"/>
  <c r="H19" i="15" s="1"/>
  <c r="F18" i="15"/>
  <c r="G18" i="15" s="1"/>
  <c r="D30" i="15"/>
  <c r="E10" i="15" s="1"/>
  <c r="G20" i="15"/>
  <c r="H20" i="15"/>
  <c r="F17" i="15"/>
  <c r="F21" i="15" s="1"/>
  <c r="E26" i="15" s="1"/>
  <c r="H21" i="15" l="1"/>
  <c r="E28" i="15" s="1"/>
  <c r="G21" i="15"/>
  <c r="E27" i="15" s="1"/>
  <c r="I20" i="15"/>
  <c r="I21" i="15" s="1"/>
  <c r="E29" i="15" s="1"/>
  <c r="E30" i="15" s="1"/>
  <c r="F10" i="15" s="1"/>
  <c r="I41" i="3" l="1"/>
  <c r="I40" i="3"/>
  <c r="N17" i="5"/>
  <c r="K20" i="5"/>
  <c r="K15" i="5"/>
  <c r="K14" i="5"/>
  <c r="K13" i="5"/>
  <c r="K12" i="5"/>
  <c r="K11" i="5"/>
  <c r="J15" i="5"/>
  <c r="J14" i="5"/>
  <c r="J13" i="5"/>
  <c r="J12" i="5"/>
  <c r="J11" i="5"/>
  <c r="I15" i="5"/>
  <c r="I14" i="5"/>
  <c r="I13" i="5"/>
  <c r="I12" i="5"/>
  <c r="I11" i="5"/>
  <c r="I44" i="3"/>
  <c r="G32" i="3"/>
  <c r="G32" i="1"/>
  <c r="I38" i="1"/>
  <c r="I32" i="1"/>
  <c r="H17" i="5"/>
  <c r="G17" i="5"/>
  <c r="F17" i="5"/>
  <c r="E17" i="5"/>
  <c r="D17" i="5"/>
  <c r="C17" i="5"/>
  <c r="G34" i="16"/>
  <c r="G28" i="3"/>
  <c r="G26" i="3"/>
  <c r="U16" i="16"/>
  <c r="J17" i="5" l="1"/>
  <c r="I17" i="5"/>
  <c r="J32" i="1"/>
  <c r="K17" i="5"/>
  <c r="K22" i="5" s="1"/>
  <c r="J38" i="1"/>
  <c r="I36" i="1"/>
  <c r="J36" i="1" s="1"/>
  <c r="I34" i="1"/>
  <c r="J34" i="1" s="1"/>
  <c r="E38" i="1"/>
  <c r="E35" i="1"/>
  <c r="I35" i="1" s="1"/>
  <c r="J35" i="1" s="1"/>
  <c r="I31" i="1"/>
  <c r="J31" i="1" s="1"/>
  <c r="I30" i="1"/>
  <c r="J30" i="1" s="1"/>
  <c r="O28" i="1"/>
  <c r="N28" i="1" s="1"/>
  <c r="I28" i="1" s="1"/>
  <c r="O27" i="1"/>
  <c r="O29" i="1" s="1"/>
  <c r="G28" i="1"/>
  <c r="E28" i="1"/>
  <c r="I26" i="1"/>
  <c r="J26" i="1" s="1"/>
  <c r="G24" i="1"/>
  <c r="G23" i="1"/>
  <c r="E23" i="1"/>
  <c r="E24" i="1"/>
  <c r="I24" i="1" s="1"/>
  <c r="G20" i="1"/>
  <c r="E20" i="1"/>
  <c r="I20" i="1" s="1"/>
  <c r="I21" i="1"/>
  <c r="J21" i="1" s="1"/>
  <c r="I18" i="1"/>
  <c r="G16" i="1"/>
  <c r="G15" i="1"/>
  <c r="G40" i="1" s="1"/>
  <c r="E16" i="1"/>
  <c r="I16" i="1" s="1"/>
  <c r="E15" i="1"/>
  <c r="I15" i="1" s="1"/>
  <c r="J15" i="1" s="1"/>
  <c r="I13" i="1"/>
  <c r="J13" i="1" s="1"/>
  <c r="I11" i="1"/>
  <c r="I23" i="1" l="1"/>
  <c r="J23" i="1" s="1"/>
  <c r="J28" i="1"/>
  <c r="J16" i="1"/>
  <c r="J24" i="1"/>
  <c r="J20" i="1"/>
  <c r="J18" i="1"/>
  <c r="I40" i="1" l="1"/>
  <c r="J11" i="1"/>
  <c r="J40" i="1" s="1"/>
  <c r="U7" i="16" l="1"/>
  <c r="U10" i="16" s="1"/>
  <c r="G25" i="3" s="1"/>
  <c r="U9" i="16" l="1"/>
  <c r="G19" i="3" s="1"/>
  <c r="I23" i="3" l="1"/>
  <c r="D25" i="16"/>
  <c r="P34" i="16" l="1"/>
  <c r="I20" i="3" l="1"/>
  <c r="P22" i="16"/>
  <c r="O17" i="16"/>
  <c r="N17" i="16"/>
  <c r="P17" i="16" s="1"/>
  <c r="O16" i="16"/>
  <c r="N16" i="16"/>
  <c r="P16" i="16" s="1"/>
  <c r="O15" i="16"/>
  <c r="N15" i="16"/>
  <c r="O14" i="16"/>
  <c r="N14" i="16"/>
  <c r="O13" i="16"/>
  <c r="N13" i="16"/>
  <c r="O12" i="16"/>
  <c r="N12" i="16"/>
  <c r="O11" i="16"/>
  <c r="N11" i="16"/>
  <c r="O10" i="16"/>
  <c r="N10" i="16"/>
  <c r="O9" i="16"/>
  <c r="N9" i="16"/>
  <c r="O8" i="16"/>
  <c r="P8" i="16" s="1"/>
  <c r="T27" i="16"/>
  <c r="U27" i="16" s="1"/>
  <c r="I13" i="3"/>
  <c r="I12" i="3"/>
  <c r="G11" i="3"/>
  <c r="O11" i="10"/>
  <c r="G11" i="10" s="1"/>
  <c r="E20" i="10"/>
  <c r="E19" i="10"/>
  <c r="E18" i="10"/>
  <c r="E17" i="10"/>
  <c r="F17" i="10" s="1"/>
  <c r="D20" i="10"/>
  <c r="D19" i="10"/>
  <c r="D18" i="10"/>
  <c r="D17" i="10"/>
  <c r="C29" i="10"/>
  <c r="C28" i="10"/>
  <c r="C27" i="10"/>
  <c r="C26" i="10"/>
  <c r="I16" i="10"/>
  <c r="H16" i="10"/>
  <c r="G16" i="10"/>
  <c r="F16" i="10"/>
  <c r="P14" i="16" l="1"/>
  <c r="P12" i="16"/>
  <c r="P13" i="16"/>
  <c r="P9" i="16"/>
  <c r="P15" i="16"/>
  <c r="P10" i="16"/>
  <c r="P11" i="16"/>
  <c r="D21" i="10"/>
  <c r="D26" i="10" s="1"/>
  <c r="G26" i="10" s="1"/>
  <c r="F18" i="10"/>
  <c r="G19" i="10"/>
  <c r="G20" i="10"/>
  <c r="L17" i="10"/>
  <c r="G18" i="10"/>
  <c r="G21" i="10" s="1"/>
  <c r="F20" i="10"/>
  <c r="H20" i="10"/>
  <c r="E21" i="10"/>
  <c r="F19" i="10"/>
  <c r="I20" i="10" l="1"/>
  <c r="I21" i="10" s="1"/>
  <c r="E29" i="10" s="1"/>
  <c r="G29" i="10" s="1"/>
  <c r="D30" i="10"/>
  <c r="E10" i="10" s="1"/>
  <c r="E27" i="10"/>
  <c r="G27" i="10" s="1"/>
  <c r="H19" i="10"/>
  <c r="H21" i="10" s="1"/>
  <c r="F21" i="10"/>
  <c r="L20" i="10"/>
  <c r="L18" i="10"/>
  <c r="L19" i="10" l="1"/>
  <c r="E28" i="10"/>
  <c r="G28" i="10" s="1"/>
  <c r="G30" i="10" s="1"/>
  <c r="G10" i="10" s="1"/>
  <c r="G12" i="10" s="1"/>
  <c r="I9" i="3" s="1"/>
  <c r="E26" i="10"/>
  <c r="E30" i="10" s="1"/>
  <c r="L21" i="10"/>
  <c r="F10" i="10" l="1"/>
  <c r="L30" i="10"/>
  <c r="G9" i="3"/>
  <c r="I48" i="3"/>
  <c r="I46" i="3" l="1"/>
  <c r="I29" i="3" l="1"/>
  <c r="D16" i="16" l="1"/>
  <c r="G35" i="16"/>
  <c r="I11" i="3"/>
  <c r="I28" i="3" l="1"/>
  <c r="I27" i="3"/>
  <c r="I26" i="3"/>
  <c r="I30" i="3"/>
  <c r="O7" i="16" l="1"/>
  <c r="N7" i="16"/>
  <c r="P7" i="16" l="1"/>
  <c r="P31" i="16" s="1"/>
  <c r="F28" i="16" l="1"/>
  <c r="G28" i="16" s="1"/>
  <c r="F27" i="16"/>
  <c r="G27" i="16" s="1"/>
  <c r="F26" i="16"/>
  <c r="G26" i="16" s="1"/>
  <c r="F25" i="16"/>
  <c r="G25" i="16" s="1"/>
  <c r="P25" i="16" l="1"/>
  <c r="P27" i="16" s="1"/>
  <c r="P29" i="16" s="1"/>
  <c r="G33" i="3" s="1"/>
  <c r="P33" i="16"/>
  <c r="P21" i="16"/>
  <c r="P23" i="16" s="1"/>
  <c r="G18" i="3" s="1"/>
  <c r="G29" i="16"/>
  <c r="G31" i="16" s="1"/>
  <c r="G36" i="16" s="1"/>
  <c r="G22" i="3" s="1"/>
  <c r="F31" i="3"/>
  <c r="I19" i="3" l="1"/>
  <c r="P35" i="16"/>
  <c r="G21" i="3" s="1"/>
  <c r="I22" i="3" l="1"/>
  <c r="I25" i="3" l="1"/>
  <c r="F34" i="3" l="1"/>
  <c r="F14" i="3"/>
  <c r="D12" i="16"/>
  <c r="I43" i="3"/>
  <c r="E16" i="16" l="1"/>
  <c r="E18" i="16" s="1"/>
  <c r="C17" i="16"/>
  <c r="F35" i="3"/>
  <c r="I24" i="3" l="1"/>
  <c r="I33" i="3"/>
  <c r="I32" i="3" l="1"/>
  <c r="I31" i="3" l="1"/>
  <c r="I34" i="3" l="1"/>
  <c r="I39" i="3" s="1"/>
  <c r="I42" i="3" s="1"/>
  <c r="I47" i="3" l="1"/>
  <c r="K47" i="3"/>
  <c r="I49" i="3"/>
  <c r="I14" i="3"/>
  <c r="I50" i="3" l="1"/>
  <c r="O7" i="25" s="1"/>
  <c r="G11" i="15" s="1"/>
  <c r="I35" i="3"/>
  <c r="L12" i="25" l="1"/>
  <c r="L11" i="25"/>
  <c r="L13" i="25"/>
  <c r="L10" i="25"/>
  <c r="E7" i="26" s="1"/>
  <c r="F7" i="26" s="1"/>
  <c r="G7" i="26" s="1"/>
  <c r="E12" i="21" l="1"/>
  <c r="F12" i="21" s="1"/>
  <c r="I12" i="21" s="1"/>
  <c r="F26" i="15"/>
  <c r="G26" i="15" s="1"/>
  <c r="F29" i="15"/>
  <c r="G29" i="15" s="1"/>
  <c r="E10" i="26"/>
  <c r="F10" i="26" s="1"/>
  <c r="G10" i="26" s="1"/>
  <c r="F27" i="15"/>
  <c r="G27" i="15" s="1"/>
  <c r="E8" i="26"/>
  <c r="F8" i="26" s="1"/>
  <c r="G8" i="26" s="1"/>
  <c r="F28" i="15"/>
  <c r="G28" i="15" s="1"/>
  <c r="E9" i="26"/>
  <c r="F9" i="26" s="1"/>
  <c r="G9" i="26" s="1"/>
  <c r="E15" i="21"/>
  <c r="E14" i="21"/>
  <c r="F14" i="21" s="1"/>
  <c r="I14" i="21" s="1"/>
  <c r="E13" i="21"/>
  <c r="F13" i="21" s="1"/>
  <c r="I13" i="21" s="1"/>
  <c r="G30" i="15" l="1"/>
  <c r="G10" i="15" s="1"/>
  <c r="G12" i="15" s="1"/>
  <c r="E18" i="21"/>
  <c r="E19" i="21" s="1"/>
  <c r="E17" i="21"/>
  <c r="F17" i="21" s="1"/>
  <c r="I17" i="21" s="1"/>
  <c r="E16" i="21"/>
  <c r="F16" i="21" s="1"/>
  <c r="I16" i="21" s="1"/>
  <c r="F15" i="21"/>
  <c r="I15" i="21" s="1"/>
  <c r="F18" i="21" l="1"/>
  <c r="I18" i="21" s="1"/>
  <c r="F19" i="21" l="1"/>
  <c r="I19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 Vilines</author>
  </authors>
  <commentList>
    <comment ref="D52" authorId="0" shapeId="0" xr:uid="{807BC59E-BC40-49FA-91C9-DA84E64C450A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from Purch Water 2020 spreadsheet
</t>
        </r>
      </text>
    </comment>
  </commentList>
</comments>
</file>

<file path=xl/sharedStrings.xml><?xml version="1.0" encoding="utf-8"?>
<sst xmlns="http://schemas.openxmlformats.org/spreadsheetml/2006/main" count="385" uniqueCount="267">
  <si>
    <t>DEPRECIATION EXPENSE ADJUSTMENTS</t>
  </si>
  <si>
    <t>TOTALS</t>
  </si>
  <si>
    <t>Date in</t>
  </si>
  <si>
    <t>Service</t>
  </si>
  <si>
    <t>various</t>
  </si>
  <si>
    <t>Original</t>
  </si>
  <si>
    <t>Life</t>
  </si>
  <si>
    <t>Depr. Exp.</t>
  </si>
  <si>
    <t>Operating Revenues</t>
  </si>
  <si>
    <t>Total Operating Revenues</t>
  </si>
  <si>
    <t>Operating Expenses</t>
  </si>
  <si>
    <t>Total Operating Expenses</t>
  </si>
  <si>
    <t>Pro Forma Operating Expenses</t>
  </si>
  <si>
    <t>Required Revenue Increase</t>
  </si>
  <si>
    <t>Percent Increase</t>
  </si>
  <si>
    <t>Other Operating Revenue</t>
  </si>
  <si>
    <t>Operation and Maintenance</t>
  </si>
  <si>
    <t>Total Operation and Mnt. Expenses</t>
  </si>
  <si>
    <t>Depreciation Expense</t>
  </si>
  <si>
    <t>Taxes Other Than Income</t>
  </si>
  <si>
    <t>Salaries and Wages - Employees</t>
  </si>
  <si>
    <t>Salaries and Wages - Officers</t>
  </si>
  <si>
    <t>Employee Pensions and Benefits</t>
  </si>
  <si>
    <t>Purchased Power</t>
  </si>
  <si>
    <t>Contractual Services</t>
  </si>
  <si>
    <t>Miscellaneous Expenses</t>
  </si>
  <si>
    <t>Additional Working Capital</t>
  </si>
  <si>
    <t>Adjustments</t>
  </si>
  <si>
    <t>SCHEDULE OF ADJUSTED OPERATIONS</t>
  </si>
  <si>
    <t>Transportation Expenses</t>
  </si>
  <si>
    <t>Net Utility Operating Income</t>
  </si>
  <si>
    <t>Total Revenue Requirement</t>
  </si>
  <si>
    <t>Revenue from Sales at Present Rates</t>
  </si>
  <si>
    <t>Forfeited Discounts</t>
  </si>
  <si>
    <t>Misc. Service Revenues</t>
  </si>
  <si>
    <t>Other Water Revenues:</t>
  </si>
  <si>
    <t>Depreciation</t>
  </si>
  <si>
    <t>Expense</t>
  </si>
  <si>
    <t>Principal</t>
  </si>
  <si>
    <t>Interest</t>
  </si>
  <si>
    <t>REVENUE REQUIREMENTS</t>
  </si>
  <si>
    <t>Table A</t>
  </si>
  <si>
    <t>Ref.</t>
  </si>
  <si>
    <t>Revenue</t>
  </si>
  <si>
    <t>Avg. Annual Principal and Interest Payments</t>
  </si>
  <si>
    <t>USAGE</t>
  </si>
  <si>
    <t>BILLS</t>
  </si>
  <si>
    <t>GALLONS</t>
  </si>
  <si>
    <t>RATE</t>
  </si>
  <si>
    <t>REVENUE</t>
  </si>
  <si>
    <t>Existing</t>
  </si>
  <si>
    <t>Change</t>
  </si>
  <si>
    <t>Interest Income</t>
  </si>
  <si>
    <t>Water Loss Adjustment:</t>
  </si>
  <si>
    <t>Sold</t>
  </si>
  <si>
    <t>Uses:</t>
  </si>
  <si>
    <t xml:space="preserve">  WTP</t>
  </si>
  <si>
    <t xml:space="preserve">  Flushing</t>
  </si>
  <si>
    <t xml:space="preserve">  Fire</t>
  </si>
  <si>
    <t xml:space="preserve">  Other</t>
  </si>
  <si>
    <t>Line Brks.</t>
  </si>
  <si>
    <t>Line Leaks</t>
  </si>
  <si>
    <t xml:space="preserve">  water loss percentage</t>
  </si>
  <si>
    <t>check</t>
  </si>
  <si>
    <t xml:space="preserve">  allowable in rates</t>
  </si>
  <si>
    <t xml:space="preserve"> depr. adj</t>
  </si>
  <si>
    <t>Materials and Supplies</t>
  </si>
  <si>
    <t>Gallons</t>
  </si>
  <si>
    <t>Bill</t>
  </si>
  <si>
    <t>CURRENT AND PROPOSED RATES</t>
  </si>
  <si>
    <t>COMPARISION OF EXISTING AND PROPOSED BILLS</t>
  </si>
  <si>
    <t>Pro Forma</t>
  </si>
  <si>
    <t>Test Year</t>
  </si>
  <si>
    <t xml:space="preserve"> Health Ins. ded</t>
  </si>
  <si>
    <t>Cost *</t>
  </si>
  <si>
    <t>Health Insurance Adjustment</t>
  </si>
  <si>
    <t>Total</t>
  </si>
  <si>
    <t xml:space="preserve">   Plus:</t>
  </si>
  <si>
    <t xml:space="preserve">   Less:</t>
  </si>
  <si>
    <t>A</t>
  </si>
  <si>
    <t>F</t>
  </si>
  <si>
    <t>G</t>
  </si>
  <si>
    <t>Revenue Required From Water Sales</t>
  </si>
  <si>
    <t>Table D</t>
  </si>
  <si>
    <t>per Month*</t>
  </si>
  <si>
    <t>Employee Benefits (from Trial Bal.):</t>
  </si>
  <si>
    <t>Dist. Contrib</t>
  </si>
  <si>
    <t>BLS avg.</t>
  </si>
  <si>
    <t>Premium</t>
  </si>
  <si>
    <t>Adj'mt.</t>
  </si>
  <si>
    <t>Allowable monthly prem.</t>
  </si>
  <si>
    <t>Less prem. pd. in test yr.</t>
  </si>
  <si>
    <t>Health Ins. Adjustment</t>
  </si>
  <si>
    <t xml:space="preserve">Pro Forma </t>
  </si>
  <si>
    <t>Wage Rate</t>
  </si>
  <si>
    <t>Wages</t>
  </si>
  <si>
    <t>O. T. Hours</t>
  </si>
  <si>
    <t>O. T. Wages</t>
  </si>
  <si>
    <t>Employee</t>
  </si>
  <si>
    <t>Pro Forma Salaries &amp; Wages Expense</t>
  </si>
  <si>
    <t xml:space="preserve"> </t>
  </si>
  <si>
    <t>Pro Forma Salaries and Wages Expense</t>
  </si>
  <si>
    <t>Times: 7.65 Percent FICA Rate</t>
  </si>
  <si>
    <t>Pro Forma Payroll Taxes</t>
  </si>
  <si>
    <t>Less: Test Year Payroll Taxes</t>
  </si>
  <si>
    <t>Payroll Tax Adjustment</t>
  </si>
  <si>
    <t>Total Pro Forma Pension Contribution</t>
  </si>
  <si>
    <t>Less: Test Year Pension Contribution</t>
  </si>
  <si>
    <t>Pension &amp; Benefits Adjustments</t>
  </si>
  <si>
    <t>Salaries &amp; Wages and Associated Adjustments</t>
  </si>
  <si>
    <t>Less: Test Year Salaries &amp; Wages Exp</t>
  </si>
  <si>
    <t>Pro Forma Salaries &amp; Wages Adj'mt</t>
  </si>
  <si>
    <t>Reg. Wages</t>
  </si>
  <si>
    <t>Reg. Hrs</t>
  </si>
  <si>
    <t>D</t>
  </si>
  <si>
    <t>Proposed</t>
  </si>
  <si>
    <t>Other Water Revenues</t>
  </si>
  <si>
    <t>Retirement</t>
  </si>
  <si>
    <t>varies</t>
  </si>
  <si>
    <t xml:space="preserve">   * Highlighted usage represents the average residential bill.</t>
  </si>
  <si>
    <t>Other</t>
  </si>
  <si>
    <t>Entire Group</t>
  </si>
  <si>
    <t>Pumping Equipment</t>
  </si>
  <si>
    <t>Services</t>
  </si>
  <si>
    <t>Insurance</t>
  </si>
  <si>
    <t>Total Metered Sales</t>
  </si>
  <si>
    <t>Late Fees</t>
  </si>
  <si>
    <t>B</t>
  </si>
  <si>
    <t>C</t>
  </si>
  <si>
    <t>E</t>
  </si>
  <si>
    <t>Rate Increase</t>
  </si>
  <si>
    <t>Year</t>
  </si>
  <si>
    <t>&lt; 15%, no adjmt req'd</t>
  </si>
  <si>
    <t>Fleming County Water Association</t>
  </si>
  <si>
    <t>Purchased Water</t>
  </si>
  <si>
    <t>Advertising</t>
  </si>
  <si>
    <t>M</t>
  </si>
  <si>
    <t>N</t>
  </si>
  <si>
    <t>Revenue from Contract Work</t>
  </si>
  <si>
    <t>Net Nonutility Income</t>
  </si>
  <si>
    <t>No. of Bills</t>
  </si>
  <si>
    <t>Gallons Sold</t>
  </si>
  <si>
    <t>Less Net Billing Adjustments</t>
  </si>
  <si>
    <t>Pro forma Sales Revenue</t>
  </si>
  <si>
    <t>FIRST</t>
  </si>
  <si>
    <t>NEXT</t>
  </si>
  <si>
    <t>ALL OVER</t>
  </si>
  <si>
    <t>TOTAL</t>
  </si>
  <si>
    <t>First</t>
  </si>
  <si>
    <t>Next</t>
  </si>
  <si>
    <t>All Over</t>
  </si>
  <si>
    <t xml:space="preserve">     REVENUE BY RATE INCREMENT</t>
  </si>
  <si>
    <t>All Meters</t>
  </si>
  <si>
    <t>Company Adjmt</t>
  </si>
  <si>
    <t>Leak Adjmt</t>
  </si>
  <si>
    <t>BA &amp; new rates</t>
  </si>
  <si>
    <t xml:space="preserve">  ALL METERS  </t>
  </si>
  <si>
    <t xml:space="preserve">  SUMMARY  </t>
  </si>
  <si>
    <t>Health</t>
  </si>
  <si>
    <t>Uniforms</t>
  </si>
  <si>
    <t>Colgan, Gilberta L</t>
  </si>
  <si>
    <t>Cornette, Kevin R</t>
  </si>
  <si>
    <t>Hawkins, Ethan L</t>
  </si>
  <si>
    <t>King, Margaret A</t>
  </si>
  <si>
    <t xml:space="preserve">Orme, Macey </t>
  </si>
  <si>
    <t>Pollitt, Clifton L</t>
  </si>
  <si>
    <t>Ramey, Deborah L</t>
  </si>
  <si>
    <t>Stacy, Joshua D</t>
  </si>
  <si>
    <t>Stanfield, Dylan S</t>
  </si>
  <si>
    <t>Warner, Julia R</t>
  </si>
  <si>
    <t>Gooding, Christopher</t>
  </si>
  <si>
    <t>Wages applicable to Retirement Plan</t>
  </si>
  <si>
    <t>Times: Percent 401k Contribution</t>
  </si>
  <si>
    <t>Purchased</t>
  </si>
  <si>
    <t>emp only</t>
  </si>
  <si>
    <t>emp/spouse</t>
  </si>
  <si>
    <t>emp/child</t>
  </si>
  <si>
    <t>family</t>
  </si>
  <si>
    <t>No. in</t>
  </si>
  <si>
    <t>Tier</t>
  </si>
  <si>
    <t>Health Ins.</t>
  </si>
  <si>
    <t>Monthly</t>
  </si>
  <si>
    <t>Empl. Share</t>
  </si>
  <si>
    <t>2024 Retiree Heath Reimbursement</t>
  </si>
  <si>
    <t>New meters installed</t>
  </si>
  <si>
    <t>labor</t>
  </si>
  <si>
    <t>materials</t>
  </si>
  <si>
    <t>Capital Expense Adjustments:</t>
  </si>
  <si>
    <t>Total Tap Fees</t>
  </si>
  <si>
    <t xml:space="preserve">     Reported     </t>
  </si>
  <si>
    <t>Proforma</t>
  </si>
  <si>
    <t>Assets</t>
  </si>
  <si>
    <t>Power Operated Equipment</t>
  </si>
  <si>
    <t>2020</t>
  </si>
  <si>
    <t>Furniture and equipment</t>
  </si>
  <si>
    <t>Bldg/Improvements</t>
  </si>
  <si>
    <t>Communication Equipment</t>
  </si>
  <si>
    <t>Furniture/Office Equipment</t>
  </si>
  <si>
    <t>Computers, electronics</t>
  </si>
  <si>
    <t>Land Improvements</t>
  </si>
  <si>
    <t>Machines &amp; Equipment</t>
  </si>
  <si>
    <t>Reservoirs &amp; Tanks</t>
  </si>
  <si>
    <t>Shop Equipment</t>
  </si>
  <si>
    <t>Vehicles</t>
  </si>
  <si>
    <t>Water Lines</t>
  </si>
  <si>
    <t>Radio Read Meters</t>
  </si>
  <si>
    <t>2024 Additions</t>
  </si>
  <si>
    <t>Three Vehicles</t>
  </si>
  <si>
    <t>PWA Adjustment</t>
  </si>
  <si>
    <t>1,000 gals Purch / GFRWC</t>
  </si>
  <si>
    <t>x  Increase in Rate</t>
  </si>
  <si>
    <t>Increased Cost of Water</t>
  </si>
  <si>
    <t>Pension &amp; Benefit Components</t>
  </si>
  <si>
    <t>x Tap Fee</t>
  </si>
  <si>
    <t>H</t>
  </si>
  <si>
    <t>I</t>
  </si>
  <si>
    <t xml:space="preserve"> meter capitalization</t>
  </si>
  <si>
    <t xml:space="preserve"> PWA</t>
  </si>
  <si>
    <t xml:space="preserve"> reduced roster &amp; raises</t>
  </si>
  <si>
    <t xml:space="preserve"> retirement - FT empl &amp; incr. rate</t>
  </si>
  <si>
    <t xml:space="preserve"> Incr in P &amp; L</t>
  </si>
  <si>
    <t>Empl Life Ins Premium</t>
  </si>
  <si>
    <t>Allowable Annual Empl. Health Ins.</t>
  </si>
  <si>
    <t>Total Allowable Employee Ins. Expense</t>
  </si>
  <si>
    <t>Table B</t>
  </si>
  <si>
    <t>DEBT SERVICE SCHEDULE</t>
  </si>
  <si>
    <t>Average Annual Principal &amp; Interest</t>
  </si>
  <si>
    <t>Average Annual Coverage</t>
  </si>
  <si>
    <t>fully depr'd in 2023</t>
  </si>
  <si>
    <t>others</t>
  </si>
  <si>
    <t xml:space="preserve"> partial yr 1 position</t>
  </si>
  <si>
    <t>J</t>
  </si>
  <si>
    <t>K</t>
  </si>
  <si>
    <t>2004 RD Loan</t>
  </si>
  <si>
    <t>2009 RD Loan</t>
  </si>
  <si>
    <t>2012 RD Loan</t>
  </si>
  <si>
    <t>2015 KRWFC Loan</t>
  </si>
  <si>
    <t>CY 2025 - 2029</t>
  </si>
  <si>
    <t xml:space="preserve"> ded tap fees</t>
  </si>
  <si>
    <t>2024 Disposals (included in 2023 expense)</t>
  </si>
  <si>
    <t>* Projections</t>
  </si>
  <si>
    <t>PROPOSED RATE SCHEDULE</t>
  </si>
  <si>
    <t>gallons</t>
  </si>
  <si>
    <t>Minimum Bill</t>
  </si>
  <si>
    <t>per 1,000 gallons</t>
  </si>
  <si>
    <t>Over</t>
  </si>
  <si>
    <t>ALL METERS</t>
  </si>
  <si>
    <t>CURRENT RATE SCHEDULE</t>
  </si>
  <si>
    <t xml:space="preserve"> Annual fee - Billing System</t>
  </si>
  <si>
    <t>CURRENT BILLING ANALYSIS WITH 2023 USAGE &amp; EXISTING RATES</t>
  </si>
  <si>
    <t>PROPOSED BILLING ANALYSIS WITH 2023 USAGE &amp; PROPOSED RATES</t>
  </si>
  <si>
    <t>L</t>
  </si>
  <si>
    <t xml:space="preserve">     No liabilites included in Annual Report</t>
  </si>
  <si>
    <t>Transmission &amp; Dist. Mains</t>
  </si>
  <si>
    <t>*  Includes only costs of assets that contributed to depreciation expense in the test year.</t>
  </si>
  <si>
    <t xml:space="preserve"> Adjustment </t>
  </si>
  <si>
    <t>MONTHLY WATER RATES</t>
  </si>
  <si>
    <t>Dollar</t>
  </si>
  <si>
    <t>Percent</t>
  </si>
  <si>
    <t>No. of Gallons per Month</t>
  </si>
  <si>
    <t xml:space="preserve">Current </t>
  </si>
  <si>
    <t>Increase</t>
  </si>
  <si>
    <t>First 2,000 Gals. *</t>
  </si>
  <si>
    <t>* Lump sum minimum bill</t>
  </si>
  <si>
    <t>Next 8,000 Gallons</t>
  </si>
  <si>
    <t>Next 40,000 Gallons</t>
  </si>
  <si>
    <t>Over 50,000 Gallons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</si>
</sst>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m/dd/yy;@"/>
    <numFmt numFmtId="166" formatCode="_([$$-409]* #,##0_);_([$$-409]* \(#,##0\);_([$$-409]* &quot;-&quot;??_);_(@_)"/>
    <numFmt numFmtId="167" formatCode="_(* #,##0_);_(* \(#,##0\);_(* &quot;-&quot;??_);_(@_)"/>
    <numFmt numFmtId="168" formatCode="0.0%"/>
    <numFmt numFmtId="169" formatCode="_(* #,##0.0_);_(* \(#,##0.0\);_(* &quot;-&quot;??_);_(@_)"/>
    <numFmt numFmtId="170" formatCode="0.000%"/>
    <numFmt numFmtId="171" formatCode="_(* #,##0.000000_);_(* \(#,##0.000000\);_(* &quot;-&quot;??_);_(@_)"/>
    <numFmt numFmtId="172" formatCode="&quot;$&quot;#,##0.00"/>
  </numFmts>
  <fonts count="32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 val="singleAccounting"/>
      <sz val="11"/>
      <color rgb="FFFF0000"/>
      <name val="Calibri"/>
      <family val="2"/>
      <scheme val="minor"/>
    </font>
    <font>
      <sz val="10"/>
      <name val="Times New Roman"/>
      <family val="1"/>
    </font>
    <font>
      <b/>
      <u/>
      <sz val="10"/>
      <name val="Times New Roman"/>
      <family val="1"/>
    </font>
    <font>
      <u/>
      <sz val="12"/>
      <name val="Calibri"/>
      <family val="2"/>
      <scheme val="minor"/>
    </font>
    <font>
      <u val="singleAccounting"/>
      <sz val="12"/>
      <name val="Calibri"/>
      <family val="2"/>
      <scheme val="minor"/>
    </font>
    <font>
      <b/>
      <i/>
      <u/>
      <sz val="12"/>
      <color rgb="FF00B05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 val="singleAccounting"/>
      <sz val="11"/>
      <color rgb="FF00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7" fontId="4" fillId="0" borderId="0" xfId="1" applyNumberFormat="1" applyFont="1"/>
    <xf numFmtId="44" fontId="4" fillId="0" borderId="0" xfId="2" applyFont="1" applyBorder="1"/>
    <xf numFmtId="44" fontId="4" fillId="0" borderId="2" xfId="2" applyFont="1" applyBorder="1"/>
    <xf numFmtId="164" fontId="4" fillId="0" borderId="0" xfId="4" applyNumberFormat="1" applyFont="1"/>
    <xf numFmtId="37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167" fontId="4" fillId="0" borderId="0" xfId="5" applyNumberFormat="1" applyFont="1"/>
    <xf numFmtId="167" fontId="4" fillId="0" borderId="1" xfId="5" applyNumberFormat="1" applyFont="1" applyBorder="1"/>
    <xf numFmtId="44" fontId="4" fillId="0" borderId="0" xfId="4" applyFont="1"/>
    <xf numFmtId="0" fontId="4" fillId="0" borderId="1" xfId="0" applyFont="1" applyBorder="1"/>
    <xf numFmtId="43" fontId="4" fillId="0" borderId="1" xfId="5" applyFont="1" applyBorder="1"/>
    <xf numFmtId="3" fontId="4" fillId="0" borderId="0" xfId="0" applyNumberFormat="1" applyFont="1"/>
    <xf numFmtId="3" fontId="10" fillId="0" borderId="0" xfId="0" applyNumberFormat="1" applyFont="1" applyAlignment="1">
      <alignment vertical="center"/>
    </xf>
    <xf numFmtId="3" fontId="10" fillId="0" borderId="0" xfId="0" applyNumberFormat="1" applyFont="1"/>
    <xf numFmtId="0" fontId="10" fillId="0" borderId="0" xfId="0" applyFont="1"/>
    <xf numFmtId="3" fontId="4" fillId="0" borderId="0" xfId="0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37" fontId="4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167" fontId="4" fillId="0" borderId="0" xfId="1" applyNumberFormat="1" applyFont="1" applyAlignment="1"/>
    <xf numFmtId="168" fontId="4" fillId="0" borderId="0" xfId="0" applyNumberFormat="1" applyFont="1" applyAlignment="1">
      <alignment vertical="center"/>
    </xf>
    <xf numFmtId="43" fontId="4" fillId="0" borderId="0" xfId="5" applyFont="1"/>
    <xf numFmtId="3" fontId="4" fillId="0" borderId="1" xfId="0" applyNumberFormat="1" applyFont="1" applyBorder="1"/>
    <xf numFmtId="170" fontId="4" fillId="0" borderId="0" xfId="6" applyNumberFormat="1" applyFont="1"/>
    <xf numFmtId="167" fontId="14" fillId="0" borderId="0" xfId="1" applyNumberFormat="1" applyFont="1" applyAlignment="1">
      <alignment vertical="center"/>
    </xf>
    <xf numFmtId="167" fontId="4" fillId="0" borderId="0" xfId="0" applyNumberFormat="1" applyFont="1"/>
    <xf numFmtId="3" fontId="3" fillId="0" borderId="0" xfId="0" applyNumberFormat="1" applyFont="1"/>
    <xf numFmtId="3" fontId="15" fillId="0" borderId="0" xfId="0" applyNumberFormat="1" applyFont="1" applyAlignment="1">
      <alignment horizontal="left" vertical="center"/>
    </xf>
    <xf numFmtId="167" fontId="7" fillId="0" borderId="0" xfId="1" applyNumberFormat="1" applyFont="1"/>
    <xf numFmtId="10" fontId="4" fillId="0" borderId="0" xfId="3" applyNumberFormat="1" applyFont="1" applyAlignment="1">
      <alignment vertical="center"/>
    </xf>
    <xf numFmtId="164" fontId="4" fillId="0" borderId="0" xfId="2" applyNumberFormat="1" applyFont="1"/>
    <xf numFmtId="167" fontId="4" fillId="0" borderId="0" xfId="5" applyNumberFormat="1" applyFont="1" applyBorder="1"/>
    <xf numFmtId="170" fontId="13" fillId="0" borderId="0" xfId="6" applyNumberFormat="1" applyFont="1"/>
    <xf numFmtId="167" fontId="4" fillId="0" borderId="1" xfId="1" applyNumberFormat="1" applyFont="1" applyBorder="1"/>
    <xf numFmtId="167" fontId="4" fillId="0" borderId="3" xfId="5" applyNumberFormat="1" applyFont="1" applyBorder="1"/>
    <xf numFmtId="167" fontId="4" fillId="0" borderId="4" xfId="5" applyNumberFormat="1" applyFont="1" applyBorder="1"/>
    <xf numFmtId="167" fontId="4" fillId="0" borderId="5" xfId="5" applyNumberFormat="1" applyFont="1" applyBorder="1"/>
    <xf numFmtId="167" fontId="4" fillId="0" borderId="2" xfId="5" applyNumberFormat="1" applyFont="1" applyBorder="1"/>
    <xf numFmtId="167" fontId="4" fillId="0" borderId="7" xfId="5" applyNumberFormat="1" applyFont="1" applyBorder="1"/>
    <xf numFmtId="167" fontId="4" fillId="0" borderId="8" xfId="5" applyNumberFormat="1" applyFont="1" applyBorder="1"/>
    <xf numFmtId="167" fontId="7" fillId="0" borderId="0" xfId="5" applyNumberFormat="1" applyFont="1" applyBorder="1" applyAlignment="1">
      <alignment horizontal="center"/>
    </xf>
    <xf numFmtId="43" fontId="4" fillId="0" borderId="0" xfId="5" applyFont="1" applyBorder="1"/>
    <xf numFmtId="167" fontId="10" fillId="0" borderId="0" xfId="1" applyNumberFormat="1" applyFont="1" applyAlignment="1"/>
    <xf numFmtId="167" fontId="7" fillId="0" borderId="6" xfId="5" applyNumberFormat="1" applyFont="1" applyBorder="1" applyAlignment="1">
      <alignment horizontal="center"/>
    </xf>
    <xf numFmtId="167" fontId="7" fillId="0" borderId="2" xfId="5" applyNumberFormat="1" applyFont="1" applyBorder="1" applyAlignment="1">
      <alignment horizontal="center"/>
    </xf>
    <xf numFmtId="168" fontId="4" fillId="0" borderId="6" xfId="6" applyNumberFormat="1" applyFont="1" applyBorder="1"/>
    <xf numFmtId="43" fontId="4" fillId="2" borderId="0" xfId="5" applyFont="1" applyFill="1" applyBorder="1"/>
    <xf numFmtId="43" fontId="4" fillId="0" borderId="7" xfId="5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1" xfId="0" applyFont="1" applyBorder="1"/>
    <xf numFmtId="0" fontId="10" fillId="0" borderId="8" xfId="0" applyFont="1" applyBorder="1"/>
    <xf numFmtId="3" fontId="8" fillId="0" borderId="0" xfId="0" applyNumberFormat="1" applyFont="1" applyAlignment="1">
      <alignment horizontal="center" vertical="center"/>
    </xf>
    <xf numFmtId="43" fontId="4" fillId="0" borderId="0" xfId="1" applyFont="1"/>
    <xf numFmtId="43" fontId="7" fillId="0" borderId="0" xfId="1" applyFont="1"/>
    <xf numFmtId="3" fontId="5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167" fontId="4" fillId="0" borderId="0" xfId="5" quotePrefix="1" applyNumberFormat="1" applyFont="1"/>
    <xf numFmtId="167" fontId="7" fillId="0" borderId="0" xfId="1" applyNumberFormat="1" applyFont="1" applyAlignment="1">
      <alignment vertical="center"/>
    </xf>
    <xf numFmtId="0" fontId="13" fillId="0" borderId="0" xfId="0" applyFont="1"/>
    <xf numFmtId="43" fontId="7" fillId="0" borderId="0" xfId="5" applyFont="1" applyAlignment="1">
      <alignment horizontal="center"/>
    </xf>
    <xf numFmtId="9" fontId="4" fillId="0" borderId="0" xfId="3" applyFont="1"/>
    <xf numFmtId="43" fontId="4" fillId="0" borderId="0" xfId="1" applyFont="1" applyAlignment="1">
      <alignment horizontal="right"/>
    </xf>
    <xf numFmtId="167" fontId="4" fillId="0" borderId="0" xfId="1" quotePrefix="1" applyNumberFormat="1" applyFont="1" applyAlignment="1">
      <alignment vertical="center"/>
    </xf>
    <xf numFmtId="164" fontId="4" fillId="0" borderId="0" xfId="2" applyNumberFormat="1" applyFont="1" applyAlignment="1">
      <alignment vertical="center"/>
    </xf>
    <xf numFmtId="166" fontId="4" fillId="0" borderId="0" xfId="0" applyNumberFormat="1" applyFont="1"/>
    <xf numFmtId="0" fontId="17" fillId="0" borderId="0" xfId="0" applyFont="1" applyAlignment="1">
      <alignment horizontal="center"/>
    </xf>
    <xf numFmtId="0" fontId="18" fillId="0" borderId="0" xfId="0" applyFont="1"/>
    <xf numFmtId="164" fontId="18" fillId="0" borderId="9" xfId="2" applyNumberFormat="1" applyFont="1" applyBorder="1"/>
    <xf numFmtId="10" fontId="4" fillId="0" borderId="1" xfId="0" applyNumberFormat="1" applyFont="1" applyBorder="1"/>
    <xf numFmtId="0" fontId="4" fillId="0" borderId="0" xfId="0" applyFont="1" applyAlignment="1">
      <alignment horizontal="left"/>
    </xf>
    <xf numFmtId="170" fontId="3" fillId="0" borderId="0" xfId="6" applyNumberFormat="1" applyFont="1"/>
    <xf numFmtId="43" fontId="3" fillId="0" borderId="0" xfId="1" applyFont="1"/>
    <xf numFmtId="43" fontId="3" fillId="0" borderId="0" xfId="1" applyFont="1" applyAlignment="1">
      <alignment horizontal="right"/>
    </xf>
    <xf numFmtId="0" fontId="3" fillId="0" borderId="0" xfId="0" applyFont="1"/>
    <xf numFmtId="167" fontId="3" fillId="0" borderId="0" xfId="1" applyNumberFormat="1" applyFont="1"/>
    <xf numFmtId="167" fontId="4" fillId="0" borderId="10" xfId="5" applyNumberFormat="1" applyFont="1" applyBorder="1"/>
    <xf numFmtId="167" fontId="7" fillId="0" borderId="11" xfId="5" applyNumberFormat="1" applyFont="1" applyBorder="1" applyAlignment="1">
      <alignment horizontal="center"/>
    </xf>
    <xf numFmtId="44" fontId="4" fillId="0" borderId="11" xfId="2" applyFont="1" applyBorder="1"/>
    <xf numFmtId="43" fontId="4" fillId="0" borderId="12" xfId="5" applyFont="1" applyBorder="1"/>
    <xf numFmtId="43" fontId="7" fillId="0" borderId="6" xfId="1" applyFont="1" applyBorder="1" applyAlignment="1">
      <alignment horizontal="center"/>
    </xf>
    <xf numFmtId="43" fontId="7" fillId="0" borderId="2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10" fontId="19" fillId="0" borderId="0" xfId="3" applyNumberFormat="1" applyFont="1"/>
    <xf numFmtId="167" fontId="3" fillId="0" borderId="0" xfId="5" applyNumberFormat="1" applyFont="1" applyBorder="1" applyAlignment="1">
      <alignment horizontal="center"/>
    </xf>
    <xf numFmtId="167" fontId="10" fillId="0" borderId="0" xfId="1" applyNumberFormat="1" applyFont="1"/>
    <xf numFmtId="167" fontId="16" fillId="0" borderId="0" xfId="1" applyNumberFormat="1" applyFont="1"/>
    <xf numFmtId="171" fontId="4" fillId="0" borderId="0" xfId="0" applyNumberFormat="1" applyFont="1"/>
    <xf numFmtId="167" fontId="4" fillId="0" borderId="0" xfId="5" applyNumberFormat="1" applyFont="1" applyAlignment="1">
      <alignment horizontal="right"/>
    </xf>
    <xf numFmtId="10" fontId="4" fillId="0" borderId="0" xfId="0" applyNumberFormat="1" applyFont="1" applyAlignment="1">
      <alignment vertical="center"/>
    </xf>
    <xf numFmtId="10" fontId="4" fillId="0" borderId="0" xfId="3" applyNumberFormat="1" applyFont="1"/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/>
    </xf>
    <xf numFmtId="3" fontId="23" fillId="0" borderId="0" xfId="0" applyNumberFormat="1" applyFont="1"/>
    <xf numFmtId="3" fontId="2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44" fontId="4" fillId="0" borderId="0" xfId="0" applyNumberFormat="1" applyFont="1"/>
    <xf numFmtId="43" fontId="4" fillId="0" borderId="0" xfId="5" applyFont="1" applyBorder="1" applyAlignment="1"/>
    <xf numFmtId="44" fontId="4" fillId="0" borderId="0" xfId="4" applyFont="1" applyBorder="1" applyAlignment="1"/>
    <xf numFmtId="43" fontId="6" fillId="0" borderId="0" xfId="1" applyFont="1" applyBorder="1" applyAlignment="1">
      <alignment horizontal="centerContinuous"/>
    </xf>
    <xf numFmtId="3" fontId="4" fillId="0" borderId="0" xfId="0" applyNumberFormat="1" applyFont="1" applyAlignment="1">
      <alignment horizontal="center"/>
    </xf>
    <xf numFmtId="167" fontId="22" fillId="0" borderId="0" xfId="1" applyNumberFormat="1" applyFont="1" applyAlignment="1">
      <alignment vertical="center"/>
    </xf>
    <xf numFmtId="0" fontId="4" fillId="0" borderId="0" xfId="0" applyFont="1" applyAlignment="1">
      <alignment horizontal="centerContinuous"/>
    </xf>
    <xf numFmtId="167" fontId="4" fillId="0" borderId="0" xfId="0" applyNumberFormat="1" applyFont="1" applyAlignment="1">
      <alignment horizontal="right"/>
    </xf>
    <xf numFmtId="167" fontId="10" fillId="0" borderId="0" xfId="1" applyNumberFormat="1" applyFont="1" applyAlignment="1">
      <alignment vertical="center"/>
    </xf>
    <xf numFmtId="167" fontId="8" fillId="0" borderId="0" xfId="1" applyNumberFormat="1" applyFont="1" applyAlignment="1">
      <alignment horizontal="center" vertical="center"/>
    </xf>
    <xf numFmtId="167" fontId="26" fillId="0" borderId="0" xfId="1" applyNumberFormat="1" applyFont="1" applyAlignment="1">
      <alignment vertical="center"/>
    </xf>
    <xf numFmtId="167" fontId="7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3" fontId="8" fillId="0" borderId="6" xfId="0" applyNumberFormat="1" applyFont="1" applyBorder="1" applyAlignment="1">
      <alignment horizontal="center" vertical="center"/>
    </xf>
    <xf numFmtId="43" fontId="4" fillId="0" borderId="0" xfId="1" applyFont="1" applyAlignment="1">
      <alignment horizontal="left"/>
    </xf>
    <xf numFmtId="43" fontId="6" fillId="0" borderId="0" xfId="1" applyFont="1"/>
    <xf numFmtId="43" fontId="4" fillId="0" borderId="11" xfId="1" applyFont="1" applyBorder="1"/>
    <xf numFmtId="43" fontId="4" fillId="0" borderId="2" xfId="1" applyFont="1" applyBorder="1"/>
    <xf numFmtId="167" fontId="4" fillId="0" borderId="0" xfId="5" applyNumberFormat="1" applyFont="1" applyBorder="1" applyAlignment="1">
      <alignment horizontal="center"/>
    </xf>
    <xf numFmtId="167" fontId="4" fillId="2" borderId="0" xfId="5" applyNumberFormat="1" applyFont="1" applyFill="1" applyBorder="1" applyAlignment="1">
      <alignment horizontal="center"/>
    </xf>
    <xf numFmtId="43" fontId="4" fillId="2" borderId="11" xfId="1" applyFont="1" applyFill="1" applyBorder="1"/>
    <xf numFmtId="43" fontId="4" fillId="2" borderId="2" xfId="1" applyFont="1" applyFill="1" applyBorder="1"/>
    <xf numFmtId="3" fontId="10" fillId="0" borderId="4" xfId="0" applyNumberFormat="1" applyFont="1" applyBorder="1"/>
    <xf numFmtId="3" fontId="23" fillId="0" borderId="4" xfId="0" applyNumberFormat="1" applyFont="1" applyBorder="1"/>
    <xf numFmtId="3" fontId="10" fillId="0" borderId="5" xfId="0" applyNumberFormat="1" applyFont="1" applyBorder="1"/>
    <xf numFmtId="3" fontId="8" fillId="0" borderId="0" xfId="0" applyNumberFormat="1" applyFont="1" applyAlignment="1">
      <alignment horizontal="centerContinuous" vertical="center"/>
    </xf>
    <xf numFmtId="3" fontId="10" fillId="0" borderId="0" xfId="0" applyNumberFormat="1" applyFont="1" applyAlignment="1">
      <alignment horizontal="centerContinuous" vertical="center"/>
    </xf>
    <xf numFmtId="3" fontId="23" fillId="0" borderId="0" xfId="0" applyNumberFormat="1" applyFont="1" applyAlignment="1">
      <alignment horizontal="centerContinuous" vertical="center"/>
    </xf>
    <xf numFmtId="3" fontId="10" fillId="0" borderId="6" xfId="0" applyNumberFormat="1" applyFont="1" applyBorder="1" applyAlignment="1">
      <alignment vertical="center"/>
    </xf>
    <xf numFmtId="3" fontId="12" fillId="0" borderId="0" xfId="0" applyNumberFormat="1" applyFont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7" fontId="4" fillId="0" borderId="6" xfId="1" applyNumberFormat="1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3" fontId="23" fillId="0" borderId="0" xfId="0" applyNumberFormat="1" applyFont="1" applyAlignment="1">
      <alignment vertical="center"/>
    </xf>
    <xf numFmtId="167" fontId="14" fillId="0" borderId="6" xfId="1" applyNumberFormat="1" applyFont="1" applyBorder="1" applyAlignment="1">
      <alignment vertical="center"/>
    </xf>
    <xf numFmtId="167" fontId="4" fillId="0" borderId="0" xfId="1" applyNumberFormat="1" applyFont="1" applyBorder="1" applyAlignment="1">
      <alignment vertical="center"/>
    </xf>
    <xf numFmtId="167" fontId="7" fillId="0" borderId="0" xfId="1" applyNumberFormat="1" applyFont="1" applyBorder="1" applyAlignment="1">
      <alignment vertical="center"/>
    </xf>
    <xf numFmtId="0" fontId="23" fillId="0" borderId="0" xfId="0" applyFont="1"/>
    <xf numFmtId="167" fontId="4" fillId="0" borderId="6" xfId="1" applyNumberFormat="1" applyFont="1" applyBorder="1" applyAlignment="1"/>
    <xf numFmtId="3" fontId="3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center"/>
    </xf>
    <xf numFmtId="168" fontId="4" fillId="0" borderId="1" xfId="0" applyNumberFormat="1" applyFont="1" applyBorder="1" applyAlignment="1">
      <alignment vertical="center"/>
    </xf>
    <xf numFmtId="167" fontId="4" fillId="0" borderId="8" xfId="1" applyNumberFormat="1" applyFont="1" applyBorder="1" applyAlignment="1"/>
    <xf numFmtId="3" fontId="8" fillId="0" borderId="1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167" fontId="14" fillId="0" borderId="0" xfId="1" applyNumberFormat="1" applyFont="1" applyBorder="1" applyAlignment="1">
      <alignment vertical="center"/>
    </xf>
    <xf numFmtId="3" fontId="10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167" fontId="4" fillId="0" borderId="0" xfId="1" applyNumberFormat="1" applyFont="1" applyAlignment="1">
      <alignment horizontal="right"/>
    </xf>
    <xf numFmtId="167" fontId="7" fillId="0" borderId="0" xfId="5" applyNumberFormat="1" applyFont="1" applyBorder="1" applyAlignment="1">
      <alignment vertical="center"/>
    </xf>
    <xf numFmtId="167" fontId="4" fillId="0" borderId="0" xfId="5" quotePrefix="1" applyNumberFormat="1" applyFont="1" applyBorder="1" applyAlignment="1">
      <alignment vertical="center"/>
    </xf>
    <xf numFmtId="164" fontId="4" fillId="0" borderId="0" xfId="4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10" fontId="3" fillId="0" borderId="0" xfId="6" applyNumberFormat="1" applyFont="1" applyAlignment="1">
      <alignment vertical="center"/>
    </xf>
    <xf numFmtId="43" fontId="6" fillId="0" borderId="0" xfId="1" applyFont="1" applyBorder="1" applyAlignment="1">
      <alignment horizontal="center"/>
    </xf>
    <xf numFmtId="0" fontId="5" fillId="0" borderId="0" xfId="0" applyFont="1"/>
    <xf numFmtId="37" fontId="4" fillId="0" borderId="0" xfId="0" applyNumberFormat="1" applyFont="1"/>
    <xf numFmtId="167" fontId="4" fillId="0" borderId="0" xfId="5" applyNumberFormat="1" applyFont="1" applyFill="1"/>
    <xf numFmtId="37" fontId="4" fillId="0" borderId="1" xfId="0" applyNumberFormat="1" applyFont="1" applyBorder="1"/>
    <xf numFmtId="167" fontId="4" fillId="0" borderId="1" xfId="5" applyNumberFormat="1" applyFont="1" applyFill="1" applyBorder="1"/>
    <xf numFmtId="43" fontId="5" fillId="0" borderId="0" xfId="1" applyFont="1"/>
    <xf numFmtId="167" fontId="13" fillId="0" borderId="0" xfId="1" applyNumberFormat="1" applyFont="1"/>
    <xf numFmtId="3" fontId="27" fillId="0" borderId="0" xfId="0" applyNumberFormat="1" applyFont="1"/>
    <xf numFmtId="167" fontId="4" fillId="0" borderId="0" xfId="1" applyNumberFormat="1" applyFont="1" applyAlignment="1">
      <alignment horizontal="right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67" fontId="15" fillId="0" borderId="7" xfId="5" applyNumberFormat="1" applyFont="1" applyBorder="1" applyAlignment="1">
      <alignment horizontal="center"/>
    </xf>
    <xf numFmtId="167" fontId="15" fillId="0" borderId="1" xfId="5" applyNumberFormat="1" applyFont="1" applyBorder="1" applyAlignment="1">
      <alignment horizontal="center"/>
    </xf>
    <xf numFmtId="167" fontId="15" fillId="0" borderId="8" xfId="5" applyNumberFormat="1" applyFont="1" applyBorder="1" applyAlignment="1">
      <alignment horizontal="center"/>
    </xf>
    <xf numFmtId="169" fontId="4" fillId="0" borderId="0" xfId="5" applyNumberFormat="1" applyFont="1" applyBorder="1"/>
    <xf numFmtId="167" fontId="28" fillId="0" borderId="0" xfId="5" applyNumberFormat="1" applyFont="1" applyBorder="1" applyAlignment="1">
      <alignment horizontal="left" vertical="top"/>
    </xf>
    <xf numFmtId="167" fontId="5" fillId="0" borderId="0" xfId="5" applyNumberFormat="1" applyFont="1" applyBorder="1" applyAlignment="1">
      <alignment horizontal="center"/>
    </xf>
    <xf numFmtId="0" fontId="0" fillId="0" borderId="6" xfId="0" applyBorder="1"/>
    <xf numFmtId="0" fontId="0" fillId="0" borderId="2" xfId="0" applyBorder="1"/>
    <xf numFmtId="43" fontId="6" fillId="0" borderId="0" xfId="5" applyFont="1" applyBorder="1" applyAlignment="1">
      <alignment horizontal="center"/>
    </xf>
    <xf numFmtId="169" fontId="5" fillId="0" borderId="0" xfId="5" applyNumberFormat="1" applyFont="1" applyBorder="1" applyAlignment="1">
      <alignment horizontal="center"/>
    </xf>
    <xf numFmtId="167" fontId="5" fillId="0" borderId="2" xfId="5" applyNumberFormat="1" applyFont="1" applyBorder="1" applyAlignment="1">
      <alignment horizontal="center"/>
    </xf>
    <xf numFmtId="167" fontId="29" fillId="0" borderId="2" xfId="5" applyNumberFormat="1" applyFont="1" applyBorder="1" applyAlignment="1">
      <alignment vertical="top"/>
    </xf>
    <xf numFmtId="165" fontId="28" fillId="0" borderId="0" xfId="5" applyNumberFormat="1" applyFont="1" applyBorder="1" applyAlignment="1">
      <alignment horizontal="center" vertical="top"/>
    </xf>
    <xf numFmtId="169" fontId="28" fillId="0" borderId="0" xfId="5" applyNumberFormat="1" applyFont="1" applyBorder="1" applyAlignment="1">
      <alignment horizontal="left" vertical="top"/>
    </xf>
    <xf numFmtId="167" fontId="28" fillId="0" borderId="2" xfId="5" applyNumberFormat="1" applyFont="1" applyBorder="1" applyAlignment="1">
      <alignment vertical="top"/>
    </xf>
    <xf numFmtId="169" fontId="28" fillId="0" borderId="0" xfId="5" applyNumberFormat="1" applyFont="1" applyBorder="1" applyAlignment="1">
      <alignment horizontal="right" vertical="top"/>
    </xf>
    <xf numFmtId="167" fontId="28" fillId="0" borderId="0" xfId="5" quotePrefix="1" applyNumberFormat="1" applyFont="1" applyBorder="1" applyAlignment="1">
      <alignment horizontal="left" vertical="top"/>
    </xf>
    <xf numFmtId="165" fontId="28" fillId="0" borderId="0" xfId="5" quotePrefix="1" applyNumberFormat="1" applyFont="1" applyBorder="1" applyAlignment="1">
      <alignment horizontal="center" vertical="top"/>
    </xf>
    <xf numFmtId="167" fontId="29" fillId="0" borderId="0" xfId="5" applyNumberFormat="1" applyFont="1" applyBorder="1" applyAlignment="1">
      <alignment horizontal="left" vertical="top"/>
    </xf>
    <xf numFmtId="165" fontId="29" fillId="0" borderId="0" xfId="5" applyNumberFormat="1" applyFont="1" applyBorder="1" applyAlignment="1">
      <alignment horizontal="center" vertical="top"/>
    </xf>
    <xf numFmtId="169" fontId="29" fillId="0" borderId="0" xfId="5" applyNumberFormat="1" applyFont="1" applyBorder="1" applyAlignment="1">
      <alignment horizontal="left" vertical="top"/>
    </xf>
    <xf numFmtId="0" fontId="0" fillId="0" borderId="7" xfId="0" applyBorder="1"/>
    <xf numFmtId="0" fontId="0" fillId="0" borderId="1" xfId="0" applyBorder="1"/>
    <xf numFmtId="0" fontId="0" fillId="0" borderId="8" xfId="0" applyBorder="1"/>
    <xf numFmtId="167" fontId="28" fillId="0" borderId="0" xfId="5" applyNumberFormat="1" applyFont="1" applyBorder="1" applyAlignment="1">
      <alignment vertical="top"/>
    </xf>
    <xf numFmtId="43" fontId="4" fillId="0" borderId="0" xfId="1" quotePrefix="1" applyFont="1" applyAlignment="1">
      <alignment horizontal="right"/>
    </xf>
    <xf numFmtId="167" fontId="3" fillId="0" borderId="0" xfId="1" applyNumberFormat="1" applyFont="1" applyAlignment="1">
      <alignment horizontal="right"/>
    </xf>
    <xf numFmtId="43" fontId="3" fillId="0" borderId="0" xfId="5" applyFont="1"/>
    <xf numFmtId="167" fontId="3" fillId="0" borderId="0" xfId="5" applyNumberFormat="1" applyFont="1"/>
    <xf numFmtId="167" fontId="7" fillId="0" borderId="0" xfId="5" applyNumberFormat="1" applyFont="1"/>
    <xf numFmtId="167" fontId="8" fillId="0" borderId="2" xfId="5" applyNumberFormat="1" applyFont="1" applyBorder="1" applyAlignment="1">
      <alignment horizontal="centerContinuous"/>
    </xf>
    <xf numFmtId="167" fontId="3" fillId="0" borderId="0" xfId="5" applyNumberFormat="1" applyFont="1" applyAlignment="1">
      <alignment horizontal="centerContinuous"/>
    </xf>
    <xf numFmtId="167" fontId="4" fillId="0" borderId="6" xfId="5" applyNumberFormat="1" applyFont="1" applyBorder="1"/>
    <xf numFmtId="167" fontId="15" fillId="0" borderId="2" xfId="5" applyNumberFormat="1" applyFont="1" applyBorder="1" applyAlignment="1">
      <alignment horizontal="centerContinuous"/>
    </xf>
    <xf numFmtId="167" fontId="5" fillId="0" borderId="0" xfId="5" applyNumberFormat="1" applyFont="1" applyAlignment="1">
      <alignment horizontal="centerContinuous"/>
    </xf>
    <xf numFmtId="3" fontId="11" fillId="0" borderId="2" xfId="0" applyNumberFormat="1" applyFont="1" applyBorder="1" applyAlignment="1">
      <alignment horizontal="centerContinuous" vertical="center"/>
    </xf>
    <xf numFmtId="167" fontId="10" fillId="0" borderId="2" xfId="5" applyNumberFormat="1" applyFont="1" applyBorder="1" applyAlignment="1">
      <alignment horizontal="centerContinuous"/>
    </xf>
    <xf numFmtId="167" fontId="4" fillId="0" borderId="0" xfId="5" applyNumberFormat="1" applyFont="1" applyAlignment="1">
      <alignment horizontal="centerContinuous"/>
    </xf>
    <xf numFmtId="167" fontId="4" fillId="0" borderId="2" xfId="5" applyNumberFormat="1" applyFont="1" applyBorder="1" applyAlignment="1">
      <alignment horizontal="centerContinuous"/>
    </xf>
    <xf numFmtId="167" fontId="4" fillId="0" borderId="10" xfId="5" applyNumberFormat="1" applyFont="1" applyBorder="1" applyAlignment="1">
      <alignment horizontal="left"/>
    </xf>
    <xf numFmtId="167" fontId="4" fillId="0" borderId="3" xfId="5" applyNumberFormat="1" applyFont="1" applyBorder="1" applyAlignment="1">
      <alignment horizontal="left"/>
    </xf>
    <xf numFmtId="167" fontId="4" fillId="0" borderId="4" xfId="5" applyNumberFormat="1" applyFont="1" applyBorder="1" applyAlignment="1">
      <alignment horizontal="left"/>
    </xf>
    <xf numFmtId="167" fontId="4" fillId="0" borderId="5" xfId="5" applyNumberFormat="1" applyFont="1" applyBorder="1" applyAlignment="1">
      <alignment horizontal="left"/>
    </xf>
    <xf numFmtId="167" fontId="4" fillId="0" borderId="11" xfId="5" applyNumberFormat="1" applyFont="1" applyBorder="1"/>
    <xf numFmtId="167" fontId="5" fillId="0" borderId="6" xfId="5" applyNumberFormat="1" applyFont="1" applyBorder="1" applyAlignment="1">
      <alignment horizontal="centerContinuous"/>
    </xf>
    <xf numFmtId="167" fontId="5" fillId="0" borderId="0" xfId="5" applyNumberFormat="1" applyFont="1" applyBorder="1" applyAlignment="1">
      <alignment horizontal="centerContinuous"/>
    </xf>
    <xf numFmtId="167" fontId="6" fillId="0" borderId="2" xfId="5" applyNumberFormat="1" applyFont="1" applyBorder="1" applyAlignment="1">
      <alignment horizontal="center" vertical="center"/>
    </xf>
    <xf numFmtId="167" fontId="6" fillId="0" borderId="0" xfId="5" applyNumberFormat="1" applyFont="1" applyAlignment="1">
      <alignment horizontal="center" vertical="center"/>
    </xf>
    <xf numFmtId="167" fontId="6" fillId="0" borderId="6" xfId="5" applyNumberFormat="1" applyFont="1" applyBorder="1" applyAlignment="1">
      <alignment horizontal="center" vertical="center"/>
    </xf>
    <xf numFmtId="167" fontId="6" fillId="0" borderId="0" xfId="5" applyNumberFormat="1" applyFont="1" applyBorder="1" applyAlignment="1">
      <alignment horizontal="center" vertical="center"/>
    </xf>
    <xf numFmtId="164" fontId="4" fillId="0" borderId="2" xfId="4" quotePrefix="1" applyNumberFormat="1" applyFont="1" applyBorder="1" applyAlignment="1">
      <alignment horizontal="center"/>
    </xf>
    <xf numFmtId="164" fontId="4" fillId="0" borderId="6" xfId="4" quotePrefix="1" applyNumberFormat="1" applyFont="1" applyBorder="1" applyAlignment="1">
      <alignment horizontal="center"/>
    </xf>
    <xf numFmtId="164" fontId="4" fillId="0" borderId="0" xfId="4" quotePrefix="1" applyNumberFormat="1" applyFont="1" applyBorder="1" applyAlignment="1">
      <alignment horizontal="center"/>
    </xf>
    <xf numFmtId="167" fontId="4" fillId="0" borderId="2" xfId="5" applyNumberFormat="1" applyFont="1" applyBorder="1" applyAlignment="1">
      <alignment horizontal="center"/>
    </xf>
    <xf numFmtId="167" fontId="4" fillId="0" borderId="6" xfId="5" applyNumberFormat="1" applyFont="1" applyBorder="1" applyAlignment="1">
      <alignment horizontal="center"/>
    </xf>
    <xf numFmtId="167" fontId="4" fillId="0" borderId="0" xfId="5" applyNumberFormat="1" applyFont="1" applyAlignment="1">
      <alignment horizontal="center"/>
    </xf>
    <xf numFmtId="167" fontId="4" fillId="0" borderId="11" xfId="5" quotePrefix="1" applyNumberFormat="1" applyFont="1" applyBorder="1" applyAlignment="1">
      <alignment horizontal="center"/>
    </xf>
    <xf numFmtId="167" fontId="4" fillId="0" borderId="2" xfId="5" quotePrefix="1" applyNumberFormat="1" applyFont="1" applyBorder="1" applyAlignment="1">
      <alignment horizontal="left"/>
    </xf>
    <xf numFmtId="167" fontId="4" fillId="0" borderId="0" xfId="5" quotePrefix="1" applyNumberFormat="1" applyFont="1" applyAlignment="1">
      <alignment horizontal="left"/>
    </xf>
    <xf numFmtId="167" fontId="3" fillId="0" borderId="2" xfId="5" applyNumberFormat="1" applyFont="1" applyBorder="1" applyAlignment="1">
      <alignment horizontal="center"/>
    </xf>
    <xf numFmtId="167" fontId="3" fillId="0" borderId="2" xfId="5" quotePrefix="1" applyNumberFormat="1" applyFont="1" applyBorder="1" applyAlignment="1">
      <alignment horizontal="left"/>
    </xf>
    <xf numFmtId="167" fontId="3" fillId="0" borderId="0" xfId="5" quotePrefix="1" applyNumberFormat="1" applyFont="1" applyAlignment="1">
      <alignment horizontal="left"/>
    </xf>
    <xf numFmtId="167" fontId="3" fillId="0" borderId="6" xfId="5" quotePrefix="1" applyNumberFormat="1" applyFont="1" applyBorder="1" applyAlignment="1">
      <alignment horizontal="left"/>
    </xf>
    <xf numFmtId="167" fontId="3" fillId="0" borderId="0" xfId="5" quotePrefix="1" applyNumberFormat="1" applyFont="1" applyBorder="1" applyAlignment="1">
      <alignment horizontal="left"/>
    </xf>
    <xf numFmtId="167" fontId="3" fillId="0" borderId="12" xfId="5" applyNumberFormat="1" applyFont="1" applyBorder="1" applyAlignment="1">
      <alignment horizontal="right"/>
    </xf>
    <xf numFmtId="167" fontId="3" fillId="0" borderId="7" xfId="5" applyNumberFormat="1" applyFont="1" applyBorder="1" applyAlignment="1">
      <alignment horizontal="right"/>
    </xf>
    <xf numFmtId="167" fontId="3" fillId="0" borderId="1" xfId="5" applyNumberFormat="1" applyFont="1" applyBorder="1" applyAlignment="1">
      <alignment horizontal="right"/>
    </xf>
    <xf numFmtId="167" fontId="3" fillId="0" borderId="8" xfId="5" applyNumberFormat="1" applyFont="1" applyBorder="1" applyAlignment="1">
      <alignment horizontal="right"/>
    </xf>
    <xf numFmtId="167" fontId="3" fillId="0" borderId="2" xfId="5" applyNumberFormat="1" applyFont="1" applyBorder="1" applyAlignment="1">
      <alignment horizontal="right"/>
    </xf>
    <xf numFmtId="167" fontId="3" fillId="0" borderId="0" xfId="5" applyNumberFormat="1" applyFont="1" applyAlignment="1">
      <alignment horizontal="right"/>
    </xf>
    <xf numFmtId="167" fontId="3" fillId="0" borderId="2" xfId="5" applyNumberFormat="1" applyFont="1" applyBorder="1"/>
    <xf numFmtId="164" fontId="3" fillId="0" borderId="0" xfId="4" applyNumberFormat="1" applyFont="1"/>
    <xf numFmtId="167" fontId="4" fillId="0" borderId="7" xfId="5" applyNumberFormat="1" applyFont="1" applyBorder="1" applyAlignment="1">
      <alignment horizontal="center"/>
    </xf>
    <xf numFmtId="167" fontId="4" fillId="0" borderId="1" xfId="5" applyNumberFormat="1" applyFont="1" applyBorder="1" applyAlignment="1">
      <alignment horizontal="center"/>
    </xf>
    <xf numFmtId="167" fontId="4" fillId="0" borderId="0" xfId="5" quotePrefix="1" applyNumberFormat="1" applyFont="1" applyBorder="1" applyAlignment="1">
      <alignment horizontal="left" vertical="top"/>
    </xf>
    <xf numFmtId="169" fontId="4" fillId="0" borderId="0" xfId="5" applyNumberFormat="1" applyFont="1" applyBorder="1" applyAlignment="1">
      <alignment horizontal="left" vertical="top"/>
    </xf>
    <xf numFmtId="167" fontId="30" fillId="0" borderId="0" xfId="5" applyNumberFormat="1" applyFont="1" applyBorder="1" applyAlignment="1">
      <alignment horizontal="left" vertical="top"/>
    </xf>
    <xf numFmtId="3" fontId="4" fillId="0" borderId="3" xfId="0" applyNumberFormat="1" applyFont="1" applyBorder="1"/>
    <xf numFmtId="167" fontId="28" fillId="0" borderId="4" xfId="5" applyNumberFormat="1" applyFont="1" applyBorder="1" applyAlignment="1">
      <alignment horizontal="left" vertical="top"/>
    </xf>
    <xf numFmtId="3" fontId="4" fillId="0" borderId="4" xfId="0" applyNumberFormat="1" applyFont="1" applyBorder="1"/>
    <xf numFmtId="3" fontId="4" fillId="0" borderId="5" xfId="0" applyNumberFormat="1" applyFont="1" applyBorder="1"/>
    <xf numFmtId="3" fontId="4" fillId="0" borderId="2" xfId="0" applyNumberFormat="1" applyFont="1" applyBorder="1"/>
    <xf numFmtId="3" fontId="4" fillId="0" borderId="6" xfId="0" applyNumberFormat="1" applyFont="1" applyBorder="1"/>
    <xf numFmtId="3" fontId="4" fillId="0" borderId="7" xfId="0" applyNumberFormat="1" applyFont="1" applyBorder="1"/>
    <xf numFmtId="3" fontId="4" fillId="0" borderId="8" xfId="0" applyNumberFormat="1" applyFont="1" applyBorder="1"/>
    <xf numFmtId="164" fontId="29" fillId="0" borderId="0" xfId="2" applyNumberFormat="1" applyFont="1" applyBorder="1" applyAlignment="1">
      <alignment horizontal="left" vertical="top"/>
    </xf>
    <xf numFmtId="3" fontId="4" fillId="0" borderId="4" xfId="0" applyNumberFormat="1" applyFont="1" applyBorder="1" applyAlignment="1">
      <alignment vertical="center"/>
    </xf>
    <xf numFmtId="37" fontId="4" fillId="0" borderId="4" xfId="0" applyNumberFormat="1" applyFont="1" applyBorder="1" applyAlignment="1">
      <alignment vertical="center"/>
    </xf>
    <xf numFmtId="3" fontId="23" fillId="0" borderId="4" xfId="0" applyNumberFormat="1" applyFont="1" applyBorder="1" applyAlignment="1">
      <alignment horizontal="center" vertical="center"/>
    </xf>
    <xf numFmtId="167" fontId="4" fillId="0" borderId="5" xfId="1" applyNumberFormat="1" applyFont="1" applyBorder="1" applyAlignment="1">
      <alignment vertical="center"/>
    </xf>
    <xf numFmtId="167" fontId="5" fillId="0" borderId="2" xfId="5" quotePrefix="1" applyNumberFormat="1" applyFont="1" applyBorder="1" applyAlignment="1">
      <alignment horizontal="centerContinuous"/>
    </xf>
    <xf numFmtId="167" fontId="4" fillId="0" borderId="2" xfId="5" quotePrefix="1" applyNumberFormat="1" applyFont="1" applyBorder="1" applyAlignment="1">
      <alignment horizontal="center"/>
    </xf>
    <xf numFmtId="164" fontId="3" fillId="0" borderId="2" xfId="4" quotePrefix="1" applyNumberFormat="1" applyFont="1" applyBorder="1" applyAlignment="1">
      <alignment horizontal="left"/>
    </xf>
    <xf numFmtId="1" fontId="3" fillId="0" borderId="11" xfId="5" applyNumberFormat="1" applyFont="1" applyBorder="1" applyAlignment="1">
      <alignment horizontal="center"/>
    </xf>
    <xf numFmtId="167" fontId="10" fillId="0" borderId="0" xfId="5" applyNumberFormat="1" applyFont="1" applyBorder="1"/>
    <xf numFmtId="43" fontId="31" fillId="0" borderId="0" xfId="1" applyFont="1" applyAlignment="1">
      <alignment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2" xfId="0" applyFont="1" applyBorder="1"/>
    <xf numFmtId="0" fontId="4" fillId="0" borderId="6" xfId="0" applyFont="1" applyBorder="1"/>
    <xf numFmtId="167" fontId="4" fillId="0" borderId="0" xfId="5" applyNumberFormat="1" applyFont="1" applyBorder="1" applyAlignment="1"/>
    <xf numFmtId="0" fontId="13" fillId="0" borderId="0" xfId="0" applyFont="1" applyAlignment="1">
      <alignment horizontal="center"/>
    </xf>
    <xf numFmtId="43" fontId="7" fillId="0" borderId="0" xfId="1" applyFont="1" applyBorder="1"/>
    <xf numFmtId="10" fontId="11" fillId="0" borderId="0" xfId="0" applyNumberFormat="1" applyFont="1" applyAlignment="1">
      <alignment horizontal="right"/>
    </xf>
    <xf numFmtId="0" fontId="11" fillId="0" borderId="0" xfId="0" quotePrefix="1" applyFont="1" applyAlignment="1">
      <alignment horizontal="left"/>
    </xf>
    <xf numFmtId="0" fontId="11" fillId="0" borderId="0" xfId="0" applyFont="1" applyAlignment="1">
      <alignment horizontal="right"/>
    </xf>
    <xf numFmtId="169" fontId="31" fillId="0" borderId="0" xfId="1" applyNumberFormat="1" applyFont="1" applyAlignment="1">
      <alignment vertical="center"/>
    </xf>
    <xf numFmtId="169" fontId="4" fillId="0" borderId="0" xfId="1" applyNumberFormat="1" applyFont="1"/>
    <xf numFmtId="0" fontId="28" fillId="3" borderId="0" xfId="0" applyFont="1" applyFill="1"/>
    <xf numFmtId="0" fontId="13" fillId="3" borderId="0" xfId="0" applyFont="1" applyFill="1" applyAlignment="1">
      <alignment horizontal="center"/>
    </xf>
    <xf numFmtId="3" fontId="13" fillId="3" borderId="0" xfId="0" applyNumberFormat="1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3" fontId="4" fillId="3" borderId="0" xfId="0" applyNumberFormat="1" applyFont="1" applyFill="1"/>
    <xf numFmtId="172" fontId="4" fillId="3" borderId="0" xfId="2" applyNumberFormat="1" applyFont="1" applyFill="1" applyAlignment="1">
      <alignment horizontal="right"/>
    </xf>
    <xf numFmtId="172" fontId="4" fillId="3" borderId="0" xfId="2" applyNumberFormat="1" applyFont="1" applyFill="1"/>
    <xf numFmtId="10" fontId="4" fillId="3" borderId="0" xfId="3" applyNumberFormat="1" applyFont="1" applyFill="1"/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12" fillId="0" borderId="0" xfId="0" applyFont="1"/>
    <xf numFmtId="164" fontId="4" fillId="0" borderId="0" xfId="4" applyNumberFormat="1" applyFont="1" applyBorder="1"/>
    <xf numFmtId="167" fontId="4" fillId="0" borderId="0" xfId="5" applyNumberFormat="1" applyFont="1" applyBorder="1" applyAlignment="1">
      <alignment horizontal="right" vertical="center"/>
    </xf>
    <xf numFmtId="167" fontId="4" fillId="0" borderId="0" xfId="5" applyNumberFormat="1" applyFont="1" applyBorder="1" applyAlignment="1">
      <alignment horizontal="right"/>
    </xf>
    <xf numFmtId="43" fontId="5" fillId="0" borderId="2" xfId="1" applyFont="1" applyBorder="1"/>
    <xf numFmtId="0" fontId="4" fillId="0" borderId="6" xfId="0" applyFont="1" applyBorder="1" applyAlignment="1">
      <alignment horizontal="center"/>
    </xf>
    <xf numFmtId="37" fontId="4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67" fontId="4" fillId="0" borderId="0" xfId="5" applyNumberFormat="1" applyFont="1" applyFill="1" applyBorder="1"/>
    <xf numFmtId="167" fontId="4" fillId="0" borderId="6" xfId="5" applyNumberFormat="1" applyFont="1" applyFill="1" applyBorder="1"/>
    <xf numFmtId="167" fontId="4" fillId="0" borderId="8" xfId="5" applyNumberFormat="1" applyFont="1" applyFill="1" applyBorder="1"/>
    <xf numFmtId="37" fontId="4" fillId="0" borderId="6" xfId="0" applyNumberFormat="1" applyFont="1" applyBorder="1"/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44" fontId="4" fillId="0" borderId="0" xfId="4" applyFont="1" applyBorder="1"/>
    <xf numFmtId="0" fontId="4" fillId="0" borderId="7" xfId="0" applyFont="1" applyBorder="1"/>
    <xf numFmtId="0" fontId="4" fillId="0" borderId="8" xfId="0" applyFont="1" applyBorder="1"/>
    <xf numFmtId="0" fontId="9" fillId="0" borderId="2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3" fontId="11" fillId="0" borderId="0" xfId="0" applyNumberFormat="1" applyFont="1" applyAlignment="1">
      <alignment horizontal="center" vertical="center"/>
    </xf>
    <xf numFmtId="0" fontId="12" fillId="0" borderId="0" xfId="1" applyNumberFormat="1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167" fontId="8" fillId="0" borderId="2" xfId="5" applyNumberFormat="1" applyFont="1" applyBorder="1" applyAlignment="1">
      <alignment horizontal="center"/>
    </xf>
    <xf numFmtId="167" fontId="8" fillId="0" borderId="0" xfId="5" applyNumberFormat="1" applyFont="1" applyBorder="1" applyAlignment="1">
      <alignment horizontal="center"/>
    </xf>
    <xf numFmtId="167" fontId="8" fillId="0" borderId="6" xfId="5" applyNumberFormat="1" applyFont="1" applyBorder="1" applyAlignment="1">
      <alignment horizontal="center"/>
    </xf>
    <xf numFmtId="167" fontId="15" fillId="0" borderId="2" xfId="5" applyNumberFormat="1" applyFont="1" applyBorder="1" applyAlignment="1">
      <alignment horizontal="center"/>
    </xf>
    <xf numFmtId="167" fontId="15" fillId="0" borderId="0" xfId="5" applyNumberFormat="1" applyFont="1" applyBorder="1" applyAlignment="1">
      <alignment horizontal="center"/>
    </xf>
    <xf numFmtId="167" fontId="15" fillId="0" borderId="6" xfId="5" applyNumberFormat="1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167" fontId="6" fillId="0" borderId="2" xfId="5" applyNumberFormat="1" applyFont="1" applyBorder="1" applyAlignment="1">
      <alignment horizontal="center"/>
    </xf>
    <xf numFmtId="167" fontId="6" fillId="0" borderId="0" xfId="5" applyNumberFormat="1" applyFont="1" applyBorder="1" applyAlignment="1">
      <alignment horizontal="center"/>
    </xf>
    <xf numFmtId="167" fontId="5" fillId="0" borderId="2" xfId="5" applyNumberFormat="1" applyFont="1" applyBorder="1" applyAlignment="1">
      <alignment horizontal="center"/>
    </xf>
    <xf numFmtId="167" fontId="5" fillId="0" borderId="6" xfId="5" applyNumberFormat="1" applyFont="1" applyBorder="1" applyAlignment="1">
      <alignment horizontal="center"/>
    </xf>
    <xf numFmtId="167" fontId="5" fillId="0" borderId="0" xfId="5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3" fontId="11" fillId="0" borderId="6" xfId="0" applyNumberFormat="1" applyFont="1" applyBorder="1" applyAlignment="1">
      <alignment horizontal="center" vertical="center"/>
    </xf>
    <xf numFmtId="43" fontId="6" fillId="0" borderId="6" xfId="1" applyFont="1" applyBorder="1" applyAlignment="1">
      <alignment horizontal="center"/>
    </xf>
    <xf numFmtId="167" fontId="7" fillId="0" borderId="2" xfId="5" applyNumberFormat="1" applyFont="1" applyBorder="1" applyAlignment="1">
      <alignment horizontal="center"/>
    </xf>
    <xf numFmtId="167" fontId="7" fillId="0" borderId="0" xfId="5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167" fontId="4" fillId="4" borderId="0" xfId="1" applyNumberFormat="1" applyFont="1" applyFill="1" applyAlignment="1">
      <alignment vertical="center"/>
    </xf>
    <xf numFmtId="0" fontId="4" fillId="4" borderId="0" xfId="0" applyFont="1" applyFill="1" applyAlignment="1">
      <alignment vertical="center"/>
    </xf>
    <xf numFmtId="167" fontId="4" fillId="4" borderId="0" xfId="1" applyNumberFormat="1" applyFont="1" applyFill="1"/>
    <xf numFmtId="0" fontId="4" fillId="4" borderId="0" xfId="0" applyFont="1" applyFill="1"/>
  </cellXfs>
  <cellStyles count="7">
    <cellStyle name="Comma" xfId="1" builtinId="3"/>
    <cellStyle name="Comma 2" xfId="5" xr:uid="{00000000-0005-0000-0000-000001000000}"/>
    <cellStyle name="Currency" xfId="2" builtinId="4"/>
    <cellStyle name="Currency 2" xfId="4" xr:uid="{00000000-0005-0000-0000-000003000000}"/>
    <cellStyle name="Normal" xfId="0" builtinId="0"/>
    <cellStyle name="Percent" xfId="3" builtinId="5"/>
    <cellStyle name="Percent 2" xfId="6" xr:uid="{00000000-0005-0000-0000-000006000000}"/>
  </cellStyles>
  <dxfs count="0"/>
  <tableStyles count="0" defaultTableStyle="TableStyleMedium9" defaultPivotStyle="PivotStyleLight16"/>
  <colors>
    <mruColors>
      <color rgb="FFFFFFCC"/>
      <color rgb="FF59B589"/>
      <color rgb="FFFFFF99"/>
      <color rgb="FFCCFFCC"/>
      <color rgb="FFFF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U65"/>
  <sheetViews>
    <sheetView tabSelected="1" workbookViewId="0"/>
  </sheetViews>
  <sheetFormatPr defaultColWidth="8.88671875" defaultRowHeight="15.75" x14ac:dyDescent="0.5"/>
  <cols>
    <col min="1" max="1" width="8.88671875" style="17"/>
    <col min="2" max="2" width="0.88671875" style="17" customWidth="1"/>
    <col min="3" max="3" width="3.6640625" style="16" customWidth="1"/>
    <col min="4" max="4" width="2.6640625" style="16" customWidth="1"/>
    <col min="5" max="5" width="27.33203125" style="16" customWidth="1"/>
    <col min="6" max="6" width="9.77734375" style="16" customWidth="1"/>
    <col min="7" max="7" width="10.21875" style="16" customWidth="1"/>
    <col min="8" max="8" width="4.88671875" style="101" customWidth="1"/>
    <col min="9" max="9" width="11.109375" style="16" customWidth="1"/>
    <col min="10" max="10" width="1.109375" style="16" customWidth="1"/>
    <col min="11" max="11" width="11.33203125" style="16" customWidth="1"/>
    <col min="12" max="12" width="9.6640625" style="16" customWidth="1"/>
    <col min="13" max="15" width="9.77734375" style="16" customWidth="1"/>
    <col min="16" max="16" width="9.77734375" style="46" customWidth="1"/>
    <col min="17" max="255" width="9.6640625" style="16" customWidth="1"/>
    <col min="256" max="257" width="9.6640625" style="17" customWidth="1"/>
    <col min="258" max="16384" width="8.88671875" style="17"/>
  </cols>
  <sheetData>
    <row r="2" spans="2:19" ht="8.1" customHeight="1" x14ac:dyDescent="0.5">
      <c r="B2" s="53"/>
      <c r="C2" s="129"/>
      <c r="D2" s="129"/>
      <c r="E2" s="129"/>
      <c r="F2" s="129"/>
      <c r="G2" s="129"/>
      <c r="H2" s="130"/>
      <c r="I2" s="129"/>
      <c r="J2" s="131"/>
    </row>
    <row r="3" spans="2:19" ht="18" x14ac:dyDescent="0.5">
      <c r="B3" s="52"/>
      <c r="C3" s="132" t="s">
        <v>28</v>
      </c>
      <c r="D3" s="133"/>
      <c r="E3" s="133"/>
      <c r="F3" s="133"/>
      <c r="G3" s="133"/>
      <c r="H3" s="134"/>
      <c r="I3" s="133"/>
      <c r="J3" s="135"/>
      <c r="K3" s="15"/>
      <c r="L3" s="15"/>
      <c r="M3" s="15"/>
      <c r="N3" s="15"/>
      <c r="O3" s="15"/>
      <c r="P3" s="114"/>
    </row>
    <row r="4" spans="2:19" ht="18.75" customHeight="1" x14ac:dyDescent="0.5">
      <c r="B4" s="52"/>
      <c r="C4" s="319" t="s">
        <v>133</v>
      </c>
      <c r="D4" s="319"/>
      <c r="E4" s="319"/>
      <c r="F4" s="319"/>
      <c r="G4" s="319"/>
      <c r="H4" s="319"/>
      <c r="I4" s="319"/>
      <c r="J4" s="120"/>
      <c r="K4"/>
      <c r="L4" s="15"/>
      <c r="M4" s="60"/>
      <c r="N4" s="60"/>
      <c r="O4" s="60"/>
      <c r="P4" s="115"/>
      <c r="Q4" s="60"/>
      <c r="R4" s="60"/>
      <c r="S4" s="60"/>
    </row>
    <row r="5" spans="2:19" ht="8.1" customHeight="1" x14ac:dyDescent="0.5">
      <c r="B5" s="57"/>
      <c r="C5" s="152"/>
      <c r="D5" s="152"/>
      <c r="E5" s="152"/>
      <c r="F5" s="152"/>
      <c r="G5" s="152"/>
      <c r="H5" s="152"/>
      <c r="I5" s="152"/>
      <c r="J5" s="153"/>
      <c r="K5"/>
      <c r="L5" s="15"/>
      <c r="M5" s="60"/>
      <c r="N5" s="60"/>
      <c r="O5" s="60"/>
      <c r="P5" s="115"/>
      <c r="Q5" s="60"/>
      <c r="R5" s="60"/>
      <c r="S5" s="60"/>
    </row>
    <row r="6" spans="2:19" ht="8.1" customHeight="1" x14ac:dyDescent="0.5">
      <c r="B6" s="52"/>
      <c r="C6" s="15"/>
      <c r="D6" s="15"/>
      <c r="E6" s="15"/>
      <c r="F6" s="136"/>
      <c r="G6" s="136"/>
      <c r="H6" s="137"/>
      <c r="I6" s="136"/>
      <c r="J6" s="155"/>
      <c r="K6" s="15"/>
      <c r="L6" s="15"/>
      <c r="M6" s="15"/>
      <c r="N6" s="15"/>
      <c r="O6" s="15"/>
      <c r="P6" s="114"/>
    </row>
    <row r="7" spans="2:19" x14ac:dyDescent="0.5">
      <c r="B7" s="52"/>
      <c r="C7" s="18"/>
      <c r="D7" s="18"/>
      <c r="E7" s="18"/>
      <c r="F7" s="138" t="s">
        <v>72</v>
      </c>
      <c r="G7" s="138" t="s">
        <v>27</v>
      </c>
      <c r="H7" s="137" t="s">
        <v>42</v>
      </c>
      <c r="I7" s="138" t="s">
        <v>71</v>
      </c>
      <c r="J7" s="139"/>
      <c r="K7" s="19"/>
      <c r="L7" s="143"/>
      <c r="M7" s="19"/>
      <c r="N7" s="15"/>
      <c r="O7" s="15"/>
      <c r="P7" s="114"/>
    </row>
    <row r="8" spans="2:19" x14ac:dyDescent="0.5">
      <c r="B8" s="52"/>
      <c r="C8" s="140" t="s">
        <v>8</v>
      </c>
      <c r="D8" s="18"/>
      <c r="E8" s="18"/>
      <c r="F8" s="18"/>
      <c r="G8" s="18"/>
      <c r="H8" s="141"/>
      <c r="I8" s="18"/>
      <c r="J8" s="139"/>
      <c r="K8" s="19"/>
      <c r="L8" s="143"/>
      <c r="M8" s="19"/>
      <c r="N8" s="15"/>
      <c r="O8" s="15"/>
      <c r="P8" s="114"/>
    </row>
    <row r="9" spans="2:19" x14ac:dyDescent="0.5">
      <c r="B9" s="52"/>
      <c r="C9" s="18"/>
      <c r="D9" s="18" t="s">
        <v>125</v>
      </c>
      <c r="E9" s="18"/>
      <c r="F9" s="20">
        <v>2029740</v>
      </c>
      <c r="G9" s="20">
        <f>I9-F9</f>
        <v>16635.05569999991</v>
      </c>
      <c r="H9" s="99" t="s">
        <v>79</v>
      </c>
      <c r="I9" s="20">
        <f>ExBA!G12</f>
        <v>2046375.0556999999</v>
      </c>
      <c r="J9" s="56"/>
      <c r="K9" s="154" t="s">
        <v>155</v>
      </c>
      <c r="L9" s="143"/>
      <c r="M9" s="19"/>
      <c r="N9" s="15"/>
      <c r="O9" s="15"/>
      <c r="P9" s="114"/>
    </row>
    <row r="10" spans="2:19" x14ac:dyDescent="0.5">
      <c r="B10" s="52"/>
      <c r="C10" s="18"/>
      <c r="D10" s="18" t="s">
        <v>35</v>
      </c>
      <c r="E10" s="18"/>
      <c r="F10" s="20"/>
      <c r="G10" s="143"/>
      <c r="H10" s="99"/>
      <c r="I10" s="20"/>
      <c r="J10" s="56"/>
      <c r="K10" s="143"/>
      <c r="L10" s="143"/>
      <c r="M10" s="19"/>
      <c r="N10" s="15"/>
      <c r="O10" s="15"/>
      <c r="P10" s="114"/>
    </row>
    <row r="11" spans="2:19" x14ac:dyDescent="0.5">
      <c r="B11" s="52"/>
      <c r="C11" s="18"/>
      <c r="D11" s="18"/>
      <c r="E11" s="18" t="s">
        <v>33</v>
      </c>
      <c r="F11" s="143">
        <v>0</v>
      </c>
      <c r="G11" s="143">
        <f>-G13</f>
        <v>30181</v>
      </c>
      <c r="H11" s="99" t="s">
        <v>127</v>
      </c>
      <c r="I11" s="143">
        <f>F11+G11</f>
        <v>30181</v>
      </c>
      <c r="J11" s="56"/>
      <c r="K11" s="154" t="s">
        <v>126</v>
      </c>
      <c r="L11" s="143"/>
      <c r="M11" s="33"/>
      <c r="N11" s="15"/>
      <c r="O11" s="15"/>
      <c r="P11" s="114"/>
    </row>
    <row r="12" spans="2:19" x14ac:dyDescent="0.5">
      <c r="B12" s="52"/>
      <c r="C12" s="18"/>
      <c r="D12" s="18"/>
      <c r="E12" s="18" t="s">
        <v>34</v>
      </c>
      <c r="F12" s="143">
        <v>56629</v>
      </c>
      <c r="I12" s="143">
        <f t="shared" ref="I12:I13" si="0">F12+G12</f>
        <v>56629</v>
      </c>
      <c r="J12" s="56"/>
      <c r="K12" s="154"/>
      <c r="L12" s="143"/>
      <c r="M12" s="33"/>
      <c r="N12" s="15"/>
      <c r="O12" s="15"/>
      <c r="P12" s="114"/>
    </row>
    <row r="13" spans="2:19" ht="16.5" x14ac:dyDescent="0.5">
      <c r="B13" s="52"/>
      <c r="C13" s="18"/>
      <c r="D13" s="18"/>
      <c r="E13" s="17" t="s">
        <v>116</v>
      </c>
      <c r="F13" s="144">
        <v>30181</v>
      </c>
      <c r="G13" s="143">
        <v>-30181</v>
      </c>
      <c r="H13" s="99" t="s">
        <v>127</v>
      </c>
      <c r="I13" s="144">
        <f t="shared" si="0"/>
        <v>0</v>
      </c>
      <c r="J13" s="56"/>
      <c r="K13" s="154"/>
      <c r="L13" s="143"/>
      <c r="M13" s="19"/>
      <c r="N13" s="15"/>
      <c r="O13" s="15"/>
      <c r="P13" s="114"/>
    </row>
    <row r="14" spans="2:19" x14ac:dyDescent="0.5">
      <c r="B14" s="52"/>
      <c r="C14" s="22" t="s">
        <v>9</v>
      </c>
      <c r="D14" s="18"/>
      <c r="E14" s="18"/>
      <c r="F14" s="20">
        <f>SUM(F9:F13)</f>
        <v>2116550</v>
      </c>
      <c r="G14" s="143"/>
      <c r="H14" s="99"/>
      <c r="I14" s="20">
        <f>SUM(I9:I13)</f>
        <v>2133185.0556999999</v>
      </c>
      <c r="J14" s="56"/>
      <c r="K14" s="143"/>
      <c r="L14" s="143"/>
      <c r="M14" s="19"/>
      <c r="N14" s="15"/>
      <c r="O14" s="15"/>
      <c r="P14" s="114"/>
    </row>
    <row r="15" spans="2:19" x14ac:dyDescent="0.5">
      <c r="B15" s="52"/>
      <c r="C15" s="18"/>
      <c r="D15" s="18"/>
      <c r="E15" s="18"/>
      <c r="F15" s="21"/>
      <c r="G15" s="143"/>
      <c r="H15" s="99"/>
      <c r="I15" s="21"/>
      <c r="J15" s="56"/>
      <c r="K15" s="143"/>
      <c r="L15" s="143"/>
      <c r="M15" s="19"/>
      <c r="O15" s="15"/>
      <c r="P15" s="114"/>
    </row>
    <row r="16" spans="2:19" x14ac:dyDescent="0.5">
      <c r="B16" s="52"/>
      <c r="C16" s="140" t="s">
        <v>10</v>
      </c>
      <c r="D16" s="18"/>
      <c r="E16" s="18"/>
      <c r="F16" s="21"/>
      <c r="G16" s="143"/>
      <c r="H16" s="99"/>
      <c r="I16" s="21"/>
      <c r="J16" s="56"/>
      <c r="K16" s="154"/>
      <c r="L16" s="143"/>
      <c r="M16" s="19"/>
      <c r="O16" s="15"/>
      <c r="P16" s="17"/>
    </row>
    <row r="17" spans="2:17" x14ac:dyDescent="0.5">
      <c r="B17" s="52"/>
      <c r="C17" s="18"/>
      <c r="D17" s="18" t="s">
        <v>16</v>
      </c>
      <c r="E17" s="18"/>
      <c r="F17" s="21"/>
      <c r="G17" s="143"/>
      <c r="H17" s="99"/>
      <c r="I17" s="21"/>
      <c r="J17" s="56"/>
      <c r="K17" s="154"/>
      <c r="L17" s="143"/>
      <c r="M17" s="15"/>
      <c r="N17" s="15"/>
      <c r="O17" s="15"/>
    </row>
    <row r="18" spans="2:17" x14ac:dyDescent="0.5">
      <c r="B18" s="52"/>
      <c r="C18" s="18"/>
      <c r="D18" s="18"/>
      <c r="E18" s="18" t="s">
        <v>20</v>
      </c>
      <c r="F18" s="143">
        <v>507815</v>
      </c>
      <c r="G18" s="143">
        <f>Adj!P23</f>
        <v>-9425.0324999999721</v>
      </c>
      <c r="H18" s="99" t="s">
        <v>128</v>
      </c>
      <c r="I18" s="143"/>
      <c r="J18" s="56"/>
      <c r="K18" s="154" t="s">
        <v>218</v>
      </c>
      <c r="L18" s="143"/>
      <c r="M18" s="15"/>
      <c r="N18" s="15"/>
      <c r="O18" s="15"/>
    </row>
    <row r="19" spans="2:17" x14ac:dyDescent="0.5">
      <c r="B19" s="52"/>
      <c r="C19" s="18"/>
      <c r="D19" s="18"/>
      <c r="E19" s="18"/>
      <c r="F19" s="143"/>
      <c r="G19" s="143">
        <f>-Adj!U9</f>
        <v>-26970</v>
      </c>
      <c r="H19" s="99" t="s">
        <v>114</v>
      </c>
      <c r="I19" s="143">
        <f>SUM(F18:G19)</f>
        <v>471419.96750000003</v>
      </c>
      <c r="J19" s="56"/>
      <c r="K19" s="154" t="s">
        <v>216</v>
      </c>
      <c r="L19" s="143"/>
      <c r="M19" s="15"/>
      <c r="N19" s="15"/>
      <c r="O19" s="15"/>
    </row>
    <row r="20" spans="2:17" x14ac:dyDescent="0.5">
      <c r="B20" s="52"/>
      <c r="C20" s="18"/>
      <c r="D20" s="18"/>
      <c r="E20" s="18" t="s">
        <v>21</v>
      </c>
      <c r="F20" s="143">
        <v>14000</v>
      </c>
      <c r="G20" s="143">
        <v>400</v>
      </c>
      <c r="H20" s="100" t="s">
        <v>129</v>
      </c>
      <c r="I20" s="143">
        <f>F20+G20</f>
        <v>14400</v>
      </c>
      <c r="J20" s="56"/>
      <c r="K20" s="154" t="s">
        <v>230</v>
      </c>
      <c r="L20" s="143"/>
      <c r="M20" s="19"/>
      <c r="N20" s="15"/>
      <c r="O20" s="15"/>
    </row>
    <row r="21" spans="2:17" x14ac:dyDescent="0.5">
      <c r="B21" s="52"/>
      <c r="C21" s="18"/>
      <c r="D21" s="18"/>
      <c r="E21" s="18" t="s">
        <v>22</v>
      </c>
      <c r="F21" s="143">
        <v>176745</v>
      </c>
      <c r="G21" s="143">
        <f>Adj!P35</f>
        <v>1340.9967500000057</v>
      </c>
      <c r="H21" s="100" t="s">
        <v>80</v>
      </c>
      <c r="I21" s="143"/>
      <c r="J21" s="56"/>
      <c r="K21" s="154" t="s">
        <v>219</v>
      </c>
      <c r="L21" s="143"/>
      <c r="O21" s="15"/>
    </row>
    <row r="22" spans="2:17" x14ac:dyDescent="0.5">
      <c r="B22" s="52"/>
      <c r="C22" s="18"/>
      <c r="D22" s="18"/>
      <c r="E22" s="18"/>
      <c r="F22" s="143"/>
      <c r="G22" s="143">
        <f>Adj!G36</f>
        <v>-21047.953600000008</v>
      </c>
      <c r="H22" s="100" t="s">
        <v>81</v>
      </c>
      <c r="I22" s="143">
        <f>SUM(F21:G22)</f>
        <v>157038.04314999998</v>
      </c>
      <c r="J22" s="56"/>
      <c r="K22" s="154" t="s">
        <v>73</v>
      </c>
      <c r="L22" s="143"/>
      <c r="O22" s="15"/>
    </row>
    <row r="23" spans="2:17" x14ac:dyDescent="0.5">
      <c r="B23" s="52"/>
      <c r="C23" s="18"/>
      <c r="D23" s="18"/>
      <c r="E23" s="18" t="s">
        <v>134</v>
      </c>
      <c r="F23" s="143">
        <v>652253</v>
      </c>
      <c r="G23" s="143">
        <f>Adj!U16</f>
        <v>21327.390000000003</v>
      </c>
      <c r="H23" s="102" t="s">
        <v>214</v>
      </c>
      <c r="I23" s="143">
        <f>F23+G23</f>
        <v>673580.39</v>
      </c>
      <c r="J23" s="56"/>
      <c r="K23" s="154" t="s">
        <v>217</v>
      </c>
      <c r="L23" s="143"/>
      <c r="O23" s="15"/>
    </row>
    <row r="24" spans="2:17" x14ac:dyDescent="0.5">
      <c r="B24" s="52"/>
      <c r="C24" s="18"/>
      <c r="D24" s="18"/>
      <c r="E24" s="18" t="s">
        <v>23</v>
      </c>
      <c r="F24" s="143">
        <v>16108</v>
      </c>
      <c r="G24" s="143"/>
      <c r="H24" s="100"/>
      <c r="I24" s="143">
        <f t="shared" ref="I24:I30" si="1">F24+G24</f>
        <v>16108</v>
      </c>
      <c r="J24" s="56"/>
      <c r="K24" s="154"/>
      <c r="L24" s="143"/>
      <c r="M24" s="19"/>
      <c r="N24" s="15"/>
      <c r="O24" s="15"/>
      <c r="P24" s="114"/>
    </row>
    <row r="25" spans="2:17" x14ac:dyDescent="0.5">
      <c r="B25" s="52"/>
      <c r="C25" s="18"/>
      <c r="D25" s="18"/>
      <c r="E25" s="18" t="s">
        <v>66</v>
      </c>
      <c r="F25" s="143">
        <v>294944</v>
      </c>
      <c r="G25" s="143">
        <f>-Adj!U10</f>
        <v>-62929.999999999993</v>
      </c>
      <c r="H25" s="99" t="s">
        <v>114</v>
      </c>
      <c r="I25" s="143">
        <f t="shared" si="1"/>
        <v>232014</v>
      </c>
      <c r="J25" s="56"/>
      <c r="K25" s="154" t="s">
        <v>216</v>
      </c>
      <c r="N25" s="15"/>
      <c r="O25" s="15"/>
      <c r="P25" s="118"/>
    </row>
    <row r="26" spans="2:17" x14ac:dyDescent="0.5">
      <c r="B26" s="52"/>
      <c r="C26" s="18"/>
      <c r="D26" s="18"/>
      <c r="E26" s="18" t="s">
        <v>24</v>
      </c>
      <c r="F26" s="143">
        <v>72573</v>
      </c>
      <c r="G26" s="143">
        <f>(101000-41817)</f>
        <v>59183</v>
      </c>
      <c r="H26" s="100" t="s">
        <v>215</v>
      </c>
      <c r="I26" s="143">
        <f t="shared" si="1"/>
        <v>131756</v>
      </c>
      <c r="J26" s="56"/>
      <c r="K26" s="154" t="s">
        <v>248</v>
      </c>
      <c r="L26" s="143"/>
      <c r="M26" s="19"/>
      <c r="N26" s="15"/>
      <c r="O26" s="15"/>
      <c r="P26" s="119"/>
      <c r="Q26" s="17"/>
    </row>
    <row r="27" spans="2:17" x14ac:dyDescent="0.5">
      <c r="B27" s="52"/>
      <c r="C27" s="18"/>
      <c r="D27" s="18"/>
      <c r="E27" s="18" t="s">
        <v>29</v>
      </c>
      <c r="F27" s="143">
        <v>66137</v>
      </c>
      <c r="G27" s="143"/>
      <c r="H27" s="99"/>
      <c r="I27" s="143">
        <f t="shared" si="1"/>
        <v>66137</v>
      </c>
      <c r="J27" s="56"/>
      <c r="K27" s="154"/>
      <c r="L27" s="143"/>
      <c r="M27" s="19"/>
      <c r="N27" s="15"/>
      <c r="O27" s="15"/>
      <c r="P27" s="114"/>
      <c r="Q27" s="17"/>
    </row>
    <row r="28" spans="2:17" x14ac:dyDescent="0.5">
      <c r="B28" s="52"/>
      <c r="C28" s="18"/>
      <c r="D28" s="18"/>
      <c r="E28" s="18" t="s">
        <v>124</v>
      </c>
      <c r="F28" s="143">
        <v>29198</v>
      </c>
      <c r="G28" s="143">
        <f>(30819-23033)</f>
        <v>7786</v>
      </c>
      <c r="H28" s="102" t="s">
        <v>231</v>
      </c>
      <c r="I28" s="143">
        <f t="shared" si="1"/>
        <v>36984</v>
      </c>
      <c r="J28" s="56"/>
      <c r="K28" s="154" t="s">
        <v>220</v>
      </c>
      <c r="L28" s="17"/>
      <c r="M28" s="19"/>
      <c r="N28" s="15"/>
      <c r="O28" s="15"/>
      <c r="P28" s="93"/>
      <c r="Q28" s="17"/>
    </row>
    <row r="29" spans="2:17" x14ac:dyDescent="0.5">
      <c r="B29" s="52"/>
      <c r="C29" s="18"/>
      <c r="D29" s="18"/>
      <c r="E29" s="18" t="s">
        <v>135</v>
      </c>
      <c r="F29" s="143">
        <v>647</v>
      </c>
      <c r="G29" s="143"/>
      <c r="H29" s="99"/>
      <c r="I29" s="143">
        <f t="shared" si="1"/>
        <v>647</v>
      </c>
      <c r="J29" s="56"/>
      <c r="K29" s="154"/>
      <c r="L29" s="17"/>
      <c r="M29" s="19"/>
      <c r="N29" s="15"/>
      <c r="O29" s="15"/>
      <c r="P29" s="93"/>
      <c r="Q29" s="17"/>
    </row>
    <row r="30" spans="2:17" ht="16.5" x14ac:dyDescent="0.5">
      <c r="B30" s="52"/>
      <c r="C30" s="18"/>
      <c r="D30" s="18"/>
      <c r="E30" s="18" t="s">
        <v>25</v>
      </c>
      <c r="F30" s="144">
        <v>28987</v>
      </c>
      <c r="G30" s="143"/>
      <c r="H30" s="145"/>
      <c r="I30" s="144">
        <f t="shared" si="1"/>
        <v>28987</v>
      </c>
      <c r="J30" s="56"/>
      <c r="K30" s="154"/>
      <c r="L30" s="143"/>
      <c r="M30" s="19"/>
      <c r="N30" s="15"/>
      <c r="O30" s="15"/>
      <c r="P30" s="93"/>
      <c r="Q30" s="17"/>
    </row>
    <row r="31" spans="2:17" x14ac:dyDescent="0.5">
      <c r="B31" s="52"/>
      <c r="C31" s="18"/>
      <c r="D31" s="22" t="s">
        <v>17</v>
      </c>
      <c r="E31" s="18"/>
      <c r="F31" s="21">
        <f>SUM(F18:F30)</f>
        <v>1859407</v>
      </c>
      <c r="G31" s="143"/>
      <c r="H31" s="99"/>
      <c r="I31" s="21">
        <f>SUM(I18:I30)</f>
        <v>1829071.4006500002</v>
      </c>
      <c r="J31" s="56"/>
      <c r="K31" s="154"/>
      <c r="L31" s="143"/>
      <c r="M31" s="19"/>
      <c r="N31" s="15"/>
      <c r="O31" s="15"/>
      <c r="P31" s="93"/>
      <c r="Q31" s="17"/>
    </row>
    <row r="32" spans="2:17" x14ac:dyDescent="0.5">
      <c r="B32" s="52"/>
      <c r="C32" s="18"/>
      <c r="D32" s="18" t="s">
        <v>18</v>
      </c>
      <c r="E32" s="18"/>
      <c r="F32" s="21">
        <v>353115</v>
      </c>
      <c r="G32" s="143">
        <f>DeprAdj!J40</f>
        <v>33946.820555555547</v>
      </c>
      <c r="H32" s="102" t="s">
        <v>232</v>
      </c>
      <c r="I32" s="21">
        <f>F32+G32</f>
        <v>387061.82055555552</v>
      </c>
      <c r="J32" s="56"/>
      <c r="K32" s="154" t="s">
        <v>65</v>
      </c>
      <c r="L32" s="143"/>
      <c r="M32" s="19"/>
      <c r="N32" s="15"/>
      <c r="O32" s="15"/>
      <c r="P32" s="93"/>
      <c r="Q32" s="17"/>
    </row>
    <row r="33" spans="2:20" ht="18" x14ac:dyDescent="0.5">
      <c r="B33" s="52"/>
      <c r="C33" s="18"/>
      <c r="D33" s="18" t="s">
        <v>19</v>
      </c>
      <c r="E33" s="18"/>
      <c r="F33" s="144">
        <v>40105</v>
      </c>
      <c r="G33" s="143">
        <f>Adj!P29</f>
        <v>183.69251375000022</v>
      </c>
      <c r="H33" s="100" t="s">
        <v>128</v>
      </c>
      <c r="I33" s="144">
        <f>F33+G33</f>
        <v>40288.69251375</v>
      </c>
      <c r="J33" s="56"/>
      <c r="K33" s="154" t="s">
        <v>218</v>
      </c>
      <c r="L33" s="19"/>
      <c r="M33" s="19"/>
      <c r="N33" s="15"/>
      <c r="O33" s="15"/>
      <c r="P33" s="116"/>
    </row>
    <row r="34" spans="2:20" x14ac:dyDescent="0.5">
      <c r="B34" s="52"/>
      <c r="C34" s="22" t="s">
        <v>11</v>
      </c>
      <c r="D34" s="18"/>
      <c r="E34" s="18"/>
      <c r="F34" s="20">
        <f>SUM(F31:F33)</f>
        <v>2252627</v>
      </c>
      <c r="G34" s="20"/>
      <c r="H34" s="99"/>
      <c r="I34" s="20">
        <f>SUM(I31:I33)</f>
        <v>2256421.9137193058</v>
      </c>
      <c r="J34" s="142"/>
      <c r="K34" s="19"/>
      <c r="L34" s="19"/>
      <c r="M34" s="19"/>
      <c r="N34" s="15"/>
      <c r="O34" s="15"/>
      <c r="P34" s="114"/>
    </row>
    <row r="35" spans="2:20" x14ac:dyDescent="0.5">
      <c r="B35" s="52"/>
      <c r="C35" s="22" t="s">
        <v>30</v>
      </c>
      <c r="D35" s="18"/>
      <c r="E35" s="18"/>
      <c r="F35" s="20">
        <f>F14-F34</f>
        <v>-136077</v>
      </c>
      <c r="G35" s="143"/>
      <c r="H35" s="99"/>
      <c r="I35" s="20">
        <f>I14-I34</f>
        <v>-123236.85801930586</v>
      </c>
      <c r="J35" s="142"/>
      <c r="K35" s="19"/>
      <c r="L35" s="19"/>
      <c r="M35" s="19"/>
      <c r="N35" s="15"/>
      <c r="O35" s="15"/>
      <c r="P35" s="114"/>
    </row>
    <row r="36" spans="2:20" x14ac:dyDescent="0.5">
      <c r="B36" s="52"/>
      <c r="C36" s="22"/>
      <c r="D36" s="18"/>
      <c r="E36" s="18"/>
      <c r="F36" s="20"/>
      <c r="G36" s="143"/>
      <c r="H36" s="99"/>
      <c r="I36" s="20"/>
      <c r="J36" s="142"/>
      <c r="K36" s="19"/>
      <c r="L36" s="19"/>
      <c r="M36" s="19"/>
      <c r="N36" s="15"/>
      <c r="O36" s="15"/>
      <c r="P36" s="114"/>
    </row>
    <row r="37" spans="2:20" ht="15" customHeight="1" x14ac:dyDescent="0.5">
      <c r="B37" s="53"/>
      <c r="C37" s="262"/>
      <c r="D37" s="262"/>
      <c r="E37" s="262"/>
      <c r="F37" s="263"/>
      <c r="G37" s="262"/>
      <c r="H37" s="264"/>
      <c r="I37" s="263"/>
      <c r="J37" s="265"/>
      <c r="K37" s="19"/>
      <c r="L37" s="19"/>
      <c r="M37" s="19"/>
      <c r="N37" s="15"/>
      <c r="O37" s="15"/>
      <c r="P37" s="114"/>
    </row>
    <row r="38" spans="2:20" x14ac:dyDescent="0.5">
      <c r="B38" s="52"/>
      <c r="C38" s="320" t="s">
        <v>40</v>
      </c>
      <c r="D38" s="320"/>
      <c r="E38" s="320"/>
      <c r="F38" s="320"/>
      <c r="G38" s="320"/>
      <c r="H38" s="320"/>
      <c r="I38" s="320"/>
      <c r="J38" s="139"/>
      <c r="K38" s="17"/>
      <c r="L38" s="19"/>
      <c r="M38" s="19"/>
      <c r="N38" s="15"/>
      <c r="O38" s="15"/>
      <c r="P38" s="114"/>
    </row>
    <row r="39" spans="2:20" x14ac:dyDescent="0.5">
      <c r="B39" s="52"/>
      <c r="C39" s="22" t="s">
        <v>12</v>
      </c>
      <c r="D39" s="18"/>
      <c r="E39" s="18"/>
      <c r="F39" s="14"/>
      <c r="G39" s="18"/>
      <c r="H39" s="99"/>
      <c r="I39" s="20">
        <f>I34</f>
        <v>2256421.9137193058</v>
      </c>
      <c r="J39" s="146"/>
      <c r="K39" s="23"/>
      <c r="L39"/>
      <c r="M39"/>
      <c r="N39"/>
      <c r="O39"/>
      <c r="P39"/>
      <c r="Q39"/>
      <c r="R39"/>
      <c r="S39"/>
      <c r="T39"/>
    </row>
    <row r="40" spans="2:20" x14ac:dyDescent="0.5">
      <c r="B40" s="52"/>
      <c r="C40" s="18" t="s">
        <v>77</v>
      </c>
      <c r="D40" s="18"/>
      <c r="E40" s="18" t="s">
        <v>44</v>
      </c>
      <c r="F40" s="14"/>
      <c r="G40" s="18"/>
      <c r="H40" s="102" t="s">
        <v>251</v>
      </c>
      <c r="I40" s="270">
        <f>DSch!K20</f>
        <v>146741.698</v>
      </c>
      <c r="J40" s="146"/>
      <c r="K40" s="23"/>
      <c r="L40"/>
      <c r="M40"/>
      <c r="N40"/>
      <c r="O40"/>
      <c r="P40"/>
      <c r="Q40"/>
      <c r="R40"/>
      <c r="S40"/>
      <c r="T40"/>
    </row>
    <row r="41" spans="2:20" ht="16.5" x14ac:dyDescent="0.5">
      <c r="B41" s="52"/>
      <c r="C41" s="18"/>
      <c r="D41" s="18"/>
      <c r="E41" s="18" t="s">
        <v>26</v>
      </c>
      <c r="F41" s="14"/>
      <c r="G41" s="18"/>
      <c r="H41" s="102" t="s">
        <v>136</v>
      </c>
      <c r="I41" s="158">
        <f>DSch!K22</f>
        <v>29348.339600000003</v>
      </c>
      <c r="J41" s="146"/>
      <c r="K41" s="23"/>
      <c r="L41"/>
      <c r="M41"/>
      <c r="N41"/>
      <c r="O41"/>
      <c r="P41"/>
      <c r="Q41"/>
      <c r="R41"/>
      <c r="S41"/>
      <c r="T41"/>
    </row>
    <row r="42" spans="2:20" x14ac:dyDescent="0.5">
      <c r="B42" s="52"/>
      <c r="C42" s="22" t="s">
        <v>31</v>
      </c>
      <c r="D42" s="18"/>
      <c r="E42" s="18"/>
      <c r="F42" s="14"/>
      <c r="G42" s="18"/>
      <c r="H42" s="99"/>
      <c r="I42" s="20">
        <f>SUM(I39:I41)</f>
        <v>2432511.9513193057</v>
      </c>
      <c r="J42" s="146"/>
      <c r="K42" s="23"/>
      <c r="L42"/>
      <c r="M42"/>
      <c r="N42"/>
      <c r="O42"/>
      <c r="P42"/>
      <c r="Q42"/>
      <c r="R42"/>
      <c r="S42"/>
      <c r="T42"/>
    </row>
    <row r="43" spans="2:20" x14ac:dyDescent="0.5">
      <c r="B43" s="52"/>
      <c r="C43" s="18" t="s">
        <v>78</v>
      </c>
      <c r="D43" s="18"/>
      <c r="E43" s="18" t="s">
        <v>15</v>
      </c>
      <c r="F43" s="14"/>
      <c r="G43" s="18"/>
      <c r="H43" s="99"/>
      <c r="I43" s="159">
        <f>-SUM(I10:I13)</f>
        <v>-86810</v>
      </c>
      <c r="J43" s="146"/>
      <c r="K43" s="23"/>
      <c r="L43"/>
      <c r="M43"/>
      <c r="N43"/>
      <c r="O43"/>
      <c r="P43"/>
      <c r="Q43"/>
      <c r="R43"/>
      <c r="S43"/>
      <c r="T43"/>
    </row>
    <row r="44" spans="2:20" x14ac:dyDescent="0.5">
      <c r="B44" s="52"/>
      <c r="C44" s="18"/>
      <c r="D44" s="18"/>
      <c r="E44" s="18" t="s">
        <v>138</v>
      </c>
      <c r="F44" s="159">
        <v>108691</v>
      </c>
      <c r="G44" s="159">
        <v>-102691</v>
      </c>
      <c r="H44" s="99" t="s">
        <v>137</v>
      </c>
      <c r="I44" s="159">
        <f>-F44-G44</f>
        <v>-6000</v>
      </c>
      <c r="J44" s="146"/>
      <c r="K44" s="154" t="s">
        <v>238</v>
      </c>
      <c r="L44"/>
      <c r="M44"/>
      <c r="N44"/>
      <c r="O44"/>
      <c r="P44"/>
      <c r="Q44"/>
      <c r="R44"/>
      <c r="S44"/>
      <c r="T44"/>
    </row>
    <row r="45" spans="2:20" x14ac:dyDescent="0.5">
      <c r="B45" s="52"/>
      <c r="C45" s="18"/>
      <c r="D45" s="18"/>
      <c r="E45" s="18" t="s">
        <v>52</v>
      </c>
      <c r="F45" s="14"/>
      <c r="G45" s="18"/>
      <c r="H45" s="99"/>
      <c r="I45" s="159">
        <v>-16447</v>
      </c>
      <c r="J45" s="146"/>
      <c r="K45" s="23"/>
      <c r="L45"/>
      <c r="M45"/>
      <c r="N45"/>
      <c r="O45"/>
      <c r="P45"/>
      <c r="Q45"/>
      <c r="R45"/>
      <c r="S45"/>
      <c r="T45"/>
    </row>
    <row r="46" spans="2:20" ht="16.5" x14ac:dyDescent="0.5">
      <c r="B46" s="52"/>
      <c r="C46" s="18"/>
      <c r="D46" s="18"/>
      <c r="E46" s="17" t="s">
        <v>139</v>
      </c>
      <c r="F46" s="14"/>
      <c r="G46" s="18"/>
      <c r="H46" s="99"/>
      <c r="I46" s="158">
        <f>-2850+1468</f>
        <v>-1382</v>
      </c>
      <c r="J46" s="146"/>
      <c r="K46" s="23"/>
      <c r="L46"/>
      <c r="M46"/>
      <c r="N46"/>
      <c r="O46"/>
      <c r="P46"/>
      <c r="Q46"/>
      <c r="R46"/>
      <c r="S46"/>
      <c r="T46"/>
    </row>
    <row r="47" spans="2:20" x14ac:dyDescent="0.5">
      <c r="B47" s="52"/>
      <c r="C47" s="22" t="s">
        <v>82</v>
      </c>
      <c r="D47" s="18"/>
      <c r="E47" s="18"/>
      <c r="F47" s="14"/>
      <c r="G47" s="18"/>
      <c r="H47" s="99"/>
      <c r="I47" s="160">
        <f>SUM(I42:I46)</f>
        <v>2321872.9513193057</v>
      </c>
      <c r="J47" s="146"/>
      <c r="K47" s="23">
        <f>SUM(I42:I46)</f>
        <v>2321872.9513193057</v>
      </c>
      <c r="L47"/>
      <c r="M47"/>
      <c r="N47"/>
      <c r="O47"/>
      <c r="P47"/>
      <c r="Q47"/>
      <c r="R47"/>
      <c r="S47"/>
      <c r="T47"/>
    </row>
    <row r="48" spans="2:20" ht="15.6" customHeight="1" x14ac:dyDescent="0.5">
      <c r="B48" s="52"/>
      <c r="C48" s="18"/>
      <c r="D48" s="18"/>
      <c r="E48" s="18" t="s">
        <v>32</v>
      </c>
      <c r="F48" s="14"/>
      <c r="G48" s="18"/>
      <c r="H48" s="99"/>
      <c r="I48" s="158">
        <f>I9</f>
        <v>2046375.0556999999</v>
      </c>
      <c r="J48" s="146"/>
      <c r="K48" s="23"/>
      <c r="L48"/>
      <c r="M48"/>
      <c r="N48"/>
      <c r="O48"/>
      <c r="P48"/>
      <c r="Q48"/>
      <c r="R48"/>
      <c r="S48"/>
      <c r="T48"/>
    </row>
    <row r="49" spans="2:20" ht="15.6" customHeight="1" x14ac:dyDescent="0.5">
      <c r="B49" s="52"/>
      <c r="C49" s="22" t="s">
        <v>13</v>
      </c>
      <c r="D49" s="18"/>
      <c r="E49" s="18"/>
      <c r="F49" s="14"/>
      <c r="G49" s="18"/>
      <c r="H49" s="99"/>
      <c r="I49" s="161">
        <f>I47-I48</f>
        <v>275497.89561930578</v>
      </c>
      <c r="J49" s="146"/>
      <c r="K49" s="23"/>
      <c r="L49"/>
      <c r="M49"/>
      <c r="N49"/>
      <c r="O49"/>
      <c r="P49"/>
      <c r="Q49"/>
      <c r="R49"/>
      <c r="S49"/>
      <c r="T49"/>
    </row>
    <row r="50" spans="2:20" ht="15.6" customHeight="1" x14ac:dyDescent="0.5">
      <c r="B50" s="52"/>
      <c r="C50" s="17"/>
      <c r="D50" s="18" t="s">
        <v>14</v>
      </c>
      <c r="E50" s="17"/>
      <c r="F50" s="14"/>
      <c r="G50" s="18"/>
      <c r="H50" s="99"/>
      <c r="I50" s="162">
        <f>I49/I48</f>
        <v>0.13462727414113573</v>
      </c>
      <c r="J50" s="146"/>
      <c r="K50" s="23"/>
      <c r="L50"/>
      <c r="M50"/>
      <c r="N50"/>
      <c r="O50"/>
      <c r="P50"/>
      <c r="Q50"/>
      <c r="R50"/>
      <c r="S50"/>
      <c r="T50"/>
    </row>
    <row r="51" spans="2:20" ht="9.9499999999999993" customHeight="1" x14ac:dyDescent="0.5">
      <c r="B51" s="57"/>
      <c r="C51" s="147"/>
      <c r="D51" s="148"/>
      <c r="E51" s="148"/>
      <c r="F51" s="26"/>
      <c r="G51" s="148"/>
      <c r="H51" s="149"/>
      <c r="I51" s="150"/>
      <c r="J51" s="151"/>
      <c r="K51" s="23"/>
      <c r="L51" s="23"/>
      <c r="M51" s="23"/>
      <c r="N51" s="23"/>
      <c r="O51" s="23"/>
      <c r="P51" s="23"/>
      <c r="Q51" s="23"/>
      <c r="R51" s="23"/>
    </row>
    <row r="52" spans="2:20" x14ac:dyDescent="0.5">
      <c r="C52" s="22"/>
      <c r="D52" s="18"/>
      <c r="E52" s="18"/>
      <c r="F52" s="14"/>
      <c r="G52" s="18"/>
      <c r="H52" s="110"/>
      <c r="I52" s="24"/>
      <c r="J52" s="23"/>
      <c r="K52" s="23"/>
      <c r="L52" s="23"/>
      <c r="M52" s="23"/>
      <c r="N52" s="23"/>
      <c r="O52" s="23"/>
      <c r="P52" s="23"/>
      <c r="Q52" s="23"/>
      <c r="R52" s="23"/>
    </row>
    <row r="53" spans="2:20" ht="16.5" x14ac:dyDescent="0.5">
      <c r="I53" s="117"/>
      <c r="K53" s="17"/>
    </row>
    <row r="54" spans="2:20" x14ac:dyDescent="0.5">
      <c r="C54" s="22"/>
      <c r="D54" s="18"/>
      <c r="E54" s="18"/>
      <c r="F54" s="14"/>
      <c r="G54" s="18"/>
      <c r="H54" s="99"/>
      <c r="I54" s="20"/>
      <c r="J54" s="19"/>
      <c r="K54" s="17"/>
    </row>
    <row r="55" spans="2:20" x14ac:dyDescent="0.5">
      <c r="C55" s="18"/>
      <c r="D55" s="18"/>
      <c r="E55" s="18"/>
      <c r="F55" s="14"/>
      <c r="G55" s="18"/>
      <c r="H55" s="17"/>
      <c r="I55" s="3"/>
      <c r="J55" s="19"/>
      <c r="K55" s="17"/>
    </row>
    <row r="56" spans="2:20" ht="16.5" x14ac:dyDescent="0.5">
      <c r="C56" s="18"/>
      <c r="D56" s="18"/>
      <c r="E56" s="18"/>
      <c r="F56" s="14"/>
      <c r="G56" s="18"/>
      <c r="H56" s="100"/>
      <c r="I56" s="111"/>
      <c r="J56" s="19"/>
      <c r="K56" s="17"/>
    </row>
    <row r="57" spans="2:20" x14ac:dyDescent="0.5">
      <c r="C57" s="22"/>
      <c r="D57" s="18"/>
      <c r="E57" s="18"/>
      <c r="F57" s="14"/>
      <c r="G57" s="18"/>
      <c r="H57" s="99"/>
      <c r="I57" s="20"/>
      <c r="J57" s="19"/>
      <c r="K57" s="17"/>
    </row>
    <row r="58" spans="2:20" x14ac:dyDescent="0.5">
      <c r="C58" s="18"/>
      <c r="D58" s="18"/>
      <c r="E58" s="18"/>
      <c r="F58" s="14"/>
      <c r="G58" s="18"/>
      <c r="H58" s="99"/>
      <c r="I58" s="71"/>
      <c r="J58" s="19"/>
      <c r="K58" s="17"/>
    </row>
    <row r="59" spans="2:20" x14ac:dyDescent="0.5">
      <c r="C59" s="18"/>
      <c r="D59" s="18"/>
      <c r="E59" s="18"/>
      <c r="F59" s="14"/>
      <c r="G59" s="18"/>
      <c r="H59" s="99"/>
      <c r="I59" s="21"/>
      <c r="J59" s="19"/>
      <c r="K59" s="17"/>
    </row>
    <row r="60" spans="2:20" ht="16.5" x14ac:dyDescent="0.5">
      <c r="C60" s="18"/>
      <c r="D60" s="18"/>
      <c r="E60" s="1"/>
      <c r="F60" s="21"/>
      <c r="G60" s="19"/>
      <c r="H60" s="102"/>
      <c r="I60" s="66"/>
      <c r="J60" s="28"/>
      <c r="K60" s="17"/>
    </row>
    <row r="61" spans="2:20" x14ac:dyDescent="0.5">
      <c r="C61" s="22"/>
      <c r="D61" s="18"/>
      <c r="E61" s="18"/>
      <c r="F61" s="14"/>
      <c r="G61" s="18"/>
      <c r="H61" s="99"/>
      <c r="I61" s="72"/>
      <c r="K61" s="17"/>
    </row>
    <row r="62" spans="2:20" ht="16.5" x14ac:dyDescent="0.5">
      <c r="C62" s="18"/>
      <c r="D62" s="18"/>
      <c r="E62" s="18"/>
      <c r="F62" s="14"/>
      <c r="G62" s="18"/>
      <c r="H62" s="99"/>
      <c r="I62" s="66"/>
      <c r="J62" s="19"/>
      <c r="K62" s="17"/>
    </row>
    <row r="63" spans="2:20" x14ac:dyDescent="0.5">
      <c r="C63" s="22"/>
      <c r="D63" s="18"/>
      <c r="E63" s="18"/>
      <c r="F63" s="14"/>
      <c r="G63" s="18"/>
      <c r="H63" s="99"/>
      <c r="I63" s="20"/>
      <c r="J63" s="19"/>
      <c r="K63" s="17"/>
    </row>
    <row r="64" spans="2:20" x14ac:dyDescent="0.5">
      <c r="C64" s="22"/>
      <c r="D64" s="18"/>
      <c r="E64" s="18"/>
      <c r="F64" s="14"/>
      <c r="G64" s="18"/>
      <c r="H64" s="99"/>
      <c r="I64" s="97"/>
      <c r="J64" s="15"/>
      <c r="K64" s="17"/>
    </row>
    <row r="65" ht="8.1" customHeight="1" x14ac:dyDescent="0.5"/>
  </sheetData>
  <mergeCells count="2">
    <mergeCell ref="C4:I4"/>
    <mergeCell ref="C38:I38"/>
  </mergeCells>
  <printOptions horizontalCentered="1"/>
  <pageMargins left="0.85" right="0.75" top="0.6" bottom="0.5" header="0" footer="0"/>
  <pageSetup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7"/>
  <sheetViews>
    <sheetView workbookViewId="0">
      <selection activeCell="I7" sqref="I7:J18"/>
    </sheetView>
  </sheetViews>
  <sheetFormatPr defaultColWidth="8.88671875" defaultRowHeight="14.25" x14ac:dyDescent="0.45"/>
  <cols>
    <col min="1" max="1" width="3.77734375" style="1" customWidth="1"/>
    <col min="2" max="2" width="9.6640625" style="1" customWidth="1"/>
    <col min="3" max="3" width="7.77734375" style="1" customWidth="1"/>
    <col min="4" max="4" width="10.33203125" style="1" customWidth="1"/>
    <col min="5" max="6" width="9.77734375" style="1" customWidth="1"/>
    <col min="7" max="7" width="10.44140625" style="1" customWidth="1"/>
    <col min="8" max="8" width="8.88671875" style="1"/>
    <col min="9" max="9" width="11.21875" style="1" customWidth="1"/>
    <col min="10" max="10" width="5.21875" style="1" customWidth="1"/>
    <col min="11" max="11" width="9.5546875" style="1" customWidth="1"/>
    <col min="12" max="13" width="8.88671875" style="1"/>
    <col min="14" max="14" width="9.88671875" style="1" customWidth="1"/>
    <col min="15" max="15" width="10.109375" style="1" customWidth="1"/>
    <col min="16" max="16" width="10.5546875" style="1" customWidth="1"/>
    <col min="17" max="16384" width="8.88671875" style="1"/>
  </cols>
  <sheetData>
    <row r="1" spans="1:22" ht="18" x14ac:dyDescent="0.45">
      <c r="B1" s="31" t="s">
        <v>133</v>
      </c>
      <c r="E1" s="64"/>
      <c r="F1" s="64"/>
      <c r="G1" s="64"/>
    </row>
    <row r="2" spans="1:22" x14ac:dyDescent="0.45">
      <c r="D2" s="63"/>
      <c r="E2" s="64"/>
      <c r="F2" s="64"/>
      <c r="G2" s="64"/>
    </row>
    <row r="3" spans="1:22" ht="15.75" x14ac:dyDescent="0.5">
      <c r="A3" s="3"/>
      <c r="B3" s="171" t="s">
        <v>53</v>
      </c>
      <c r="C3" s="14"/>
      <c r="D3" s="14"/>
      <c r="E3" s="14"/>
      <c r="F3" s="14"/>
      <c r="I3" s="171" t="s">
        <v>109</v>
      </c>
      <c r="R3" s="171" t="s">
        <v>187</v>
      </c>
    </row>
    <row r="4" spans="1:22" x14ac:dyDescent="0.45">
      <c r="A4" s="3"/>
      <c r="P4" s="2" t="s">
        <v>76</v>
      </c>
      <c r="R4" s="164"/>
    </row>
    <row r="5" spans="1:22" x14ac:dyDescent="0.45">
      <c r="A5" s="3"/>
      <c r="B5" s="3" t="s">
        <v>173</v>
      </c>
      <c r="C5" s="3"/>
      <c r="D5" s="3">
        <v>317924</v>
      </c>
      <c r="E5" s="14"/>
      <c r="F5" s="11"/>
      <c r="K5" s="2" t="s">
        <v>71</v>
      </c>
      <c r="L5" s="2" t="s">
        <v>71</v>
      </c>
      <c r="M5" s="2" t="s">
        <v>93</v>
      </c>
      <c r="N5" s="2" t="s">
        <v>71</v>
      </c>
      <c r="O5" s="2" t="s">
        <v>71</v>
      </c>
      <c r="P5" s="2" t="s">
        <v>71</v>
      </c>
      <c r="R5" s="1" t="s">
        <v>184</v>
      </c>
      <c r="U5" s="9">
        <v>62</v>
      </c>
    </row>
    <row r="6" spans="1:22" ht="16.5" x14ac:dyDescent="0.75">
      <c r="A6" s="3"/>
      <c r="B6" s="3" t="s">
        <v>54</v>
      </c>
      <c r="C6" s="3"/>
      <c r="D6" s="3">
        <v>253177</v>
      </c>
      <c r="E6" s="14"/>
      <c r="F6" s="14"/>
      <c r="I6" s="321" t="s">
        <v>98</v>
      </c>
      <c r="J6" s="321"/>
      <c r="K6" s="103" t="s">
        <v>113</v>
      </c>
      <c r="L6" s="103" t="s">
        <v>96</v>
      </c>
      <c r="M6" s="103" t="s">
        <v>94</v>
      </c>
      <c r="N6" s="103" t="s">
        <v>112</v>
      </c>
      <c r="O6" s="103" t="s">
        <v>97</v>
      </c>
      <c r="P6" s="103" t="s">
        <v>95</v>
      </c>
      <c r="R6" s="1" t="s">
        <v>213</v>
      </c>
      <c r="U6" s="205">
        <v>1450</v>
      </c>
    </row>
    <row r="7" spans="1:22" x14ac:dyDescent="0.45">
      <c r="A7" s="3"/>
      <c r="B7" s="3" t="s">
        <v>55</v>
      </c>
      <c r="C7" s="3"/>
      <c r="D7" s="3"/>
      <c r="E7" s="14"/>
      <c r="F7" s="14"/>
      <c r="I7" s="343" t="s">
        <v>160</v>
      </c>
      <c r="J7" s="344"/>
      <c r="K7" s="105">
        <v>2080</v>
      </c>
      <c r="L7" s="283">
        <v>6</v>
      </c>
      <c r="M7" s="105">
        <v>25.43</v>
      </c>
      <c r="N7" s="19">
        <f>M7*K7</f>
        <v>52894.400000000001</v>
      </c>
      <c r="O7" s="19">
        <f>L7*M7*1.5</f>
        <v>228.86999999999998</v>
      </c>
      <c r="P7" s="19">
        <f>N7+O7</f>
        <v>53123.270000000004</v>
      </c>
      <c r="Q7" s="3"/>
      <c r="R7" s="1" t="s">
        <v>188</v>
      </c>
      <c r="S7" s="25"/>
      <c r="T7" s="25"/>
      <c r="U7" s="9">
        <f>U5*U6</f>
        <v>89900</v>
      </c>
    </row>
    <row r="8" spans="1:22" x14ac:dyDescent="0.45">
      <c r="A8" s="3"/>
      <c r="B8" s="3" t="s">
        <v>56</v>
      </c>
      <c r="C8" s="3">
        <v>0</v>
      </c>
      <c r="D8" s="3"/>
      <c r="E8" s="14"/>
      <c r="F8" s="14"/>
      <c r="I8" s="345" t="s">
        <v>161</v>
      </c>
      <c r="J8" s="346"/>
      <c r="K8" s="61">
        <v>2080</v>
      </c>
      <c r="L8" s="284"/>
      <c r="M8" s="61">
        <v>0</v>
      </c>
      <c r="N8" s="19">
        <v>84843</v>
      </c>
      <c r="O8" s="19">
        <f t="shared" ref="O8:O17" si="0">L8*M8*1.5</f>
        <v>0</v>
      </c>
      <c r="P8" s="19">
        <f t="shared" ref="P8:P17" si="1">N8+O8</f>
        <v>84843</v>
      </c>
      <c r="Q8" s="3"/>
      <c r="S8" s="25"/>
      <c r="T8" s="25"/>
      <c r="U8" s="9"/>
      <c r="V8" s="61"/>
    </row>
    <row r="9" spans="1:22" x14ac:dyDescent="0.45">
      <c r="A9" s="3"/>
      <c r="B9" s="3" t="s">
        <v>57</v>
      </c>
      <c r="C9" s="3">
        <v>38530</v>
      </c>
      <c r="D9" s="3"/>
      <c r="E9" s="14"/>
      <c r="F9" s="14"/>
      <c r="I9" s="345" t="s">
        <v>170</v>
      </c>
      <c r="J9" s="346"/>
      <c r="K9" s="61">
        <v>2080</v>
      </c>
      <c r="L9" s="284">
        <v>125.5</v>
      </c>
      <c r="M9" s="61">
        <v>24.25</v>
      </c>
      <c r="N9" s="19">
        <f t="shared" ref="N9:N17" si="2">M9*K9</f>
        <v>50440</v>
      </c>
      <c r="O9" s="19">
        <f t="shared" si="0"/>
        <v>4565.0625</v>
      </c>
      <c r="P9" s="19">
        <f t="shared" si="1"/>
        <v>55005.0625</v>
      </c>
      <c r="Q9" s="3"/>
      <c r="T9" s="203" t="s">
        <v>185</v>
      </c>
      <c r="U9" s="204">
        <f>0.3*U7</f>
        <v>26970</v>
      </c>
      <c r="V9" s="61"/>
    </row>
    <row r="10" spans="1:22" x14ac:dyDescent="0.45">
      <c r="A10" s="3"/>
      <c r="B10" s="3" t="s">
        <v>58</v>
      </c>
      <c r="C10" s="3">
        <v>0</v>
      </c>
      <c r="D10" s="3"/>
      <c r="E10" s="14"/>
      <c r="F10" s="14"/>
      <c r="I10" s="345" t="s">
        <v>162</v>
      </c>
      <c r="J10" s="346"/>
      <c r="K10" s="61">
        <v>2080</v>
      </c>
      <c r="L10" s="284">
        <v>0</v>
      </c>
      <c r="M10" s="61">
        <v>19.079999999999998</v>
      </c>
      <c r="N10" s="19">
        <f t="shared" si="2"/>
        <v>39686.399999999994</v>
      </c>
      <c r="O10" s="19">
        <f t="shared" si="0"/>
        <v>0</v>
      </c>
      <c r="P10" s="19">
        <f t="shared" si="1"/>
        <v>39686.399999999994</v>
      </c>
      <c r="Q10" s="3"/>
      <c r="T10" s="203" t="s">
        <v>186</v>
      </c>
      <c r="U10" s="204">
        <f>0.7*U7</f>
        <v>62929.999999999993</v>
      </c>
      <c r="V10" s="61"/>
    </row>
    <row r="11" spans="1:22" ht="16.5" x14ac:dyDescent="0.75">
      <c r="A11" s="3"/>
      <c r="B11" s="3" t="s">
        <v>59</v>
      </c>
      <c r="C11" s="37">
        <v>0</v>
      </c>
      <c r="D11" s="3"/>
      <c r="E11" s="14"/>
      <c r="F11" s="14"/>
      <c r="I11" s="345" t="s">
        <v>163</v>
      </c>
      <c r="J11" s="346"/>
      <c r="K11" s="61">
        <v>2080</v>
      </c>
      <c r="L11" s="283">
        <v>6</v>
      </c>
      <c r="M11" s="61">
        <v>19.91</v>
      </c>
      <c r="N11" s="19">
        <f t="shared" si="2"/>
        <v>41412.800000000003</v>
      </c>
      <c r="O11" s="19">
        <f t="shared" si="0"/>
        <v>179.19</v>
      </c>
      <c r="P11" s="19">
        <f t="shared" si="1"/>
        <v>41591.990000000005</v>
      </c>
      <c r="Q11" s="3"/>
      <c r="R11" s="121"/>
      <c r="S11" s="61"/>
      <c r="T11" s="81"/>
      <c r="U11" s="122"/>
      <c r="V11" s="61"/>
    </row>
    <row r="12" spans="1:22" x14ac:dyDescent="0.45">
      <c r="A12" s="3"/>
      <c r="B12" s="3"/>
      <c r="C12" s="3"/>
      <c r="D12" s="3">
        <f>SUM(C8:C11)</f>
        <v>38530</v>
      </c>
      <c r="E12" s="14"/>
      <c r="F12" s="14"/>
      <c r="I12" s="345" t="s">
        <v>164</v>
      </c>
      <c r="J12" s="346"/>
      <c r="K12" s="61">
        <v>2080</v>
      </c>
      <c r="L12" s="283">
        <v>6</v>
      </c>
      <c r="M12" s="61">
        <v>16.5</v>
      </c>
      <c r="N12" s="19">
        <f t="shared" si="2"/>
        <v>34320</v>
      </c>
      <c r="O12" s="19">
        <f t="shared" si="0"/>
        <v>148.5</v>
      </c>
      <c r="P12" s="19">
        <f t="shared" si="1"/>
        <v>34468.5</v>
      </c>
      <c r="Q12" s="3"/>
      <c r="R12" s="121"/>
      <c r="S12" s="80"/>
      <c r="T12" s="83"/>
      <c r="U12" s="83"/>
      <c r="V12" s="61"/>
    </row>
    <row r="13" spans="1:22" ht="15.75" x14ac:dyDescent="0.5">
      <c r="A13" s="3"/>
      <c r="B13" s="3" t="s">
        <v>60</v>
      </c>
      <c r="C13" s="3">
        <v>0</v>
      </c>
      <c r="D13" s="3"/>
      <c r="E13" s="14"/>
      <c r="F13" s="14"/>
      <c r="I13" s="345" t="s">
        <v>165</v>
      </c>
      <c r="J13" s="346"/>
      <c r="K13" s="61">
        <v>2080</v>
      </c>
      <c r="L13" s="284">
        <v>157</v>
      </c>
      <c r="M13" s="61">
        <v>19.079999999999998</v>
      </c>
      <c r="N13" s="19">
        <f t="shared" si="2"/>
        <v>39686.399999999994</v>
      </c>
      <c r="O13" s="19">
        <f t="shared" si="0"/>
        <v>4493.34</v>
      </c>
      <c r="P13" s="19">
        <f t="shared" si="1"/>
        <v>44179.739999999991</v>
      </c>
      <c r="Q13" s="3"/>
      <c r="R13" s="171" t="s">
        <v>208</v>
      </c>
      <c r="S13" s="61"/>
      <c r="T13" s="3"/>
      <c r="U13" s="3"/>
      <c r="V13" s="61"/>
    </row>
    <row r="14" spans="1:22" x14ac:dyDescent="0.45">
      <c r="A14" s="3"/>
      <c r="B14" s="3" t="s">
        <v>61</v>
      </c>
      <c r="C14" s="3">
        <v>5677</v>
      </c>
      <c r="D14" s="3"/>
      <c r="E14" s="14"/>
      <c r="F14" s="14"/>
      <c r="I14" s="345" t="s">
        <v>166</v>
      </c>
      <c r="J14" s="346"/>
      <c r="K14" s="61">
        <v>2080</v>
      </c>
      <c r="L14" s="283">
        <v>6</v>
      </c>
      <c r="M14" s="61">
        <v>18.34</v>
      </c>
      <c r="N14" s="19">
        <f t="shared" si="2"/>
        <v>38147.199999999997</v>
      </c>
      <c r="O14" s="19">
        <f t="shared" si="0"/>
        <v>165.06</v>
      </c>
      <c r="P14" s="19">
        <f t="shared" si="1"/>
        <v>38312.259999999995</v>
      </c>
      <c r="Q14" s="3"/>
      <c r="R14" s="121"/>
      <c r="T14" s="201" t="s">
        <v>209</v>
      </c>
      <c r="U14" s="3">
        <v>304677</v>
      </c>
      <c r="V14" s="61"/>
    </row>
    <row r="15" spans="1:22" ht="16.5" x14ac:dyDescent="0.75">
      <c r="A15" s="3"/>
      <c r="B15" s="3" t="s">
        <v>120</v>
      </c>
      <c r="C15" s="37">
        <v>20540</v>
      </c>
      <c r="D15" s="3"/>
      <c r="E15" s="14"/>
      <c r="F15" s="14"/>
      <c r="I15" s="345" t="s">
        <v>167</v>
      </c>
      <c r="J15" s="346"/>
      <c r="K15" s="61">
        <v>2080</v>
      </c>
      <c r="L15" s="284">
        <v>50.5</v>
      </c>
      <c r="M15" s="61">
        <v>27.26</v>
      </c>
      <c r="N15" s="19">
        <f t="shared" si="2"/>
        <v>56700.800000000003</v>
      </c>
      <c r="O15" s="19">
        <f t="shared" si="0"/>
        <v>2064.9450000000002</v>
      </c>
      <c r="P15" s="19">
        <f t="shared" si="1"/>
        <v>58765.745000000003</v>
      </c>
      <c r="Q15" s="3"/>
      <c r="R15" s="121"/>
      <c r="S15" s="61"/>
      <c r="T15" s="157" t="s">
        <v>210</v>
      </c>
      <c r="U15" s="62">
        <v>7.0000000000000007E-2</v>
      </c>
      <c r="V15" s="61"/>
    </row>
    <row r="16" spans="1:22" x14ac:dyDescent="0.45">
      <c r="A16" s="3"/>
      <c r="B16" s="3"/>
      <c r="C16" s="3"/>
      <c r="D16" s="3">
        <f>SUM(C13:C15)</f>
        <v>26217</v>
      </c>
      <c r="E16" s="27">
        <f>D16/D5</f>
        <v>8.2463104389728356E-2</v>
      </c>
      <c r="F16" s="14" t="s">
        <v>62</v>
      </c>
      <c r="I16" s="345" t="s">
        <v>168</v>
      </c>
      <c r="J16" s="346"/>
      <c r="K16" s="61">
        <v>2080</v>
      </c>
      <c r="L16" s="284">
        <v>104</v>
      </c>
      <c r="M16" s="61">
        <v>16.5</v>
      </c>
      <c r="N16" s="19">
        <f t="shared" si="2"/>
        <v>34320</v>
      </c>
      <c r="O16" s="19">
        <f t="shared" si="0"/>
        <v>2574</v>
      </c>
      <c r="P16" s="19">
        <f t="shared" si="1"/>
        <v>36894</v>
      </c>
      <c r="Q16" s="73"/>
      <c r="R16" s="121"/>
      <c r="S16" s="61"/>
      <c r="T16" s="202" t="s">
        <v>211</v>
      </c>
      <c r="U16" s="83">
        <f>U14*U15</f>
        <v>21327.390000000003</v>
      </c>
      <c r="V16" s="61"/>
    </row>
    <row r="17" spans="1:21" ht="16.5" x14ac:dyDescent="0.45">
      <c r="A17" s="3"/>
      <c r="B17" s="157" t="s">
        <v>63</v>
      </c>
      <c r="C17" s="3">
        <f>SUM(D6:D16)</f>
        <v>317924</v>
      </c>
      <c r="D17" s="3"/>
      <c r="E17" s="36">
        <v>0.15</v>
      </c>
      <c r="F17" s="14" t="s">
        <v>64</v>
      </c>
      <c r="I17" s="345" t="s">
        <v>169</v>
      </c>
      <c r="J17" s="346"/>
      <c r="K17" s="271">
        <v>768</v>
      </c>
      <c r="L17" s="284">
        <v>0</v>
      </c>
      <c r="M17" s="61">
        <v>15</v>
      </c>
      <c r="N17" s="19">
        <f t="shared" si="2"/>
        <v>11520</v>
      </c>
      <c r="O17" s="19">
        <f t="shared" si="0"/>
        <v>0</v>
      </c>
      <c r="P17" s="66">
        <f t="shared" si="1"/>
        <v>11520</v>
      </c>
      <c r="Q17" s="3"/>
      <c r="R17" s="78"/>
      <c r="T17" s="113"/>
      <c r="U17" s="29"/>
    </row>
    <row r="18" spans="1:21" x14ac:dyDescent="0.45">
      <c r="A18" s="3"/>
      <c r="B18" s="19"/>
      <c r="C18" s="3"/>
      <c r="D18" s="3"/>
      <c r="E18" s="79">
        <f>E16-E17</f>
        <v>-6.7536895610271638E-2</v>
      </c>
      <c r="F18" s="30" t="s">
        <v>132</v>
      </c>
      <c r="I18" s="345"/>
      <c r="J18" s="346"/>
      <c r="K18" s="3"/>
      <c r="L18" s="271" t="s">
        <v>240</v>
      </c>
      <c r="M18" s="61"/>
      <c r="N18" s="3"/>
      <c r="O18" s="3"/>
      <c r="P18" s="73">
        <f>SUM(P7:P17)</f>
        <v>498389.96750000003</v>
      </c>
      <c r="Q18" s="3"/>
      <c r="R18" s="78"/>
      <c r="T18" s="29"/>
      <c r="U18" s="29"/>
    </row>
    <row r="19" spans="1:21" x14ac:dyDescent="0.45">
      <c r="A19" s="3"/>
      <c r="I19" s="3"/>
      <c r="P19" s="74"/>
      <c r="Q19" s="3"/>
    </row>
    <row r="20" spans="1:21" x14ac:dyDescent="0.45">
      <c r="A20" s="3"/>
      <c r="I20" s="94"/>
      <c r="K20" s="3"/>
      <c r="L20" s="3"/>
      <c r="P20" s="74" t="s">
        <v>27</v>
      </c>
      <c r="Q20" s="3"/>
    </row>
    <row r="21" spans="1:21" ht="15.75" x14ac:dyDescent="0.5">
      <c r="A21" s="3"/>
      <c r="B21" s="171" t="s">
        <v>75</v>
      </c>
      <c r="C21" s="25"/>
      <c r="D21" s="25"/>
      <c r="E21" s="9"/>
      <c r="M21" s="1" t="s">
        <v>99</v>
      </c>
      <c r="P21" s="73">
        <f>P18</f>
        <v>498389.96750000003</v>
      </c>
      <c r="Q21" s="3"/>
      <c r="R21" s="171" t="s">
        <v>212</v>
      </c>
    </row>
    <row r="22" spans="1:21" ht="16.5" x14ac:dyDescent="0.75">
      <c r="A22" s="3"/>
      <c r="B22" s="14"/>
      <c r="C22" s="25"/>
      <c r="D22" s="25"/>
      <c r="E22" s="9"/>
      <c r="H22" s="3"/>
      <c r="K22" s="106"/>
      <c r="M22" s="1" t="s">
        <v>110</v>
      </c>
      <c r="P22" s="32">
        <f>-SAO!F18</f>
        <v>-507815</v>
      </c>
      <c r="Q22" s="3"/>
    </row>
    <row r="23" spans="1:21" ht="16.899999999999999" thickBot="1" x14ac:dyDescent="0.8">
      <c r="B23" s="68"/>
      <c r="C23" s="68" t="s">
        <v>178</v>
      </c>
      <c r="D23" s="68" t="s">
        <v>181</v>
      </c>
      <c r="E23" s="68" t="s">
        <v>87</v>
      </c>
      <c r="F23" s="68" t="s">
        <v>88</v>
      </c>
      <c r="G23" s="68" t="s">
        <v>71</v>
      </c>
      <c r="H23" s="3"/>
      <c r="K23" s="271"/>
      <c r="M23" s="75" t="s">
        <v>111</v>
      </c>
      <c r="N23" s="75"/>
      <c r="O23" s="75"/>
      <c r="P23" s="76">
        <f>P21+P22</f>
        <v>-9425.0324999999721</v>
      </c>
      <c r="Q23" s="3"/>
      <c r="R23" s="67" t="s">
        <v>85</v>
      </c>
    </row>
    <row r="24" spans="1:21" ht="16.899999999999999" thickTop="1" x14ac:dyDescent="0.75">
      <c r="B24" s="68" t="s">
        <v>180</v>
      </c>
      <c r="C24" s="68" t="s">
        <v>179</v>
      </c>
      <c r="D24" s="68" t="s">
        <v>88</v>
      </c>
      <c r="E24" s="68" t="s">
        <v>182</v>
      </c>
      <c r="F24" s="68" t="s">
        <v>89</v>
      </c>
      <c r="G24" s="68" t="s">
        <v>86</v>
      </c>
      <c r="H24" s="61"/>
      <c r="P24" s="1" t="s">
        <v>100</v>
      </c>
      <c r="Q24" s="3"/>
      <c r="S24" s="172" t="s">
        <v>117</v>
      </c>
      <c r="T24" s="3">
        <v>47346</v>
      </c>
    </row>
    <row r="25" spans="1:21" x14ac:dyDescent="0.45">
      <c r="B25" s="14" t="s">
        <v>174</v>
      </c>
      <c r="C25" s="1">
        <v>3</v>
      </c>
      <c r="D25" s="61">
        <f>3760.14/6</f>
        <v>626.68999999999994</v>
      </c>
      <c r="E25" s="69">
        <v>0.22</v>
      </c>
      <c r="F25" s="61">
        <f>D25*E25</f>
        <v>137.87179999999998</v>
      </c>
      <c r="G25" s="61">
        <f>(D25-F25)*C25</f>
        <v>1466.4545999999998</v>
      </c>
      <c r="H25" s="3"/>
      <c r="M25" s="1" t="s">
        <v>101</v>
      </c>
      <c r="P25" s="34">
        <f>P18</f>
        <v>498389.96750000003</v>
      </c>
      <c r="Q25" s="3"/>
      <c r="S25" s="172" t="s">
        <v>158</v>
      </c>
      <c r="T25" s="3">
        <v>126890</v>
      </c>
    </row>
    <row r="26" spans="1:21" x14ac:dyDescent="0.45">
      <c r="B26" s="14" t="s">
        <v>175</v>
      </c>
      <c r="C26" s="1">
        <v>2</v>
      </c>
      <c r="D26" s="61">
        <v>1301.43</v>
      </c>
      <c r="E26" s="69">
        <v>0.33</v>
      </c>
      <c r="F26" s="61">
        <f t="shared" ref="F26:F28" si="3">D26*E26</f>
        <v>429.47190000000006</v>
      </c>
      <c r="G26" s="61">
        <f t="shared" ref="G26:G28" si="4">(D26-F26)*C26</f>
        <v>1743.9162000000001</v>
      </c>
      <c r="H26" s="3"/>
      <c r="M26" s="1" t="s">
        <v>102</v>
      </c>
      <c r="P26" s="77">
        <v>7.6499999999999999E-2</v>
      </c>
      <c r="Q26" s="3"/>
      <c r="S26" s="172" t="s">
        <v>159</v>
      </c>
      <c r="T26" s="170">
        <v>3297</v>
      </c>
    </row>
    <row r="27" spans="1:21" x14ac:dyDescent="0.45">
      <c r="B27" s="14" t="s">
        <v>176</v>
      </c>
      <c r="C27" s="1">
        <v>1</v>
      </c>
      <c r="D27" s="61">
        <v>1117.4100000000001</v>
      </c>
      <c r="E27" s="69">
        <v>0.33</v>
      </c>
      <c r="F27" s="61">
        <f t="shared" si="3"/>
        <v>368.74530000000004</v>
      </c>
      <c r="G27" s="61">
        <f t="shared" si="4"/>
        <v>748.66470000000004</v>
      </c>
      <c r="H27" s="3"/>
      <c r="M27" s="1" t="s">
        <v>103</v>
      </c>
      <c r="P27" s="3">
        <f>+P25*P26</f>
        <v>38126.83251375</v>
      </c>
      <c r="R27" s="19"/>
      <c r="S27" s="3"/>
      <c r="T27" s="3">
        <f>SUM(T24:T26)</f>
        <v>177533</v>
      </c>
      <c r="U27" s="29">
        <f>T27-SAO!F21</f>
        <v>788</v>
      </c>
    </row>
    <row r="28" spans="1:21" ht="16.5" x14ac:dyDescent="0.75">
      <c r="B28" s="14" t="s">
        <v>177</v>
      </c>
      <c r="C28" s="1">
        <v>3</v>
      </c>
      <c r="D28" s="61">
        <v>1976.17</v>
      </c>
      <c r="E28" s="69">
        <v>0.33</v>
      </c>
      <c r="F28" s="61">
        <f t="shared" si="3"/>
        <v>652.13610000000006</v>
      </c>
      <c r="G28" s="62">
        <f t="shared" si="4"/>
        <v>3972.1016999999997</v>
      </c>
      <c r="H28" s="3"/>
      <c r="M28" s="1" t="s">
        <v>104</v>
      </c>
      <c r="P28" s="37">
        <v>-37943.14</v>
      </c>
      <c r="R28" s="1" t="s">
        <v>252</v>
      </c>
      <c r="T28" s="61"/>
    </row>
    <row r="29" spans="1:21" ht="14.65" thickBot="1" x14ac:dyDescent="0.5">
      <c r="B29" s="14"/>
      <c r="D29" s="61"/>
      <c r="F29" s="70" t="s">
        <v>90</v>
      </c>
      <c r="G29" s="61">
        <f>SUM(G25:G28)</f>
        <v>7931.1371999999992</v>
      </c>
      <c r="H29" s="3"/>
      <c r="M29" s="75" t="s">
        <v>105</v>
      </c>
      <c r="N29" s="75"/>
      <c r="O29" s="75"/>
      <c r="P29" s="76">
        <f>+P27+P28</f>
        <v>183.69251375000022</v>
      </c>
    </row>
    <row r="30" spans="1:21" ht="14.65" thickTop="1" x14ac:dyDescent="0.45">
      <c r="B30" s="14"/>
      <c r="D30" s="61"/>
      <c r="F30" s="70"/>
      <c r="G30" s="61"/>
      <c r="H30" s="94"/>
      <c r="I30" s="3"/>
      <c r="K30" s="3"/>
      <c r="L30" s="3"/>
    </row>
    <row r="31" spans="1:21" x14ac:dyDescent="0.45">
      <c r="B31" s="14"/>
      <c r="D31" s="61"/>
      <c r="F31" s="70" t="s">
        <v>222</v>
      </c>
      <c r="G31" s="61">
        <f>G29*12</f>
        <v>95173.646399999998</v>
      </c>
      <c r="H31" s="3"/>
      <c r="I31" s="3"/>
      <c r="K31" s="3"/>
      <c r="L31" s="3"/>
      <c r="M31" s="1" t="s">
        <v>171</v>
      </c>
      <c r="P31" s="34">
        <f>SUM(P7:P16)</f>
        <v>486869.96750000003</v>
      </c>
    </row>
    <row r="32" spans="1:21" x14ac:dyDescent="0.45">
      <c r="B32" s="14"/>
      <c r="D32" s="61"/>
      <c r="F32" s="70" t="s">
        <v>183</v>
      </c>
      <c r="G32" s="61">
        <v>7496.4</v>
      </c>
      <c r="H32" s="3"/>
      <c r="I32" s="3"/>
      <c r="K32" s="3"/>
      <c r="L32" s="3"/>
      <c r="M32" s="1" t="s">
        <v>172</v>
      </c>
      <c r="P32" s="77">
        <v>0.1</v>
      </c>
      <c r="R32" s="106"/>
    </row>
    <row r="33" spans="2:21" ht="16.5" x14ac:dyDescent="0.75">
      <c r="B33" s="14"/>
      <c r="D33" s="61"/>
      <c r="F33" s="70" t="s">
        <v>221</v>
      </c>
      <c r="G33" s="62">
        <v>3172</v>
      </c>
      <c r="H33" s="3"/>
      <c r="I33" s="3"/>
      <c r="K33" s="3"/>
      <c r="L33" s="3"/>
      <c r="M33" s="1" t="s">
        <v>106</v>
      </c>
      <c r="P33" s="3">
        <f>+P31*P32</f>
        <v>48686.996750000006</v>
      </c>
      <c r="U33" s="104"/>
    </row>
    <row r="34" spans="2:21" x14ac:dyDescent="0.45">
      <c r="B34" s="14"/>
      <c r="C34" s="61"/>
      <c r="D34" s="61"/>
      <c r="F34" s="70" t="s">
        <v>223</v>
      </c>
      <c r="G34" s="61">
        <f>SUM(G31:G33)</f>
        <v>105842.04639999999</v>
      </c>
      <c r="H34" s="3"/>
      <c r="I34" s="3"/>
      <c r="K34" s="3"/>
      <c r="L34" s="3"/>
      <c r="M34" s="1" t="s">
        <v>107</v>
      </c>
      <c r="P34" s="37">
        <f>-T24</f>
        <v>-47346</v>
      </c>
    </row>
    <row r="35" spans="2:21" ht="16.899999999999999" thickBot="1" x14ac:dyDescent="0.8">
      <c r="B35" s="14"/>
      <c r="C35" s="61"/>
      <c r="D35" s="61"/>
      <c r="F35" s="70" t="s">
        <v>91</v>
      </c>
      <c r="G35" s="62">
        <f>-T25</f>
        <v>-126890</v>
      </c>
      <c r="H35" s="3"/>
      <c r="I35" s="3"/>
      <c r="K35" s="3"/>
      <c r="L35" s="3"/>
      <c r="M35" s="75" t="s">
        <v>108</v>
      </c>
      <c r="N35" s="75"/>
      <c r="O35" s="75"/>
      <c r="P35" s="76">
        <f>+P33+P34</f>
        <v>1340.9967500000057</v>
      </c>
      <c r="U35" s="104"/>
    </row>
    <row r="36" spans="2:21" ht="14.65" thickTop="1" x14ac:dyDescent="0.45">
      <c r="B36" s="14"/>
      <c r="D36" s="61"/>
      <c r="E36" s="80"/>
      <c r="F36" s="81" t="s">
        <v>92</v>
      </c>
      <c r="G36" s="80">
        <f>G34+G35</f>
        <v>-21047.953600000008</v>
      </c>
      <c r="H36" s="3"/>
      <c r="O36" s="3"/>
      <c r="P36" s="3"/>
      <c r="Q36" s="3"/>
    </row>
    <row r="37" spans="2:21" x14ac:dyDescent="0.45">
      <c r="D37" s="61"/>
      <c r="E37" s="61"/>
      <c r="F37" s="61"/>
      <c r="G37" s="80"/>
      <c r="H37" s="3"/>
      <c r="O37" s="3"/>
      <c r="P37" s="3"/>
      <c r="Q37" s="3"/>
    </row>
    <row r="38" spans="2:21" x14ac:dyDescent="0.45">
      <c r="D38" s="61"/>
      <c r="E38" s="61"/>
      <c r="F38" s="61"/>
      <c r="H38" s="3"/>
      <c r="O38" s="3"/>
      <c r="P38" s="3"/>
    </row>
    <row r="39" spans="2:21" ht="15.75" x14ac:dyDescent="0.45">
      <c r="C39" s="15"/>
      <c r="E39" s="61"/>
      <c r="F39" s="61"/>
      <c r="H39" s="3"/>
      <c r="O39" s="3"/>
      <c r="P39" s="3"/>
    </row>
    <row r="40" spans="2:21" ht="15.75" x14ac:dyDescent="0.45">
      <c r="C40" s="15"/>
      <c r="E40" s="61"/>
      <c r="F40" s="61"/>
      <c r="P40" s="3"/>
    </row>
    <row r="41" spans="2:21" x14ac:dyDescent="0.45">
      <c r="M41" s="78"/>
      <c r="N41" s="3"/>
      <c r="P41" s="3"/>
    </row>
    <row r="42" spans="2:21" ht="17.649999999999999" x14ac:dyDescent="0.75">
      <c r="D42" s="16"/>
      <c r="M42" s="78"/>
      <c r="N42" s="32"/>
      <c r="P42" s="3"/>
    </row>
    <row r="43" spans="2:21" x14ac:dyDescent="0.45">
      <c r="N43" s="3"/>
      <c r="P43" s="3"/>
    </row>
    <row r="44" spans="2:21" ht="16.5" x14ac:dyDescent="0.75">
      <c r="N44" s="32"/>
      <c r="O44" s="3"/>
      <c r="P44" s="3"/>
    </row>
    <row r="45" spans="2:21" x14ac:dyDescent="0.45">
      <c r="M45" s="82"/>
      <c r="N45" s="83"/>
      <c r="O45" s="3"/>
      <c r="P45" s="3"/>
    </row>
    <row r="46" spans="2:21" ht="16.5" x14ac:dyDescent="0.75">
      <c r="E46" s="96"/>
      <c r="F46" s="3"/>
      <c r="K46" s="62"/>
      <c r="O46" s="3"/>
      <c r="P46" s="3"/>
    </row>
    <row r="47" spans="2:21" x14ac:dyDescent="0.45">
      <c r="G47" s="3"/>
      <c r="K47" s="61"/>
      <c r="O47" s="3"/>
      <c r="P47" s="3"/>
    </row>
    <row r="48" spans="2:21" x14ac:dyDescent="0.45">
      <c r="K48" s="61"/>
      <c r="O48" s="3"/>
      <c r="P48" s="3"/>
    </row>
    <row r="49" spans="4:17" x14ac:dyDescent="0.45">
      <c r="K49" s="61"/>
      <c r="O49" s="3"/>
      <c r="P49" s="3"/>
    </row>
    <row r="50" spans="4:17" x14ac:dyDescent="0.45">
      <c r="E50" s="95"/>
      <c r="O50" s="3"/>
      <c r="P50" s="3"/>
    </row>
    <row r="51" spans="4:17" x14ac:dyDescent="0.45">
      <c r="O51" s="3"/>
      <c r="P51" s="3"/>
      <c r="Q51" s="3"/>
    </row>
    <row r="52" spans="4:17" x14ac:dyDescent="0.45">
      <c r="O52" s="3"/>
      <c r="P52" s="3"/>
      <c r="Q52" s="3"/>
    </row>
    <row r="53" spans="4:17" x14ac:dyDescent="0.45">
      <c r="O53" s="3"/>
      <c r="P53" s="3"/>
      <c r="Q53" s="3"/>
    </row>
    <row r="55" spans="4:17" x14ac:dyDescent="0.45">
      <c r="I55" s="3"/>
      <c r="J55" s="3"/>
      <c r="K55" s="3"/>
      <c r="L55" s="3"/>
      <c r="M55" s="3"/>
    </row>
    <row r="56" spans="4:17" x14ac:dyDescent="0.45">
      <c r="I56" s="3"/>
      <c r="J56" s="3"/>
      <c r="K56" s="3"/>
      <c r="L56" s="3"/>
      <c r="M56" s="3"/>
    </row>
    <row r="57" spans="4:17" x14ac:dyDescent="0.45">
      <c r="I57" s="3"/>
      <c r="J57" s="3"/>
      <c r="K57" s="3"/>
      <c r="L57" s="3"/>
      <c r="M57" s="3"/>
    </row>
    <row r="62" spans="4:17" x14ac:dyDescent="0.45">
      <c r="E62" s="3"/>
      <c r="F62" s="3"/>
    </row>
    <row r="63" spans="4:17" x14ac:dyDescent="0.45">
      <c r="E63" s="3"/>
      <c r="F63" s="3"/>
    </row>
    <row r="64" spans="4:17" x14ac:dyDescent="0.45">
      <c r="E64" s="3"/>
      <c r="F64" s="3"/>
    </row>
    <row r="65" spans="5:6" x14ac:dyDescent="0.45">
      <c r="E65" s="3"/>
      <c r="F65" s="3"/>
    </row>
    <row r="66" spans="5:6" x14ac:dyDescent="0.45">
      <c r="E66" s="3"/>
      <c r="F66" s="3"/>
    </row>
    <row r="67" spans="5:6" x14ac:dyDescent="0.45">
      <c r="E67" s="3"/>
      <c r="F67" s="3"/>
    </row>
  </sheetData>
  <mergeCells count="1">
    <mergeCell ref="I6:J6"/>
  </mergeCells>
  <pageMargins left="0.7" right="0.7" top="0.75" bottom="0.75" header="0.3" footer="0.3"/>
  <pageSetup orientation="landscape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G44"/>
  <sheetViews>
    <sheetView workbookViewId="0"/>
  </sheetViews>
  <sheetFormatPr defaultColWidth="8.88671875" defaultRowHeight="14.25" x14ac:dyDescent="0.45"/>
  <cols>
    <col min="1" max="1" width="4.77734375" style="14" customWidth="1"/>
    <col min="2" max="2" width="3.44140625" style="14" customWidth="1"/>
    <col min="3" max="3" width="23.88671875" style="14" customWidth="1"/>
    <col min="4" max="4" width="0" style="14" hidden="1" customWidth="1"/>
    <col min="5" max="5" width="9.21875" style="14" customWidth="1"/>
    <col min="6" max="6" width="5.77734375" style="14" customWidth="1"/>
    <col min="7" max="7" width="8.77734375" style="14" customWidth="1"/>
    <col min="8" max="8" width="5.77734375" style="14" customWidth="1"/>
    <col min="9" max="9" width="8.77734375" style="14" customWidth="1"/>
    <col min="10" max="10" width="10.21875" style="14" customWidth="1"/>
    <col min="11" max="11" width="0.88671875" style="14" customWidth="1"/>
    <col min="12" max="12" width="8.88671875" style="14"/>
    <col min="13" max="241" width="9.6640625" style="14" customWidth="1"/>
    <col min="242" max="16384" width="8.88671875" style="1"/>
  </cols>
  <sheetData>
    <row r="1" spans="1:12" ht="15" customHeight="1" x14ac:dyDescent="0.45">
      <c r="A1"/>
      <c r="B1"/>
      <c r="C1"/>
      <c r="D1"/>
      <c r="E1"/>
      <c r="F1"/>
      <c r="G1"/>
      <c r="H1"/>
      <c r="I1"/>
      <c r="J1"/>
      <c r="K1"/>
      <c r="L1"/>
    </row>
    <row r="2" spans="1:12" ht="15" customHeight="1" x14ac:dyDescent="0.45">
      <c r="A2"/>
      <c r="B2" s="173"/>
      <c r="C2" s="174"/>
      <c r="D2" s="174"/>
      <c r="E2" s="174"/>
      <c r="F2" s="174"/>
      <c r="G2" s="174"/>
      <c r="H2" s="174"/>
      <c r="I2" s="174"/>
      <c r="J2" s="174"/>
      <c r="K2" s="175"/>
      <c r="L2"/>
    </row>
    <row r="3" spans="1:12" ht="15" customHeight="1" x14ac:dyDescent="0.55000000000000004">
      <c r="A3"/>
      <c r="B3" s="322" t="s">
        <v>41</v>
      </c>
      <c r="C3" s="323"/>
      <c r="D3" s="323"/>
      <c r="E3" s="323"/>
      <c r="F3" s="323"/>
      <c r="G3" s="323"/>
      <c r="H3" s="323"/>
      <c r="I3" s="323"/>
      <c r="J3" s="323"/>
      <c r="K3" s="324"/>
      <c r="L3"/>
    </row>
    <row r="4" spans="1:12" ht="18" x14ac:dyDescent="0.55000000000000004">
      <c r="A4"/>
      <c r="B4" s="325" t="s">
        <v>0</v>
      </c>
      <c r="C4" s="326"/>
      <c r="D4" s="326"/>
      <c r="E4" s="326"/>
      <c r="F4" s="326"/>
      <c r="G4" s="326"/>
      <c r="H4" s="326"/>
      <c r="I4" s="326"/>
      <c r="J4" s="326"/>
      <c r="K4" s="327"/>
      <c r="L4"/>
    </row>
    <row r="5" spans="1:12" ht="18" x14ac:dyDescent="0.55000000000000004">
      <c r="A5"/>
      <c r="B5" s="176"/>
      <c r="C5" s="177"/>
      <c r="D5" s="177"/>
      <c r="E5" s="177"/>
      <c r="F5" s="177"/>
      <c r="G5" s="177"/>
      <c r="H5" s="177"/>
      <c r="I5" s="177"/>
      <c r="J5" s="177"/>
      <c r="K5" s="178"/>
      <c r="L5"/>
    </row>
    <row r="6" spans="1:12" ht="18" customHeight="1" x14ac:dyDescent="0.45">
      <c r="A6"/>
      <c r="B6" s="41"/>
      <c r="C6" s="35"/>
      <c r="D6" s="35"/>
      <c r="E6" s="35"/>
      <c r="F6" s="179"/>
      <c r="G6" s="35"/>
      <c r="H6" s="179"/>
      <c r="I6" s="180"/>
      <c r="J6" s="181" t="s">
        <v>36</v>
      </c>
      <c r="K6" s="182"/>
      <c r="L6"/>
    </row>
    <row r="7" spans="1:12" ht="17.649999999999999" x14ac:dyDescent="0.75">
      <c r="A7"/>
      <c r="B7" s="183"/>
      <c r="C7"/>
      <c r="D7" s="92" t="s">
        <v>2</v>
      </c>
      <c r="E7" s="92" t="s">
        <v>5</v>
      </c>
      <c r="F7" s="328" t="s">
        <v>189</v>
      </c>
      <c r="G7" s="328"/>
      <c r="H7" s="109" t="s">
        <v>190</v>
      </c>
      <c r="I7" s="109"/>
      <c r="J7" s="181" t="s">
        <v>37</v>
      </c>
      <c r="K7" s="182"/>
      <c r="L7"/>
    </row>
    <row r="8" spans="1:12" ht="17.649999999999999" x14ac:dyDescent="0.75">
      <c r="A8"/>
      <c r="B8" s="329" t="s">
        <v>191</v>
      </c>
      <c r="C8" s="330"/>
      <c r="D8" s="181" t="s">
        <v>3</v>
      </c>
      <c r="E8" s="184" t="s">
        <v>74</v>
      </c>
      <c r="F8" s="163" t="s">
        <v>6</v>
      </c>
      <c r="G8" s="163" t="s">
        <v>7</v>
      </c>
      <c r="H8" s="163" t="s">
        <v>6</v>
      </c>
      <c r="I8" s="163" t="s">
        <v>7</v>
      </c>
      <c r="J8" s="181" t="s">
        <v>255</v>
      </c>
      <c r="K8" s="182"/>
      <c r="L8"/>
    </row>
    <row r="9" spans="1:12" ht="9" customHeight="1" x14ac:dyDescent="0.45">
      <c r="A9"/>
      <c r="B9" s="186"/>
      <c r="C9" s="181"/>
      <c r="D9" s="181"/>
      <c r="E9" s="181"/>
      <c r="F9" s="185"/>
      <c r="G9" s="181"/>
      <c r="H9" s="185"/>
      <c r="I9" s="181"/>
      <c r="J9" s="181"/>
      <c r="K9" s="182"/>
      <c r="L9"/>
    </row>
    <row r="10" spans="1:12" ht="15.4" x14ac:dyDescent="0.45">
      <c r="A10"/>
      <c r="B10" s="187" t="s">
        <v>195</v>
      </c>
      <c r="C10" s="180"/>
      <c r="D10" s="188"/>
      <c r="E10" s="180"/>
      <c r="F10" s="189"/>
      <c r="G10" s="180"/>
      <c r="H10" s="189"/>
      <c r="I10" s="180"/>
      <c r="J10" s="180"/>
      <c r="K10" s="182"/>
      <c r="L10"/>
    </row>
    <row r="11" spans="1:12" ht="15.4" x14ac:dyDescent="0.45">
      <c r="A11"/>
      <c r="B11" s="190"/>
      <c r="C11" s="180" t="s">
        <v>121</v>
      </c>
      <c r="D11" s="188" t="s">
        <v>4</v>
      </c>
      <c r="E11" s="180">
        <v>341834</v>
      </c>
      <c r="F11" s="189" t="s">
        <v>118</v>
      </c>
      <c r="G11" s="180">
        <v>9145</v>
      </c>
      <c r="H11" s="189">
        <v>37.5</v>
      </c>
      <c r="I11" s="180">
        <f>E11/H11</f>
        <v>9115.5733333333337</v>
      </c>
      <c r="J11" s="180">
        <f>I11-G11</f>
        <v>-29.426666666666279</v>
      </c>
      <c r="K11" s="182"/>
      <c r="L11"/>
    </row>
    <row r="12" spans="1:12" ht="15.4" x14ac:dyDescent="0.45">
      <c r="A12"/>
      <c r="B12" s="187" t="s">
        <v>196</v>
      </c>
      <c r="C12" s="180"/>
      <c r="D12" s="188"/>
      <c r="E12" s="180"/>
      <c r="F12" s="189"/>
      <c r="G12" s="180"/>
      <c r="H12" s="189"/>
      <c r="I12" s="180"/>
      <c r="J12" s="180"/>
      <c r="K12" s="182"/>
      <c r="L12"/>
    </row>
    <row r="13" spans="1:12" ht="15.4" x14ac:dyDescent="0.45">
      <c r="A13"/>
      <c r="B13" s="190"/>
      <c r="C13" s="180" t="s">
        <v>121</v>
      </c>
      <c r="D13" s="188" t="s">
        <v>4</v>
      </c>
      <c r="E13" s="180">
        <v>47230</v>
      </c>
      <c r="F13" s="189" t="s">
        <v>118</v>
      </c>
      <c r="G13" s="180">
        <v>5217</v>
      </c>
      <c r="H13" s="189">
        <v>10</v>
      </c>
      <c r="I13" s="180">
        <f>E13/H13</f>
        <v>4723</v>
      </c>
      <c r="J13" s="180">
        <f>I13-G13</f>
        <v>-494</v>
      </c>
      <c r="K13" s="182"/>
      <c r="L13"/>
    </row>
    <row r="14" spans="1:12" ht="15.4" x14ac:dyDescent="0.45">
      <c r="A14"/>
      <c r="B14" s="187" t="s">
        <v>197</v>
      </c>
      <c r="C14" s="180"/>
      <c r="D14" s="188"/>
      <c r="E14" s="180"/>
      <c r="F14" s="189"/>
      <c r="G14" s="180"/>
      <c r="H14" s="189"/>
      <c r="I14" s="180"/>
      <c r="J14" s="180"/>
      <c r="K14" s="182"/>
      <c r="L14"/>
    </row>
    <row r="15" spans="1:12" ht="15.4" x14ac:dyDescent="0.45">
      <c r="A15"/>
      <c r="B15" s="190"/>
      <c r="C15" s="180" t="s">
        <v>194</v>
      </c>
      <c r="D15" s="188" t="s">
        <v>4</v>
      </c>
      <c r="E15" s="180">
        <f>3530+2085+1484</f>
        <v>7099</v>
      </c>
      <c r="F15" s="191" t="s">
        <v>118</v>
      </c>
      <c r="G15" s="180">
        <f>504+52+25</f>
        <v>581</v>
      </c>
      <c r="H15" s="189">
        <v>22.5</v>
      </c>
      <c r="I15" s="180">
        <f t="shared" ref="I15:I16" si="0">E15/H15</f>
        <v>315.51111111111112</v>
      </c>
      <c r="J15" s="180">
        <f t="shared" ref="J15:J16" si="1">I15-G15</f>
        <v>-265.48888888888888</v>
      </c>
      <c r="K15" s="182"/>
      <c r="L15"/>
    </row>
    <row r="16" spans="1:12" ht="15.4" x14ac:dyDescent="0.45">
      <c r="A16"/>
      <c r="B16" s="190"/>
      <c r="C16" s="180" t="s">
        <v>198</v>
      </c>
      <c r="D16" s="188" t="s">
        <v>4</v>
      </c>
      <c r="E16" s="180">
        <f>1845+2377+4898+23996+1601</f>
        <v>34717</v>
      </c>
      <c r="F16" s="191" t="s">
        <v>118</v>
      </c>
      <c r="G16" s="180">
        <f>264+475+980+3428+107</f>
        <v>5254</v>
      </c>
      <c r="H16" s="189">
        <v>10</v>
      </c>
      <c r="I16" s="180">
        <f t="shared" si="0"/>
        <v>3471.7</v>
      </c>
      <c r="J16" s="180">
        <f t="shared" si="1"/>
        <v>-1782.3000000000002</v>
      </c>
      <c r="K16" s="182"/>
      <c r="L16"/>
    </row>
    <row r="17" spans="1:17" ht="15.4" x14ac:dyDescent="0.45">
      <c r="A17"/>
      <c r="B17" s="187" t="s">
        <v>199</v>
      </c>
      <c r="C17" s="180"/>
      <c r="D17" s="188"/>
      <c r="E17" s="180"/>
      <c r="F17" s="189"/>
      <c r="G17" s="180"/>
      <c r="H17" s="189"/>
      <c r="I17" s="180"/>
      <c r="J17" s="180"/>
      <c r="K17" s="182"/>
      <c r="L17"/>
    </row>
    <row r="18" spans="1:17" ht="15.4" x14ac:dyDescent="0.45">
      <c r="A18"/>
      <c r="B18" s="190"/>
      <c r="C18" s="180" t="s">
        <v>121</v>
      </c>
      <c r="D18" s="188" t="s">
        <v>4</v>
      </c>
      <c r="E18" s="180">
        <v>58215</v>
      </c>
      <c r="F18" s="189" t="s">
        <v>118</v>
      </c>
      <c r="G18" s="180">
        <v>3044</v>
      </c>
      <c r="H18" s="189">
        <v>37.5</v>
      </c>
      <c r="I18" s="180">
        <f>E18/H18</f>
        <v>1552.4</v>
      </c>
      <c r="J18" s="180">
        <f>I18-G18</f>
        <v>-1491.6</v>
      </c>
      <c r="K18" s="182"/>
      <c r="L18"/>
    </row>
    <row r="19" spans="1:17" ht="15.4" x14ac:dyDescent="0.45">
      <c r="A19"/>
      <c r="B19" s="187" t="s">
        <v>200</v>
      </c>
      <c r="C19" s="180"/>
      <c r="D19" s="188"/>
      <c r="E19" s="180"/>
      <c r="F19" s="189"/>
      <c r="G19" s="180"/>
      <c r="H19" s="189"/>
      <c r="I19" s="180"/>
      <c r="J19" s="180"/>
      <c r="K19" s="182"/>
      <c r="L19"/>
    </row>
    <row r="20" spans="1:17" ht="15.4" x14ac:dyDescent="0.45">
      <c r="A20"/>
      <c r="B20" s="190"/>
      <c r="C20" s="180" t="s">
        <v>192</v>
      </c>
      <c r="D20" s="188" t="s">
        <v>4</v>
      </c>
      <c r="E20" s="180">
        <f>85539+19670+18414</f>
        <v>123623</v>
      </c>
      <c r="F20" s="189">
        <v>10</v>
      </c>
      <c r="G20" s="180">
        <f>11847-G21</f>
        <v>11748.6</v>
      </c>
      <c r="H20" s="189">
        <v>12.5</v>
      </c>
      <c r="I20" s="180">
        <f>E20/H20</f>
        <v>9889.84</v>
      </c>
      <c r="J20" s="180">
        <f>I20-G20</f>
        <v>-1858.7600000000002</v>
      </c>
      <c r="K20" s="182"/>
      <c r="L20"/>
    </row>
    <row r="21" spans="1:17" ht="15.4" x14ac:dyDescent="0.45">
      <c r="A21"/>
      <c r="B21" s="190"/>
      <c r="C21" s="180" t="s">
        <v>196</v>
      </c>
      <c r="D21" s="188"/>
      <c r="E21" s="180">
        <v>1186</v>
      </c>
      <c r="F21" s="189">
        <v>10</v>
      </c>
      <c r="G21" s="180">
        <v>98.4</v>
      </c>
      <c r="H21" s="189">
        <v>10</v>
      </c>
      <c r="I21" s="180">
        <f>G21</f>
        <v>98.4</v>
      </c>
      <c r="J21" s="180">
        <f>I21-G21</f>
        <v>0</v>
      </c>
      <c r="K21" s="182"/>
      <c r="L21"/>
    </row>
    <row r="22" spans="1:17" ht="15.4" x14ac:dyDescent="0.45">
      <c r="A22"/>
      <c r="B22" s="187" t="s">
        <v>122</v>
      </c>
      <c r="C22" s="180"/>
      <c r="D22" s="188"/>
      <c r="E22" s="180"/>
      <c r="F22" s="189"/>
      <c r="G22" s="180"/>
      <c r="H22" s="189"/>
      <c r="I22" s="180"/>
      <c r="J22" s="180"/>
      <c r="K22" s="182"/>
      <c r="L22"/>
    </row>
    <row r="23" spans="1:17" ht="15.4" x14ac:dyDescent="0.45">
      <c r="A23"/>
      <c r="B23" s="190"/>
      <c r="C23" s="180" t="s">
        <v>122</v>
      </c>
      <c r="D23" s="188" t="s">
        <v>4</v>
      </c>
      <c r="E23" s="180">
        <f>13760+9025+3381+21571</f>
        <v>47737</v>
      </c>
      <c r="F23" s="191" t="s">
        <v>118</v>
      </c>
      <c r="G23" s="180">
        <f>550+361+338+270</f>
        <v>1519</v>
      </c>
      <c r="H23" s="189">
        <v>20</v>
      </c>
      <c r="I23" s="180">
        <f>E23/H23</f>
        <v>2386.85</v>
      </c>
      <c r="J23" s="180">
        <f>I23-G23</f>
        <v>867.84999999999991</v>
      </c>
      <c r="K23" s="182"/>
      <c r="L23"/>
    </row>
    <row r="24" spans="1:17" ht="15.4" x14ac:dyDescent="0.45">
      <c r="A24"/>
      <c r="B24" s="190"/>
      <c r="C24" s="192" t="s">
        <v>201</v>
      </c>
      <c r="D24" s="193" t="s">
        <v>193</v>
      </c>
      <c r="E24" s="180">
        <f>22029+102464+155965+5068+352436+441153+79960+6394</f>
        <v>1165469</v>
      </c>
      <c r="F24" s="191" t="s">
        <v>118</v>
      </c>
      <c r="G24" s="180">
        <f>441+2049+3119+101+7049+12254+3998+256</f>
        <v>29267</v>
      </c>
      <c r="H24" s="189">
        <v>45</v>
      </c>
      <c r="I24" s="180">
        <f>E24/H24</f>
        <v>25899.31111111111</v>
      </c>
      <c r="J24" s="180">
        <f>I24-G24</f>
        <v>-3367.6888888888898</v>
      </c>
      <c r="K24" s="182"/>
      <c r="L24"/>
    </row>
    <row r="25" spans="1:17" ht="15.4" x14ac:dyDescent="0.45">
      <c r="A25"/>
      <c r="B25" s="187" t="s">
        <v>202</v>
      </c>
      <c r="C25" s="180"/>
      <c r="D25" s="188"/>
      <c r="E25" s="180"/>
      <c r="F25" s="189"/>
      <c r="G25" s="180"/>
      <c r="H25" s="189"/>
      <c r="I25" s="180"/>
      <c r="J25" s="180"/>
      <c r="K25" s="182"/>
      <c r="L25"/>
    </row>
    <row r="26" spans="1:17" ht="15.4" x14ac:dyDescent="0.45">
      <c r="A26"/>
      <c r="B26" s="190"/>
      <c r="C26" s="180" t="s">
        <v>121</v>
      </c>
      <c r="D26" s="188" t="s">
        <v>4</v>
      </c>
      <c r="E26" s="180">
        <v>7388</v>
      </c>
      <c r="F26" s="189">
        <v>10</v>
      </c>
      <c r="G26" s="180">
        <v>739</v>
      </c>
      <c r="H26" s="189">
        <v>17.5</v>
      </c>
      <c r="I26" s="180">
        <f>E26/H26</f>
        <v>422.17142857142858</v>
      </c>
      <c r="J26" s="180">
        <f>I26-G26</f>
        <v>-316.82857142857142</v>
      </c>
      <c r="K26" s="182"/>
      <c r="L26"/>
    </row>
    <row r="27" spans="1:17" ht="15.4" x14ac:dyDescent="0.45">
      <c r="A27"/>
      <c r="B27" s="187" t="s">
        <v>203</v>
      </c>
      <c r="C27" s="180"/>
      <c r="D27" s="188"/>
      <c r="E27" s="180"/>
      <c r="F27" s="189"/>
      <c r="G27" s="180"/>
      <c r="H27" s="189"/>
      <c r="I27" s="180"/>
      <c r="J27" s="180"/>
      <c r="K27" s="182"/>
      <c r="L27"/>
      <c r="N27" s="253"/>
      <c r="O27" s="254">
        <f>29006+25589+4980</f>
        <v>59575</v>
      </c>
      <c r="P27" s="255" t="s">
        <v>228</v>
      </c>
      <c r="Q27" s="256"/>
    </row>
    <row r="28" spans="1:17" ht="16.5" x14ac:dyDescent="0.45">
      <c r="A28"/>
      <c r="B28" s="190"/>
      <c r="C28" s="180" t="s">
        <v>121</v>
      </c>
      <c r="D28" s="188" t="s">
        <v>4</v>
      </c>
      <c r="E28" s="180">
        <f>29006+25589+4980+35930+30851+49338</f>
        <v>175694</v>
      </c>
      <c r="F28" s="189" t="s">
        <v>118</v>
      </c>
      <c r="G28" s="180">
        <f>1036+1524+747+5133+6170+7048</f>
        <v>21658</v>
      </c>
      <c r="H28" s="189">
        <v>7</v>
      </c>
      <c r="I28" s="180">
        <f>N28</f>
        <v>16588.428571428572</v>
      </c>
      <c r="J28" s="180">
        <f>I28-G28</f>
        <v>-5069.5714285714275</v>
      </c>
      <c r="K28" s="182"/>
      <c r="L28"/>
      <c r="N28" s="257">
        <f>O28/7</f>
        <v>16588.428571428572</v>
      </c>
      <c r="O28" s="252">
        <f>35930+30851+49338</f>
        <v>116119</v>
      </c>
      <c r="P28" s="14" t="s">
        <v>229</v>
      </c>
      <c r="Q28" s="258"/>
    </row>
    <row r="29" spans="1:17" ht="15.4" x14ac:dyDescent="0.45">
      <c r="A29"/>
      <c r="B29" s="187" t="s">
        <v>204</v>
      </c>
      <c r="C29" s="180"/>
      <c r="D29" s="188"/>
      <c r="E29" s="180"/>
      <c r="F29" s="189"/>
      <c r="G29" s="180"/>
      <c r="H29" s="189"/>
      <c r="I29" s="180"/>
      <c r="J29" s="180"/>
      <c r="K29" s="182"/>
      <c r="L29"/>
      <c r="N29" s="259"/>
      <c r="O29" s="26">
        <f>O27+O28</f>
        <v>175694</v>
      </c>
      <c r="P29" s="26"/>
      <c r="Q29" s="260"/>
    </row>
    <row r="30" spans="1:17" ht="15.4" x14ac:dyDescent="0.45">
      <c r="A30"/>
      <c r="B30" s="190"/>
      <c r="C30" s="200" t="s">
        <v>253</v>
      </c>
      <c r="D30" s="188" t="s">
        <v>4</v>
      </c>
      <c r="E30" s="180">
        <v>10055250</v>
      </c>
      <c r="F30" s="189" t="s">
        <v>118</v>
      </c>
      <c r="G30" s="180">
        <v>202356</v>
      </c>
      <c r="H30" s="189">
        <v>62.5</v>
      </c>
      <c r="I30" s="180">
        <f>E30/H30</f>
        <v>160884</v>
      </c>
      <c r="J30" s="180">
        <f>I30-G30</f>
        <v>-41472</v>
      </c>
      <c r="K30" s="182"/>
      <c r="L30"/>
    </row>
    <row r="31" spans="1:17" ht="15.4" x14ac:dyDescent="0.45">
      <c r="A31"/>
      <c r="B31" s="190"/>
      <c r="C31" s="192" t="s">
        <v>123</v>
      </c>
      <c r="D31" s="193"/>
      <c r="E31" s="180">
        <v>152203</v>
      </c>
      <c r="F31" s="191">
        <v>50</v>
      </c>
      <c r="G31" s="180">
        <v>3043</v>
      </c>
      <c r="H31" s="189">
        <v>40</v>
      </c>
      <c r="I31" s="180">
        <f>E31/H31</f>
        <v>3805.0749999999998</v>
      </c>
      <c r="J31" s="180">
        <f>I31-G31</f>
        <v>762.07499999999982</v>
      </c>
      <c r="K31" s="182"/>
      <c r="L31"/>
    </row>
    <row r="32" spans="1:17" ht="15.4" x14ac:dyDescent="0.45">
      <c r="A32"/>
      <c r="B32" s="190"/>
      <c r="C32" s="192" t="s">
        <v>205</v>
      </c>
      <c r="D32" s="193"/>
      <c r="E32" s="180">
        <v>791000</v>
      </c>
      <c r="F32" s="191" t="s">
        <v>118</v>
      </c>
      <c r="G32" s="180">
        <f>262765-G30-G31</f>
        <v>57366</v>
      </c>
      <c r="H32" s="189">
        <v>10</v>
      </c>
      <c r="I32" s="180">
        <f>E32/H32</f>
        <v>79100</v>
      </c>
      <c r="J32" s="180">
        <f>I32-G32</f>
        <v>21734</v>
      </c>
      <c r="K32" s="182"/>
      <c r="L32"/>
    </row>
    <row r="33" spans="1:12" ht="15.4" x14ac:dyDescent="0.45">
      <c r="A33"/>
      <c r="B33" s="187" t="s">
        <v>206</v>
      </c>
      <c r="C33" s="192"/>
      <c r="D33" s="193"/>
      <c r="F33" s="191"/>
      <c r="G33" s="180"/>
      <c r="H33" s="189"/>
      <c r="I33" s="180"/>
      <c r="J33" s="180"/>
      <c r="K33" s="182"/>
      <c r="L33"/>
    </row>
    <row r="34" spans="1:12" ht="15.4" x14ac:dyDescent="0.45">
      <c r="A34"/>
      <c r="B34" s="190"/>
      <c r="C34" s="192" t="s">
        <v>207</v>
      </c>
      <c r="D34" s="193"/>
      <c r="E34" s="180">
        <v>130522</v>
      </c>
      <c r="F34" s="191"/>
      <c r="G34" s="180">
        <v>0</v>
      </c>
      <c r="H34" s="189">
        <v>7</v>
      </c>
      <c r="I34" s="180">
        <f t="shared" ref="I34:I36" si="2">E34/H34</f>
        <v>18646</v>
      </c>
      <c r="J34" s="180">
        <f t="shared" ref="J34:J36" si="3">I34-G34</f>
        <v>18646</v>
      </c>
      <c r="K34" s="182"/>
      <c r="L34"/>
    </row>
    <row r="35" spans="1:12" ht="15.4" x14ac:dyDescent="0.45">
      <c r="A35"/>
      <c r="B35" s="190"/>
      <c r="C35" s="192" t="s">
        <v>192</v>
      </c>
      <c r="D35" s="193"/>
      <c r="E35" s="180">
        <f>78652+10065</f>
        <v>88717</v>
      </c>
      <c r="F35" s="191"/>
      <c r="G35" s="180">
        <v>0</v>
      </c>
      <c r="H35" s="189">
        <v>12.5</v>
      </c>
      <c r="I35" s="180">
        <f t="shared" si="2"/>
        <v>7097.36</v>
      </c>
      <c r="J35" s="180">
        <f t="shared" si="3"/>
        <v>7097.36</v>
      </c>
      <c r="K35" s="182"/>
      <c r="L35"/>
    </row>
    <row r="36" spans="1:12" ht="15.4" x14ac:dyDescent="0.45">
      <c r="A36"/>
      <c r="B36" s="190"/>
      <c r="C36" s="250" t="s">
        <v>205</v>
      </c>
      <c r="D36" s="193"/>
      <c r="E36" s="180">
        <v>486802</v>
      </c>
      <c r="F36" s="191"/>
      <c r="G36" s="180">
        <v>0</v>
      </c>
      <c r="H36" s="251">
        <v>10</v>
      </c>
      <c r="I36" s="180">
        <f t="shared" si="2"/>
        <v>48680.2</v>
      </c>
      <c r="J36" s="180">
        <f t="shared" si="3"/>
        <v>48680.2</v>
      </c>
      <c r="K36" s="182"/>
      <c r="L36"/>
    </row>
    <row r="37" spans="1:12" ht="15.4" x14ac:dyDescent="0.45">
      <c r="A37"/>
      <c r="B37" s="187" t="s">
        <v>239</v>
      </c>
      <c r="C37" s="192"/>
      <c r="D37" s="193"/>
      <c r="E37" s="180"/>
      <c r="F37" s="191"/>
      <c r="G37" s="180"/>
      <c r="H37" s="189"/>
      <c r="I37" s="180"/>
      <c r="J37" s="180"/>
      <c r="K37" s="182"/>
      <c r="L37"/>
    </row>
    <row r="38" spans="1:12" ht="16.5" x14ac:dyDescent="0.45">
      <c r="A38"/>
      <c r="B38" s="190"/>
      <c r="C38" s="192" t="s">
        <v>207</v>
      </c>
      <c r="D38" s="193"/>
      <c r="E38" s="180">
        <f>24385+29006+25589+35930</f>
        <v>114910</v>
      </c>
      <c r="F38" s="191"/>
      <c r="G38" s="252">
        <v>0</v>
      </c>
      <c r="H38" s="189"/>
      <c r="I38" s="252">
        <f>J38</f>
        <v>-7693</v>
      </c>
      <c r="J38" s="252">
        <f>-1036-1524-5133</f>
        <v>-7693</v>
      </c>
      <c r="K38" s="182"/>
      <c r="L38"/>
    </row>
    <row r="39" spans="1:12" ht="6.95" customHeight="1" x14ac:dyDescent="0.45">
      <c r="A39"/>
      <c r="B39" s="190"/>
      <c r="C39" s="180"/>
      <c r="D39" s="188"/>
      <c r="E39" s="180"/>
      <c r="F39" s="189"/>
      <c r="G39" s="180"/>
      <c r="H39" s="189"/>
      <c r="I39" s="180"/>
      <c r="J39" s="180"/>
      <c r="K39" s="182"/>
      <c r="L39"/>
    </row>
    <row r="40" spans="1:12" ht="15.4" x14ac:dyDescent="0.45">
      <c r="A40"/>
      <c r="B40" s="190"/>
      <c r="C40" s="194" t="s">
        <v>1</v>
      </c>
      <c r="D40" s="195"/>
      <c r="E40" s="194"/>
      <c r="F40" s="196"/>
      <c r="G40" s="261">
        <f>SUM(G11:G39)</f>
        <v>351036</v>
      </c>
      <c r="H40" s="261"/>
      <c r="I40" s="261">
        <f t="shared" ref="I40:J40" si="4">SUM(I11:I39)</f>
        <v>384982.82055555558</v>
      </c>
      <c r="J40" s="261">
        <f t="shared" si="4"/>
        <v>33946.820555555547</v>
      </c>
      <c r="K40" s="182"/>
      <c r="L40"/>
    </row>
    <row r="41" spans="1:12" ht="15.4" x14ac:dyDescent="0.45">
      <c r="A41"/>
      <c r="B41" s="197"/>
      <c r="C41" s="198"/>
      <c r="D41" s="198"/>
      <c r="E41" s="198"/>
      <c r="F41" s="198"/>
      <c r="G41" s="198"/>
      <c r="H41" s="198"/>
      <c r="I41" s="198"/>
      <c r="J41" s="198"/>
      <c r="K41" s="199"/>
      <c r="L41"/>
    </row>
    <row r="42" spans="1:12" ht="15.4" x14ac:dyDescent="0.45">
      <c r="A42"/>
      <c r="B42"/>
      <c r="C42"/>
      <c r="D42"/>
      <c r="E42"/>
      <c r="F42"/>
      <c r="G42"/>
      <c r="H42"/>
      <c r="I42"/>
      <c r="J42"/>
      <c r="K42"/>
      <c r="L42"/>
    </row>
    <row r="43" spans="1:12" ht="15.4" x14ac:dyDescent="0.45">
      <c r="A43"/>
      <c r="B43"/>
      <c r="C43" s="14" t="s">
        <v>254</v>
      </c>
      <c r="D43"/>
      <c r="E43"/>
      <c r="F43"/>
      <c r="G43"/>
      <c r="H43"/>
      <c r="I43"/>
      <c r="J43"/>
      <c r="K43"/>
      <c r="L43"/>
    </row>
    <row r="44" spans="1:12" ht="15.4" x14ac:dyDescent="0.45">
      <c r="A44"/>
      <c r="B44"/>
      <c r="C44"/>
      <c r="D44"/>
      <c r="E44"/>
      <c r="F44"/>
      <c r="G44"/>
      <c r="H44"/>
      <c r="I44"/>
      <c r="J44"/>
      <c r="K44"/>
      <c r="L44"/>
    </row>
  </sheetData>
  <mergeCells count="4">
    <mergeCell ref="B3:K3"/>
    <mergeCell ref="B4:K4"/>
    <mergeCell ref="F7:G7"/>
    <mergeCell ref="B8:C8"/>
  </mergeCells>
  <printOptions horizontalCentered="1"/>
  <pageMargins left="0.5" right="0.4" top="0.75" bottom="0.25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6"/>
  <sheetViews>
    <sheetView workbookViewId="0"/>
  </sheetViews>
  <sheetFormatPr defaultColWidth="8.88671875" defaultRowHeight="14.25" x14ac:dyDescent="0.45"/>
  <cols>
    <col min="1" max="1" width="1.6640625" style="3" customWidth="1"/>
    <col min="2" max="2" width="7.44140625" style="3" customWidth="1"/>
    <col min="3" max="3" width="8" style="3" customWidth="1"/>
    <col min="4" max="4" width="7.33203125" style="3" customWidth="1"/>
    <col min="5" max="5" width="8.5546875" style="3" customWidth="1"/>
    <col min="6" max="6" width="7.33203125" style="3" customWidth="1"/>
    <col min="7" max="7" width="8" style="3" customWidth="1"/>
    <col min="8" max="8" width="7.33203125" style="3" customWidth="1"/>
    <col min="9" max="10" width="8" style="3" customWidth="1"/>
    <col min="11" max="11" width="10" style="3" customWidth="1"/>
    <col min="12" max="12" width="0.77734375" style="3" customWidth="1"/>
    <col min="13" max="13" width="2.21875" style="3" customWidth="1"/>
    <col min="14" max="16384" width="8.88671875" style="3"/>
  </cols>
  <sheetData>
    <row r="1" spans="1:15" ht="15.4" x14ac:dyDescent="0.45">
      <c r="A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5.4" x14ac:dyDescent="0.45">
      <c r="A2"/>
      <c r="B2" s="38"/>
      <c r="C2" s="39"/>
      <c r="D2" s="39"/>
      <c r="E2" s="39"/>
      <c r="F2" s="39"/>
      <c r="G2" s="39"/>
      <c r="H2" s="39"/>
      <c r="I2" s="39"/>
      <c r="J2" s="39"/>
      <c r="K2" s="39"/>
      <c r="L2" s="40"/>
      <c r="M2" s="9"/>
      <c r="N2" s="9"/>
      <c r="O2" s="9"/>
    </row>
    <row r="3" spans="1:15" ht="18" x14ac:dyDescent="0.55000000000000004">
      <c r="A3"/>
      <c r="B3" s="206" t="s">
        <v>224</v>
      </c>
      <c r="C3" s="207"/>
      <c r="D3" s="207"/>
      <c r="E3" s="207"/>
      <c r="F3" s="207"/>
      <c r="G3" s="207"/>
      <c r="H3" s="207"/>
      <c r="I3" s="207"/>
      <c r="J3" s="207"/>
      <c r="K3" s="207"/>
      <c r="L3" s="208"/>
      <c r="M3" s="9"/>
      <c r="N3" s="9"/>
      <c r="O3" s="9"/>
    </row>
    <row r="4" spans="1:15" ht="18" x14ac:dyDescent="0.55000000000000004">
      <c r="A4"/>
      <c r="B4" s="209" t="s">
        <v>225</v>
      </c>
      <c r="C4" s="210"/>
      <c r="D4" s="210"/>
      <c r="E4" s="210"/>
      <c r="F4" s="210"/>
      <c r="G4" s="210"/>
      <c r="H4" s="210"/>
      <c r="I4" s="210"/>
      <c r="J4" s="210"/>
      <c r="K4" s="210"/>
      <c r="L4" s="208"/>
      <c r="M4" s="9"/>
      <c r="N4" s="9"/>
      <c r="O4" s="9"/>
    </row>
    <row r="5" spans="1:15" ht="15.75" x14ac:dyDescent="0.45">
      <c r="A5"/>
      <c r="B5" s="211" t="s">
        <v>133</v>
      </c>
      <c r="C5" s="207"/>
      <c r="D5" s="207"/>
      <c r="E5" s="207"/>
      <c r="F5" s="207"/>
      <c r="G5" s="207"/>
      <c r="H5" s="207"/>
      <c r="I5" s="207"/>
      <c r="J5" s="207"/>
      <c r="K5" s="207"/>
      <c r="L5" s="208"/>
      <c r="M5" s="9"/>
      <c r="N5" s="9"/>
      <c r="O5" s="9"/>
    </row>
    <row r="6" spans="1:15" ht="15.75" x14ac:dyDescent="0.5">
      <c r="A6"/>
      <c r="B6" s="212" t="s">
        <v>237</v>
      </c>
      <c r="C6" s="213"/>
      <c r="D6" s="213"/>
      <c r="E6" s="213"/>
      <c r="F6" s="213"/>
      <c r="G6" s="213"/>
      <c r="H6" s="213"/>
      <c r="I6" s="213"/>
      <c r="J6" s="213"/>
      <c r="K6" s="213"/>
      <c r="L6" s="208"/>
      <c r="M6" s="9"/>
      <c r="N6" s="9"/>
      <c r="O6" s="9"/>
    </row>
    <row r="7" spans="1:15" ht="15.4" x14ac:dyDescent="0.45">
      <c r="A7"/>
      <c r="B7" s="214"/>
      <c r="C7" s="213"/>
      <c r="D7" s="213"/>
      <c r="E7" s="213"/>
      <c r="F7" s="213"/>
      <c r="G7" s="213"/>
      <c r="H7" s="213"/>
      <c r="I7" s="213"/>
      <c r="J7" s="213"/>
      <c r="K7" s="213"/>
      <c r="L7" s="208"/>
      <c r="M7" s="9"/>
      <c r="N7" s="9"/>
      <c r="O7" s="9"/>
    </row>
    <row r="8" spans="1:15" ht="15.4" x14ac:dyDescent="0.45">
      <c r="A8"/>
      <c r="B8" s="215"/>
      <c r="C8" s="216"/>
      <c r="D8" s="217"/>
      <c r="E8" s="216"/>
      <c r="F8" s="218"/>
      <c r="G8" s="216"/>
      <c r="H8" s="217"/>
      <c r="I8" s="216"/>
      <c r="J8" s="217"/>
      <c r="K8" s="216"/>
      <c r="L8" s="40"/>
      <c r="M8" s="9"/>
      <c r="N8" s="9"/>
      <c r="O8" s="9"/>
    </row>
    <row r="9" spans="1:15" ht="15.4" x14ac:dyDescent="0.45">
      <c r="A9"/>
      <c r="B9" s="219"/>
      <c r="C9" s="266" t="s">
        <v>233</v>
      </c>
      <c r="D9" s="220"/>
      <c r="E9" s="331" t="s">
        <v>234</v>
      </c>
      <c r="F9" s="332"/>
      <c r="G9" s="331" t="s">
        <v>235</v>
      </c>
      <c r="H9" s="333"/>
      <c r="I9" s="266" t="s">
        <v>236</v>
      </c>
      <c r="J9" s="221"/>
      <c r="K9" s="41"/>
      <c r="L9" s="208"/>
      <c r="M9" s="9"/>
      <c r="N9" s="9"/>
      <c r="O9" s="9"/>
    </row>
    <row r="10" spans="1:15" ht="16.5" x14ac:dyDescent="0.45">
      <c r="A10"/>
      <c r="B10" s="222" t="s">
        <v>131</v>
      </c>
      <c r="C10" s="222" t="s">
        <v>38</v>
      </c>
      <c r="D10" s="223" t="s">
        <v>39</v>
      </c>
      <c r="E10" s="222" t="s">
        <v>38</v>
      </c>
      <c r="F10" s="224" t="s">
        <v>39</v>
      </c>
      <c r="G10" s="222" t="s">
        <v>38</v>
      </c>
      <c r="H10" s="225" t="s">
        <v>39</v>
      </c>
      <c r="I10" s="222" t="s">
        <v>38</v>
      </c>
      <c r="J10" s="225" t="s">
        <v>39</v>
      </c>
      <c r="K10" s="222" t="s">
        <v>1</v>
      </c>
      <c r="L10" s="208"/>
      <c r="M10" s="9"/>
      <c r="N10" s="9"/>
      <c r="O10" s="9"/>
    </row>
    <row r="11" spans="1:15" ht="15.4" x14ac:dyDescent="0.45">
      <c r="A11"/>
      <c r="B11" s="269">
        <v>2025</v>
      </c>
      <c r="C11" s="226">
        <v>12739</v>
      </c>
      <c r="D11" s="227">
        <v>17959</v>
      </c>
      <c r="E11" s="226">
        <v>7531</v>
      </c>
      <c r="F11" s="227">
        <v>10803</v>
      </c>
      <c r="G11" s="226">
        <v>18128</v>
      </c>
      <c r="H11" s="228">
        <v>22784</v>
      </c>
      <c r="I11" s="226">
        <f>3333.33*12</f>
        <v>39999.96</v>
      </c>
      <c r="J11" s="228">
        <f>1512+11*1412.29</f>
        <v>17047.189999999999</v>
      </c>
      <c r="K11" s="226">
        <f>SUM(C11:J11)</f>
        <v>146991.15</v>
      </c>
      <c r="L11" s="208"/>
      <c r="M11" s="9"/>
      <c r="N11" s="9"/>
      <c r="O11" s="9"/>
    </row>
    <row r="12" spans="1:15" ht="15.4" x14ac:dyDescent="0.45">
      <c r="A12"/>
      <c r="B12" s="269">
        <v>2026</v>
      </c>
      <c r="C12" s="229">
        <v>13312</v>
      </c>
      <c r="D12" s="230">
        <v>17386</v>
      </c>
      <c r="E12" s="229">
        <v>7804</v>
      </c>
      <c r="F12" s="230">
        <v>10530</v>
      </c>
      <c r="G12" s="229">
        <v>18627</v>
      </c>
      <c r="H12" s="125">
        <v>22285</v>
      </c>
      <c r="I12" s="229">
        <f>3333.33*12</f>
        <v>39999.96</v>
      </c>
      <c r="J12" s="125">
        <f>1412.29+11*1283.96</f>
        <v>15535.850000000002</v>
      </c>
      <c r="K12" s="267">
        <f t="shared" ref="K12:K15" si="0">SUM(C12:J12)</f>
        <v>145479.81</v>
      </c>
      <c r="L12" s="208"/>
      <c r="M12" s="9"/>
      <c r="N12" s="9"/>
      <c r="O12" s="9"/>
    </row>
    <row r="13" spans="1:15" ht="15.4" x14ac:dyDescent="0.45">
      <c r="A13"/>
      <c r="B13" s="269">
        <v>2027</v>
      </c>
      <c r="C13" s="229">
        <v>13911</v>
      </c>
      <c r="D13" s="230">
        <v>16787</v>
      </c>
      <c r="E13" s="229">
        <v>8087</v>
      </c>
      <c r="F13" s="230">
        <v>10247</v>
      </c>
      <c r="G13" s="229">
        <v>19139</v>
      </c>
      <c r="H13" s="125">
        <v>21773</v>
      </c>
      <c r="I13" s="229">
        <f>3333.33+11*3750</f>
        <v>44583.33</v>
      </c>
      <c r="J13" s="125">
        <f>1283.96+11*1155.63</f>
        <v>13995.89</v>
      </c>
      <c r="K13" s="267">
        <f t="shared" si="0"/>
        <v>148523.22000000003</v>
      </c>
      <c r="L13" s="208"/>
      <c r="M13" s="9"/>
      <c r="N13" s="9"/>
      <c r="O13" s="9"/>
    </row>
    <row r="14" spans="1:15" ht="15.4" x14ac:dyDescent="0.45">
      <c r="A14"/>
      <c r="B14" s="269">
        <v>2028</v>
      </c>
      <c r="C14" s="229">
        <v>14537</v>
      </c>
      <c r="D14" s="230">
        <v>16161</v>
      </c>
      <c r="E14" s="229">
        <v>8380</v>
      </c>
      <c r="F14" s="231">
        <v>9954</v>
      </c>
      <c r="G14" s="229">
        <v>19607</v>
      </c>
      <c r="H14" s="231">
        <v>21305</v>
      </c>
      <c r="I14" s="229">
        <f>3750*12</f>
        <v>45000</v>
      </c>
      <c r="J14" s="231">
        <f>1155.63+11*1011.25</f>
        <v>12279.380000000001</v>
      </c>
      <c r="K14" s="267">
        <f t="shared" si="0"/>
        <v>147223.38</v>
      </c>
      <c r="L14" s="208"/>
      <c r="M14" s="9"/>
      <c r="N14" s="9"/>
      <c r="O14" s="9"/>
    </row>
    <row r="15" spans="1:15" ht="15.4" x14ac:dyDescent="0.45">
      <c r="A15"/>
      <c r="B15" s="269">
        <v>2029</v>
      </c>
      <c r="C15" s="229">
        <v>15191</v>
      </c>
      <c r="D15" s="230">
        <v>15507</v>
      </c>
      <c r="E15" s="229">
        <v>8684</v>
      </c>
      <c r="F15" s="231">
        <v>9650</v>
      </c>
      <c r="G15" s="229">
        <v>20204</v>
      </c>
      <c r="H15" s="231">
        <v>20708</v>
      </c>
      <c r="I15" s="229">
        <f>3750*12</f>
        <v>45000</v>
      </c>
      <c r="J15" s="231">
        <f>1011.25+11*866.88</f>
        <v>10546.93</v>
      </c>
      <c r="K15" s="267">
        <f t="shared" si="0"/>
        <v>145490.93</v>
      </c>
      <c r="L15" s="208"/>
      <c r="M15" s="9"/>
      <c r="N15" s="9"/>
      <c r="O15" s="9"/>
    </row>
    <row r="16" spans="1:15" ht="15.4" x14ac:dyDescent="0.45">
      <c r="A16"/>
      <c r="B16" s="232"/>
      <c r="C16" s="233"/>
      <c r="D16" s="234"/>
      <c r="E16" s="233"/>
      <c r="F16" s="234"/>
      <c r="G16" s="233"/>
      <c r="H16" s="234"/>
      <c r="I16" s="233"/>
      <c r="J16" s="234"/>
      <c r="K16" s="267"/>
      <c r="L16" s="208"/>
      <c r="M16" s="9"/>
      <c r="N16" s="9"/>
      <c r="O16" s="9"/>
    </row>
    <row r="17" spans="1:15" ht="15.4" x14ac:dyDescent="0.45">
      <c r="A17"/>
      <c r="B17" s="235" t="s">
        <v>1</v>
      </c>
      <c r="C17" s="236">
        <f t="shared" ref="C17:K17" si="1">SUM(C11:C16)</f>
        <v>69690</v>
      </c>
      <c r="D17" s="237">
        <f t="shared" si="1"/>
        <v>83800</v>
      </c>
      <c r="E17" s="236">
        <f t="shared" si="1"/>
        <v>40486</v>
      </c>
      <c r="F17" s="238">
        <f t="shared" si="1"/>
        <v>51184</v>
      </c>
      <c r="G17" s="236">
        <f t="shared" si="1"/>
        <v>95705</v>
      </c>
      <c r="H17" s="239">
        <f t="shared" si="1"/>
        <v>108855</v>
      </c>
      <c r="I17" s="236">
        <f t="shared" si="1"/>
        <v>214583.25</v>
      </c>
      <c r="J17" s="239">
        <f t="shared" si="1"/>
        <v>69405.239999999991</v>
      </c>
      <c r="K17" s="268">
        <f t="shared" si="1"/>
        <v>733708.49</v>
      </c>
      <c r="L17" s="208"/>
      <c r="M17" s="9"/>
      <c r="N17" s="9">
        <f>SUM(C17:J17)</f>
        <v>733708.49</v>
      </c>
      <c r="O17" s="9"/>
    </row>
    <row r="18" spans="1:15" ht="15.4" x14ac:dyDescent="0.45">
      <c r="A18"/>
      <c r="B18" s="240"/>
      <c r="C18" s="241"/>
      <c r="D18" s="242"/>
      <c r="E18" s="241"/>
      <c r="F18" s="243"/>
      <c r="G18" s="241"/>
      <c r="H18" s="242"/>
      <c r="I18" s="241"/>
      <c r="J18" s="242"/>
      <c r="K18" s="241"/>
      <c r="L18" s="43"/>
      <c r="M18" s="9"/>
      <c r="N18" s="9"/>
      <c r="O18" s="9"/>
    </row>
    <row r="19" spans="1:15" ht="15.4" x14ac:dyDescent="0.45">
      <c r="A19"/>
      <c r="B19" s="244"/>
      <c r="C19" s="245"/>
      <c r="D19" s="245"/>
      <c r="E19" s="245"/>
      <c r="F19" s="245"/>
      <c r="G19" s="245"/>
      <c r="H19" s="245"/>
      <c r="I19" s="245"/>
      <c r="J19" s="245"/>
      <c r="K19" s="245"/>
      <c r="L19" s="208"/>
      <c r="M19" s="9"/>
      <c r="N19" s="9"/>
      <c r="O19" s="9"/>
    </row>
    <row r="20" spans="1:15" ht="15.4" x14ac:dyDescent="0.45">
      <c r="A20"/>
      <c r="B20" s="246"/>
      <c r="C20" s="247"/>
      <c r="D20" s="204"/>
      <c r="F20" s="247"/>
      <c r="G20" s="204" t="s">
        <v>226</v>
      </c>
      <c r="H20" s="9"/>
      <c r="I20" s="9"/>
      <c r="J20" s="9"/>
      <c r="K20" s="247">
        <f>K17/5</f>
        <v>146741.698</v>
      </c>
      <c r="L20" s="208"/>
      <c r="M20" s="9"/>
      <c r="N20" s="9"/>
      <c r="O20" s="9"/>
    </row>
    <row r="21" spans="1:15" ht="6" customHeight="1" x14ac:dyDescent="0.45">
      <c r="A21"/>
      <c r="B21" s="41"/>
      <c r="C21" s="204"/>
      <c r="D21" s="9"/>
      <c r="F21" s="204"/>
      <c r="G21" s="204"/>
      <c r="H21" s="9"/>
      <c r="I21" s="9"/>
      <c r="J21" s="9"/>
      <c r="K21" s="6"/>
      <c r="L21" s="208"/>
      <c r="M21" s="9"/>
      <c r="N21" s="9"/>
      <c r="O21" s="9"/>
    </row>
    <row r="22" spans="1:15" ht="15.4" x14ac:dyDescent="0.45">
      <c r="A22"/>
      <c r="B22" s="246"/>
      <c r="C22" s="204"/>
      <c r="D22" s="204"/>
      <c r="F22" s="204"/>
      <c r="G22" s="204" t="s">
        <v>227</v>
      </c>
      <c r="H22" s="9"/>
      <c r="I22" s="9"/>
      <c r="J22" s="9"/>
      <c r="K22" s="247">
        <f>K20*0.2</f>
        <v>29348.339600000003</v>
      </c>
      <c r="L22" s="208"/>
      <c r="M22" s="9"/>
      <c r="N22" s="9"/>
      <c r="O22" s="9"/>
    </row>
    <row r="23" spans="1:15" ht="15.4" x14ac:dyDescent="0.45">
      <c r="A23"/>
      <c r="B23" s="248"/>
      <c r="C23" s="249"/>
      <c r="D23" s="249"/>
      <c r="E23" s="249"/>
      <c r="F23" s="249"/>
      <c r="G23" s="249"/>
      <c r="H23" s="249"/>
      <c r="I23" s="249"/>
      <c r="J23" s="249"/>
      <c r="K23" s="249"/>
      <c r="L23" s="43"/>
      <c r="M23" s="9"/>
      <c r="N23" s="9"/>
      <c r="O23" s="9"/>
    </row>
    <row r="24" spans="1:15" ht="15.4" x14ac:dyDescent="0.45">
      <c r="A24"/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9"/>
      <c r="M24" s="9"/>
      <c r="N24" s="9"/>
      <c r="O24" s="9"/>
    </row>
    <row r="25" spans="1:15" x14ac:dyDescent="0.4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x14ac:dyDescent="0.4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</sheetData>
  <mergeCells count="2">
    <mergeCell ref="E9:F9"/>
    <mergeCell ref="G9:H9"/>
  </mergeCells>
  <printOptions horizontalCentered="1"/>
  <pageMargins left="0.6" right="0.5" top="1.5" bottom="0.75" header="0.3" footer="0.3"/>
  <pageSetup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7B788-80A2-4CF4-B903-88DF31A7069F}">
  <dimension ref="A1:Q14"/>
  <sheetViews>
    <sheetView workbookViewId="0"/>
  </sheetViews>
  <sheetFormatPr defaultRowHeight="15" x14ac:dyDescent="0.4"/>
  <cols>
    <col min="1" max="1" width="9.6640625" customWidth="1"/>
    <col min="2" max="2" width="1.109375" customWidth="1"/>
    <col min="3" max="3" width="4.77734375" customWidth="1"/>
    <col min="4" max="4" width="6.33203125" customWidth="1"/>
    <col min="5" max="5" width="5.5546875" customWidth="1"/>
    <col min="6" max="6" width="6.21875" customWidth="1"/>
    <col min="7" max="7" width="13.33203125" customWidth="1"/>
    <col min="8" max="8" width="1.21875" customWidth="1"/>
    <col min="9" max="9" width="4.77734375" customWidth="1"/>
    <col min="10" max="10" width="6.44140625" customWidth="1"/>
    <col min="11" max="11" width="5.6640625" customWidth="1"/>
    <col min="12" max="12" width="6.44140625" customWidth="1"/>
    <col min="13" max="13" width="12.6640625" customWidth="1"/>
    <col min="14" max="14" width="9.6640625" customWidth="1"/>
  </cols>
  <sheetData>
    <row r="1" spans="1:17" ht="15.75" x14ac:dyDescent="0.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7" ht="15.75" x14ac:dyDescent="0.5">
      <c r="A2" s="17"/>
      <c r="B2" s="272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4"/>
      <c r="N2" s="17"/>
    </row>
    <row r="3" spans="1:17" ht="18" x14ac:dyDescent="0.55000000000000004">
      <c r="A3" s="17"/>
      <c r="B3" s="275"/>
      <c r="C3" s="334" t="s">
        <v>69</v>
      </c>
      <c r="D3" s="334"/>
      <c r="E3" s="334"/>
      <c r="F3" s="334"/>
      <c r="G3" s="334"/>
      <c r="H3" s="334"/>
      <c r="I3" s="334"/>
      <c r="J3" s="334"/>
      <c r="K3" s="334"/>
      <c r="L3" s="334"/>
      <c r="M3" s="335"/>
      <c r="N3" s="17"/>
    </row>
    <row r="4" spans="1:17" ht="18" x14ac:dyDescent="0.5">
      <c r="A4" s="17"/>
      <c r="B4" s="275"/>
      <c r="C4" s="319" t="s">
        <v>133</v>
      </c>
      <c r="D4" s="319"/>
      <c r="E4" s="319"/>
      <c r="F4" s="319"/>
      <c r="G4" s="319"/>
      <c r="H4" s="319"/>
      <c r="I4" s="319"/>
      <c r="J4" s="319"/>
      <c r="K4" s="319"/>
      <c r="L4" s="319"/>
      <c r="M4" s="336"/>
      <c r="N4" s="60"/>
    </row>
    <row r="5" spans="1:17" ht="15.75" x14ac:dyDescent="0.5">
      <c r="A5" s="17"/>
      <c r="B5" s="275"/>
      <c r="C5" s="1"/>
      <c r="D5" s="1"/>
      <c r="E5" s="1"/>
      <c r="F5" s="1"/>
      <c r="G5" s="1"/>
      <c r="H5" s="1"/>
      <c r="I5" s="1"/>
      <c r="J5" s="1"/>
      <c r="K5" s="1"/>
      <c r="L5" s="1"/>
      <c r="M5" s="276"/>
      <c r="N5" s="17"/>
    </row>
    <row r="6" spans="1:17" ht="15.75" x14ac:dyDescent="0.5">
      <c r="A6" s="17"/>
      <c r="B6" s="272"/>
      <c r="C6" s="273"/>
      <c r="D6" s="273"/>
      <c r="E6" s="273"/>
      <c r="F6" s="273"/>
      <c r="G6" s="274"/>
      <c r="H6" s="272"/>
      <c r="I6" s="273"/>
      <c r="J6" s="273"/>
      <c r="K6" s="273"/>
      <c r="L6" s="273"/>
      <c r="M6" s="274"/>
      <c r="N6" s="17"/>
    </row>
    <row r="7" spans="1:17" ht="17.649999999999999" x14ac:dyDescent="0.75">
      <c r="A7" s="17"/>
      <c r="B7" s="275"/>
      <c r="C7" s="328" t="s">
        <v>247</v>
      </c>
      <c r="D7" s="328"/>
      <c r="E7" s="328"/>
      <c r="F7" s="328"/>
      <c r="G7" s="337"/>
      <c r="H7" s="279"/>
      <c r="I7" s="328" t="s">
        <v>241</v>
      </c>
      <c r="J7" s="328"/>
      <c r="K7" s="328"/>
      <c r="L7" s="328"/>
      <c r="M7" s="337"/>
      <c r="N7" s="17"/>
      <c r="O7" s="280">
        <f>SAO!I50</f>
        <v>0.13462727414113573</v>
      </c>
      <c r="P7" s="281" t="s">
        <v>130</v>
      </c>
      <c r="Q7" s="282"/>
    </row>
    <row r="8" spans="1:17" ht="8.1" customHeight="1" x14ac:dyDescent="0.5">
      <c r="A8" s="17"/>
      <c r="B8" s="275"/>
      <c r="C8" s="1"/>
      <c r="D8" s="1"/>
      <c r="E8" s="1"/>
      <c r="F8" s="1"/>
      <c r="G8" s="276"/>
      <c r="H8" s="1"/>
      <c r="I8" s="1"/>
      <c r="J8" s="1"/>
      <c r="K8" s="1"/>
      <c r="L8" s="1"/>
      <c r="M8" s="276"/>
      <c r="N8" s="17"/>
    </row>
    <row r="9" spans="1:17" ht="15.75" x14ac:dyDescent="0.5">
      <c r="A9" s="17"/>
      <c r="B9" s="275"/>
      <c r="C9" s="164" t="s">
        <v>246</v>
      </c>
      <c r="D9" s="1"/>
      <c r="E9" s="1"/>
      <c r="F9" s="1"/>
      <c r="G9" s="276"/>
      <c r="H9" s="1"/>
      <c r="I9" s="164" t="str">
        <f>C9</f>
        <v>ALL METERS</v>
      </c>
      <c r="J9" s="1"/>
      <c r="K9" s="1"/>
      <c r="L9" s="278"/>
      <c r="M9" s="276"/>
      <c r="N9" s="17"/>
    </row>
    <row r="10" spans="1:17" ht="15.75" x14ac:dyDescent="0.5">
      <c r="A10" s="17"/>
      <c r="B10" s="275"/>
      <c r="C10" s="8" t="s">
        <v>148</v>
      </c>
      <c r="D10" s="277">
        <v>2000</v>
      </c>
      <c r="E10" s="1" t="s">
        <v>242</v>
      </c>
      <c r="F10" s="108">
        <v>18.88</v>
      </c>
      <c r="G10" s="276" t="s">
        <v>243</v>
      </c>
      <c r="H10" s="1"/>
      <c r="I10" s="8" t="s">
        <v>148</v>
      </c>
      <c r="J10" s="277">
        <f>D10</f>
        <v>2000</v>
      </c>
      <c r="K10" s="1" t="s">
        <v>242</v>
      </c>
      <c r="L10" s="108">
        <f>ROUND(F10*(1+$O$7),2)</f>
        <v>21.42</v>
      </c>
      <c r="M10" s="276" t="s">
        <v>243</v>
      </c>
      <c r="N10" s="17"/>
    </row>
    <row r="11" spans="1:17" ht="15.75" x14ac:dyDescent="0.5">
      <c r="A11" s="17"/>
      <c r="B11" s="275"/>
      <c r="C11" s="8" t="s">
        <v>149</v>
      </c>
      <c r="D11" s="277">
        <v>8000</v>
      </c>
      <c r="E11" s="1" t="s">
        <v>242</v>
      </c>
      <c r="F11" s="107">
        <v>7.04</v>
      </c>
      <c r="G11" s="276" t="s">
        <v>244</v>
      </c>
      <c r="H11" s="1"/>
      <c r="I11" s="8" t="s">
        <v>149</v>
      </c>
      <c r="J11" s="277">
        <f t="shared" ref="J11:J13" si="0">D11</f>
        <v>8000</v>
      </c>
      <c r="K11" s="1" t="s">
        <v>242</v>
      </c>
      <c r="L11" s="107">
        <f>ROUND(F11*(1+$O$7),2)</f>
        <v>7.99</v>
      </c>
      <c r="M11" s="276" t="s">
        <v>244</v>
      </c>
      <c r="N11" s="17"/>
    </row>
    <row r="12" spans="1:17" ht="15.75" x14ac:dyDescent="0.5">
      <c r="A12" s="17"/>
      <c r="B12" s="275"/>
      <c r="C12" s="8" t="s">
        <v>149</v>
      </c>
      <c r="D12" s="277">
        <v>40000</v>
      </c>
      <c r="E12" s="1" t="s">
        <v>242</v>
      </c>
      <c r="F12" s="107">
        <v>5.59</v>
      </c>
      <c r="G12" s="276" t="s">
        <v>244</v>
      </c>
      <c r="H12" s="1"/>
      <c r="I12" s="8" t="s">
        <v>149</v>
      </c>
      <c r="J12" s="277">
        <f t="shared" si="0"/>
        <v>40000</v>
      </c>
      <c r="K12" s="1" t="s">
        <v>242</v>
      </c>
      <c r="L12" s="107">
        <f>ROUND(F12*(1+$O$7),2)</f>
        <v>6.34</v>
      </c>
      <c r="M12" s="276" t="s">
        <v>244</v>
      </c>
      <c r="N12" s="17"/>
    </row>
    <row r="13" spans="1:17" ht="15.75" x14ac:dyDescent="0.5">
      <c r="A13" s="17"/>
      <c r="B13" s="275"/>
      <c r="C13" s="8" t="s">
        <v>245</v>
      </c>
      <c r="D13" s="277">
        <v>50000</v>
      </c>
      <c r="E13" s="1" t="s">
        <v>242</v>
      </c>
      <c r="F13" s="107">
        <v>4.3899999999999997</v>
      </c>
      <c r="G13" s="276" t="s">
        <v>244</v>
      </c>
      <c r="H13" s="1"/>
      <c r="I13" s="8" t="s">
        <v>245</v>
      </c>
      <c r="J13" s="277">
        <f t="shared" si="0"/>
        <v>50000</v>
      </c>
      <c r="K13" s="1" t="s">
        <v>242</v>
      </c>
      <c r="L13" s="107">
        <f>ROUND(F13*(1+$O$7),2)</f>
        <v>4.9800000000000004</v>
      </c>
      <c r="M13" s="276" t="s">
        <v>244</v>
      </c>
      <c r="N13" s="17"/>
    </row>
    <row r="14" spans="1:17" x14ac:dyDescent="0.4">
      <c r="B14" s="197"/>
      <c r="C14" s="198"/>
      <c r="D14" s="198"/>
      <c r="E14" s="198"/>
      <c r="F14" s="198"/>
      <c r="G14" s="198"/>
      <c r="H14" s="197"/>
      <c r="I14" s="198"/>
      <c r="J14" s="198"/>
      <c r="K14" s="198"/>
      <c r="L14" s="198"/>
      <c r="M14" s="199"/>
    </row>
  </sheetData>
  <mergeCells count="4">
    <mergeCell ref="C3:M3"/>
    <mergeCell ref="C4:M4"/>
    <mergeCell ref="C7:G7"/>
    <mergeCell ref="I7:M7"/>
  </mergeCells>
  <printOptions horizontalCentered="1"/>
  <pageMargins left="0.7" right="0.7" top="1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3"/>
  <sheetViews>
    <sheetView workbookViewId="0"/>
  </sheetViews>
  <sheetFormatPr defaultRowHeight="15" x14ac:dyDescent="0.4"/>
  <cols>
    <col min="2" max="2" width="1.77734375" customWidth="1"/>
    <col min="3" max="3" width="9.88671875" customWidth="1"/>
    <col min="4" max="6" width="11.77734375" customWidth="1"/>
    <col min="7" max="7" width="1.77734375" customWidth="1"/>
  </cols>
  <sheetData>
    <row r="1" spans="1:10" ht="15.75" x14ac:dyDescent="0.5">
      <c r="A1" s="17"/>
      <c r="B1" s="17"/>
      <c r="C1" s="17"/>
      <c r="D1" s="17"/>
      <c r="E1" s="17"/>
      <c r="F1" s="17"/>
      <c r="G1" s="17"/>
      <c r="H1" s="17"/>
      <c r="I1" s="17"/>
      <c r="J1" s="17"/>
    </row>
    <row r="2" spans="1:10" ht="15.75" x14ac:dyDescent="0.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x14ac:dyDescent="0.5">
      <c r="A3" s="17"/>
      <c r="B3" s="53"/>
      <c r="C3" s="54"/>
      <c r="D3" s="54"/>
      <c r="E3" s="54"/>
      <c r="F3" s="54"/>
      <c r="G3" s="55"/>
      <c r="H3" s="17"/>
      <c r="I3" s="17"/>
      <c r="J3" s="17"/>
    </row>
    <row r="4" spans="1:10" ht="18" x14ac:dyDescent="0.55000000000000004">
      <c r="A4" s="17"/>
      <c r="B4" s="52"/>
      <c r="C4" s="334" t="s">
        <v>83</v>
      </c>
      <c r="D4" s="334"/>
      <c r="E4" s="334"/>
      <c r="F4" s="334"/>
      <c r="G4" s="56"/>
      <c r="H4" s="17"/>
      <c r="I4" s="17"/>
      <c r="J4" s="17"/>
    </row>
    <row r="5" spans="1:10" ht="18" x14ac:dyDescent="0.55000000000000004">
      <c r="A5" s="17"/>
      <c r="B5" s="52"/>
      <c r="C5" s="334" t="s">
        <v>70</v>
      </c>
      <c r="D5" s="334"/>
      <c r="E5" s="334"/>
      <c r="F5" s="334"/>
      <c r="G5" s="56"/>
      <c r="H5" s="17"/>
      <c r="I5" s="17"/>
      <c r="J5" s="17"/>
    </row>
    <row r="6" spans="1:10" ht="18" x14ac:dyDescent="0.5">
      <c r="A6" s="17"/>
      <c r="B6" s="52"/>
      <c r="C6" s="319" t="s">
        <v>133</v>
      </c>
      <c r="D6" s="319"/>
      <c r="E6" s="319"/>
      <c r="F6" s="319"/>
      <c r="G6" s="120"/>
      <c r="H6" s="60"/>
      <c r="I6" s="60"/>
      <c r="J6" s="17"/>
    </row>
    <row r="7" spans="1:10" ht="15.75" x14ac:dyDescent="0.5">
      <c r="A7" s="17"/>
      <c r="B7" s="57"/>
      <c r="C7" s="58"/>
      <c r="D7" s="58"/>
      <c r="E7" s="58"/>
      <c r="F7" s="58"/>
      <c r="G7" s="59"/>
      <c r="H7" s="17"/>
      <c r="I7" s="17"/>
      <c r="J7" s="17"/>
    </row>
    <row r="8" spans="1:10" ht="15.4" x14ac:dyDescent="0.45">
      <c r="B8" s="38"/>
      <c r="C8" s="39"/>
      <c r="D8" s="84"/>
      <c r="E8" s="38"/>
      <c r="F8" s="39"/>
      <c r="G8" s="40"/>
    </row>
    <row r="9" spans="1:10" ht="17.649999999999999" x14ac:dyDescent="0.75">
      <c r="B9" s="41"/>
      <c r="C9" s="44" t="s">
        <v>67</v>
      </c>
      <c r="D9" s="85" t="s">
        <v>50</v>
      </c>
      <c r="E9" s="338" t="s">
        <v>115</v>
      </c>
      <c r="F9" s="339"/>
      <c r="G9" s="47"/>
      <c r="I9" s="1"/>
    </row>
    <row r="10" spans="1:10" ht="17.649999999999999" x14ac:dyDescent="0.75">
      <c r="B10" s="41"/>
      <c r="C10" s="44" t="s">
        <v>84</v>
      </c>
      <c r="D10" s="85" t="s">
        <v>68</v>
      </c>
      <c r="E10" s="89" t="s">
        <v>68</v>
      </c>
      <c r="F10" s="90" t="s">
        <v>51</v>
      </c>
      <c r="G10" s="88"/>
      <c r="I10" s="1"/>
    </row>
    <row r="11" spans="1:10" ht="17.649999999999999" x14ac:dyDescent="0.75">
      <c r="B11" s="41"/>
      <c r="C11" s="44"/>
      <c r="D11" s="85"/>
      <c r="E11" s="48"/>
      <c r="F11" s="44"/>
      <c r="G11" s="47"/>
      <c r="I11" s="1"/>
    </row>
    <row r="12" spans="1:10" ht="15.4" x14ac:dyDescent="0.45">
      <c r="B12" s="41"/>
      <c r="C12" s="125">
        <v>2000</v>
      </c>
      <c r="D12" s="86">
        <f>Rates!F10</f>
        <v>18.88</v>
      </c>
      <c r="E12" s="5">
        <f>Rates!L10</f>
        <v>21.42</v>
      </c>
      <c r="F12" s="4">
        <f>E12-D12</f>
        <v>2.5400000000000027</v>
      </c>
      <c r="G12" s="49"/>
      <c r="I12" s="98">
        <f>F12/D12</f>
        <v>0.13453389830508489</v>
      </c>
    </row>
    <row r="13" spans="1:10" ht="15.4" x14ac:dyDescent="0.45">
      <c r="B13" s="41"/>
      <c r="C13" s="126">
        <v>4000</v>
      </c>
      <c r="D13" s="127">
        <f>Rates!F10+2*Rates!F11</f>
        <v>32.96</v>
      </c>
      <c r="E13" s="128">
        <f>E12+2*Rates!L11</f>
        <v>37.400000000000006</v>
      </c>
      <c r="F13" s="50">
        <f t="shared" ref="F13:F19" si="0">E13-D13</f>
        <v>4.4400000000000048</v>
      </c>
      <c r="G13" s="49"/>
      <c r="I13" s="98">
        <f>F13/D13</f>
        <v>0.1347087378640778</v>
      </c>
      <c r="J13" s="91"/>
    </row>
    <row r="14" spans="1:10" ht="15.4" x14ac:dyDescent="0.45">
      <c r="B14" s="41"/>
      <c r="C14" s="125">
        <v>6000</v>
      </c>
      <c r="D14" s="123">
        <f>D13+2*Rates!F11</f>
        <v>47.04</v>
      </c>
      <c r="E14" s="124">
        <f>E12+4*Rates!L11</f>
        <v>53.38</v>
      </c>
      <c r="F14" s="45">
        <f t="shared" si="0"/>
        <v>6.3400000000000034</v>
      </c>
      <c r="G14" s="49"/>
      <c r="I14" s="98">
        <f t="shared" ref="I14:I19" si="1">F14/D14</f>
        <v>0.13477891156462593</v>
      </c>
    </row>
    <row r="15" spans="1:10" ht="15.4" x14ac:dyDescent="0.45">
      <c r="B15" s="41"/>
      <c r="C15" s="125">
        <v>10000</v>
      </c>
      <c r="D15" s="123">
        <f>D12+8*Rates!F11</f>
        <v>75.2</v>
      </c>
      <c r="E15" s="124">
        <f>E12+8*Rates!L11</f>
        <v>85.34</v>
      </c>
      <c r="F15" s="45">
        <f t="shared" si="0"/>
        <v>10.14</v>
      </c>
      <c r="G15" s="49"/>
      <c r="I15" s="98">
        <f t="shared" si="1"/>
        <v>0.13484042553191489</v>
      </c>
    </row>
    <row r="16" spans="1:10" ht="15.4" x14ac:dyDescent="0.45">
      <c r="B16" s="41"/>
      <c r="C16" s="125">
        <v>15000</v>
      </c>
      <c r="D16" s="123">
        <f>D15+5*Rates!F12</f>
        <v>103.15</v>
      </c>
      <c r="E16" s="124">
        <f>E15+5*Rates!L12</f>
        <v>117.04</v>
      </c>
      <c r="F16" s="45">
        <f t="shared" si="0"/>
        <v>13.89</v>
      </c>
      <c r="G16" s="49"/>
      <c r="I16" s="98">
        <f t="shared" si="1"/>
        <v>0.13465826466311198</v>
      </c>
    </row>
    <row r="17" spans="2:9" ht="15.4" x14ac:dyDescent="0.45">
      <c r="B17" s="41"/>
      <c r="C17" s="125">
        <v>30000</v>
      </c>
      <c r="D17" s="123">
        <f>D15+20*Rates!F12</f>
        <v>187</v>
      </c>
      <c r="E17" s="124">
        <f>E15+20*Rates!L12</f>
        <v>212.14</v>
      </c>
      <c r="F17" s="45">
        <f t="shared" si="0"/>
        <v>25.139999999999986</v>
      </c>
      <c r="G17" s="49"/>
      <c r="I17" s="98">
        <f t="shared" si="1"/>
        <v>0.13443850267379673</v>
      </c>
    </row>
    <row r="18" spans="2:9" ht="15.4" x14ac:dyDescent="0.45">
      <c r="B18" s="41"/>
      <c r="C18" s="125">
        <v>50000</v>
      </c>
      <c r="D18" s="123">
        <f>D15+40*Rates!F12</f>
        <v>298.8</v>
      </c>
      <c r="E18" s="124">
        <f>E15+40*Rates!L12</f>
        <v>338.94</v>
      </c>
      <c r="F18" s="45">
        <f t="shared" si="0"/>
        <v>40.139999999999986</v>
      </c>
      <c r="G18" s="49"/>
      <c r="I18" s="98">
        <f t="shared" si="1"/>
        <v>0.13433734939759032</v>
      </c>
    </row>
    <row r="19" spans="2:9" ht="15.4" x14ac:dyDescent="0.45">
      <c r="B19" s="41"/>
      <c r="C19" s="125">
        <v>100000</v>
      </c>
      <c r="D19" s="123">
        <f>D18+50*Rates!F13</f>
        <v>518.29999999999995</v>
      </c>
      <c r="E19" s="124">
        <f>E18+50*Rates!L13</f>
        <v>587.94000000000005</v>
      </c>
      <c r="F19" s="45">
        <f t="shared" si="0"/>
        <v>69.6400000000001</v>
      </c>
      <c r="G19" s="49"/>
      <c r="I19" s="98">
        <f t="shared" si="1"/>
        <v>0.13436233841404613</v>
      </c>
    </row>
    <row r="20" spans="2:9" ht="15.4" x14ac:dyDescent="0.45">
      <c r="B20" s="42"/>
      <c r="C20" s="10"/>
      <c r="D20" s="87"/>
      <c r="E20" s="51"/>
      <c r="F20" s="13"/>
      <c r="G20" s="43"/>
      <c r="I20" s="1"/>
    </row>
    <row r="21" spans="2:9" ht="15.4" x14ac:dyDescent="0.45">
      <c r="I21" s="1"/>
    </row>
    <row r="22" spans="2:9" ht="15.4" x14ac:dyDescent="0.45">
      <c r="C22" s="65" t="s">
        <v>119</v>
      </c>
      <c r="I22" s="1"/>
    </row>
    <row r="23" spans="2:9" ht="15.4" x14ac:dyDescent="0.45">
      <c r="I23" s="1"/>
    </row>
  </sheetData>
  <mergeCells count="4">
    <mergeCell ref="C4:F4"/>
    <mergeCell ref="C5:F5"/>
    <mergeCell ref="C6:F6"/>
    <mergeCell ref="E9:F9"/>
  </mergeCells>
  <printOptions horizontalCentered="1"/>
  <pageMargins left="0.45" right="0.45" top="1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S32"/>
  <sheetViews>
    <sheetView zoomScaleNormal="100" workbookViewId="0"/>
  </sheetViews>
  <sheetFormatPr defaultColWidth="8.88671875" defaultRowHeight="14.25" x14ac:dyDescent="0.45"/>
  <cols>
    <col min="1" max="1" width="2.44140625" style="1" customWidth="1"/>
    <col min="2" max="2" width="7.44140625" style="1" customWidth="1"/>
    <col min="3" max="3" width="8" style="1" customWidth="1"/>
    <col min="4" max="4" width="8.5546875" style="1" customWidth="1"/>
    <col min="5" max="5" width="11.6640625" style="1" customWidth="1"/>
    <col min="6" max="6" width="10.44140625" style="1" customWidth="1"/>
    <col min="7" max="7" width="11.6640625" style="1" customWidth="1"/>
    <col min="8" max="8" width="9.88671875" style="1" customWidth="1"/>
    <col min="9" max="9" width="9.6640625" style="1" customWidth="1"/>
    <col min="10" max="11" width="10.44140625" style="1" customWidth="1"/>
    <col min="12" max="12" width="10" style="3" customWidth="1"/>
    <col min="13" max="13" width="8.88671875" style="3"/>
    <col min="14" max="14" width="14.21875" style="1" customWidth="1"/>
    <col min="15" max="15" width="9.77734375" style="1" customWidth="1"/>
    <col min="16" max="16384" width="8.88671875" style="1"/>
  </cols>
  <sheetData>
    <row r="2" spans="2:19" x14ac:dyDescent="0.45">
      <c r="B2" s="272"/>
      <c r="C2" s="273"/>
      <c r="D2" s="273"/>
      <c r="E2" s="273"/>
      <c r="F2" s="273"/>
      <c r="G2" s="273"/>
      <c r="H2" s="273"/>
      <c r="I2" s="274"/>
    </row>
    <row r="3" spans="2:19" ht="18" x14ac:dyDescent="0.55000000000000004">
      <c r="B3" s="340" t="s">
        <v>249</v>
      </c>
      <c r="C3" s="334"/>
      <c r="D3" s="334"/>
      <c r="E3" s="334"/>
      <c r="F3" s="334"/>
      <c r="G3" s="334"/>
      <c r="H3" s="334"/>
      <c r="I3" s="335"/>
      <c r="J3" s="156"/>
      <c r="K3" s="156"/>
      <c r="L3" s="156"/>
    </row>
    <row r="4" spans="2:19" ht="18" x14ac:dyDescent="0.55000000000000004">
      <c r="B4" s="340" t="s">
        <v>133</v>
      </c>
      <c r="C4" s="334"/>
      <c r="D4" s="334"/>
      <c r="E4" s="334"/>
      <c r="F4" s="334"/>
      <c r="G4" s="334"/>
      <c r="H4" s="334"/>
      <c r="I4" s="335"/>
      <c r="J4" s="156"/>
      <c r="K4" s="156"/>
      <c r="L4" s="156"/>
    </row>
    <row r="5" spans="2:19" ht="15.6" customHeight="1" x14ac:dyDescent="0.55000000000000004">
      <c r="B5" s="294"/>
      <c r="C5" s="295"/>
      <c r="D5" s="295"/>
      <c r="E5" s="295"/>
      <c r="F5" s="295"/>
      <c r="G5" s="295"/>
      <c r="H5" s="295"/>
      <c r="I5" s="296"/>
      <c r="J5" s="156"/>
      <c r="K5" s="156"/>
      <c r="L5" s="156"/>
    </row>
    <row r="6" spans="2:19" x14ac:dyDescent="0.45">
      <c r="B6" s="297"/>
      <c r="C6" s="298"/>
      <c r="D6" s="298"/>
      <c r="E6" s="298"/>
      <c r="F6" s="298"/>
      <c r="G6" s="298"/>
      <c r="H6" s="298"/>
      <c r="I6" s="299"/>
      <c r="J6" s="112"/>
      <c r="K6" s="112"/>
      <c r="L6" s="112"/>
      <c r="N6" s="61"/>
      <c r="O6" s="61"/>
      <c r="P6" s="61"/>
      <c r="Q6" s="61"/>
      <c r="R6" s="61"/>
      <c r="S6" s="61"/>
    </row>
    <row r="7" spans="2:19" ht="15.75" x14ac:dyDescent="0.5">
      <c r="B7" s="275"/>
      <c r="D7" s="300" t="s">
        <v>157</v>
      </c>
      <c r="I7" s="276"/>
      <c r="L7" s="1"/>
      <c r="N7" s="169" t="s">
        <v>27</v>
      </c>
      <c r="O7" s="61"/>
      <c r="P7" s="61"/>
      <c r="Q7" s="61"/>
      <c r="R7" s="61"/>
      <c r="S7" s="61"/>
    </row>
    <row r="8" spans="2:19" ht="6" customHeight="1" x14ac:dyDescent="0.45">
      <c r="B8" s="275"/>
      <c r="I8" s="276"/>
      <c r="L8" s="1"/>
      <c r="N8" s="61"/>
      <c r="O8" s="61"/>
      <c r="P8" s="61"/>
      <c r="Q8" s="61"/>
      <c r="R8" s="61"/>
      <c r="S8" s="61"/>
    </row>
    <row r="9" spans="2:19" x14ac:dyDescent="0.45">
      <c r="B9" s="275"/>
      <c r="D9" s="103"/>
      <c r="E9" s="103" t="s">
        <v>140</v>
      </c>
      <c r="F9" s="103" t="s">
        <v>141</v>
      </c>
      <c r="G9" s="103" t="s">
        <v>43</v>
      </c>
      <c r="I9" s="276"/>
      <c r="L9" s="1"/>
      <c r="N9" s="61" t="s">
        <v>153</v>
      </c>
      <c r="O9" s="61">
        <v>-4731.62</v>
      </c>
      <c r="P9" s="61"/>
      <c r="Q9" s="61"/>
      <c r="R9" s="61"/>
      <c r="S9" s="61"/>
    </row>
    <row r="10" spans="2:19" ht="16.5" x14ac:dyDescent="0.75">
      <c r="B10" s="275"/>
      <c r="D10" s="1" t="s">
        <v>152</v>
      </c>
      <c r="E10" s="35">
        <f>D30</f>
        <v>53328</v>
      </c>
      <c r="F10" s="35">
        <f>E30</f>
        <v>253054110</v>
      </c>
      <c r="G10" s="301">
        <f>G30</f>
        <v>2072469.7456999999</v>
      </c>
      <c r="I10" s="276"/>
      <c r="L10" s="1"/>
      <c r="N10" s="61" t="s">
        <v>154</v>
      </c>
      <c r="O10" s="62">
        <v>-21363.07</v>
      </c>
      <c r="P10" s="61"/>
      <c r="Q10" s="61"/>
      <c r="R10" s="61"/>
      <c r="S10" s="61"/>
    </row>
    <row r="11" spans="2:19" ht="16.5" x14ac:dyDescent="0.45">
      <c r="B11" s="275"/>
      <c r="E11" s="35"/>
      <c r="F11" s="302" t="s">
        <v>142</v>
      </c>
      <c r="G11" s="158">
        <f>O11</f>
        <v>-26094.69</v>
      </c>
      <c r="I11" s="276"/>
      <c r="L11" s="1"/>
      <c r="N11" s="61"/>
      <c r="O11" s="61">
        <f>SUM(O9:O10)</f>
        <v>-26094.69</v>
      </c>
      <c r="P11" s="61"/>
      <c r="Q11" s="61"/>
      <c r="R11" s="61"/>
      <c r="S11" s="61"/>
    </row>
    <row r="12" spans="2:19" x14ac:dyDescent="0.45">
      <c r="B12" s="275"/>
      <c r="E12" s="35"/>
      <c r="F12" s="303" t="s">
        <v>143</v>
      </c>
      <c r="G12" s="301">
        <f>G10+G11</f>
        <v>2046375.0556999999</v>
      </c>
      <c r="I12" s="276"/>
      <c r="L12" s="1"/>
      <c r="P12" s="61"/>
      <c r="Q12" s="61"/>
      <c r="R12" s="61"/>
      <c r="S12" s="61"/>
    </row>
    <row r="13" spans="2:19" x14ac:dyDescent="0.45">
      <c r="B13" s="275"/>
      <c r="F13" s="35"/>
      <c r="G13" s="35"/>
      <c r="H13" s="35"/>
      <c r="I13" s="276"/>
      <c r="L13" s="1"/>
      <c r="N13" s="61"/>
      <c r="O13" s="61"/>
      <c r="P13" s="61"/>
      <c r="Q13" s="61"/>
      <c r="R13" s="61"/>
      <c r="S13" s="61"/>
    </row>
    <row r="14" spans="2:19" ht="15.4" x14ac:dyDescent="0.45">
      <c r="B14" s="304" t="s">
        <v>156</v>
      </c>
      <c r="I14" s="276"/>
      <c r="J14"/>
      <c r="K14"/>
      <c r="L14" s="1"/>
      <c r="N14" s="61"/>
      <c r="O14" s="61"/>
      <c r="P14" s="61"/>
      <c r="Q14" s="61"/>
      <c r="R14" s="61"/>
      <c r="S14" s="61"/>
    </row>
    <row r="15" spans="2:19" ht="15.4" x14ac:dyDescent="0.45">
      <c r="B15" s="275"/>
      <c r="F15" s="2" t="s">
        <v>144</v>
      </c>
      <c r="G15" s="2" t="s">
        <v>145</v>
      </c>
      <c r="H15" s="2" t="s">
        <v>145</v>
      </c>
      <c r="I15" s="305" t="s">
        <v>146</v>
      </c>
      <c r="J15"/>
      <c r="K15"/>
      <c r="L15" s="1"/>
      <c r="N15" s="61"/>
      <c r="O15" s="61"/>
      <c r="P15" s="61"/>
      <c r="Q15" s="61"/>
      <c r="R15" s="61"/>
      <c r="S15" s="61"/>
    </row>
    <row r="16" spans="2:19" ht="15.4" x14ac:dyDescent="0.45">
      <c r="B16" s="275"/>
      <c r="C16" s="103" t="s">
        <v>45</v>
      </c>
      <c r="D16" s="7" t="s">
        <v>46</v>
      </c>
      <c r="E16" s="7" t="s">
        <v>47</v>
      </c>
      <c r="F16" s="7">
        <f>C17</f>
        <v>2000</v>
      </c>
      <c r="G16" s="7">
        <f>C18</f>
        <v>8000</v>
      </c>
      <c r="H16" s="7">
        <f>C19</f>
        <v>40000</v>
      </c>
      <c r="I16" s="306">
        <f>C20</f>
        <v>50000</v>
      </c>
      <c r="J16"/>
      <c r="K16"/>
      <c r="L16" s="103" t="s">
        <v>147</v>
      </c>
      <c r="N16" s="61"/>
      <c r="O16" s="61"/>
      <c r="P16" s="61"/>
      <c r="Q16" s="61"/>
      <c r="R16" s="61"/>
      <c r="S16" s="61"/>
    </row>
    <row r="17" spans="2:19" ht="15.4" x14ac:dyDescent="0.45">
      <c r="B17" s="307" t="s">
        <v>148</v>
      </c>
      <c r="C17" s="165">
        <v>2000</v>
      </c>
      <c r="D17" s="308">
        <f>14471+4149+1533</f>
        <v>20153</v>
      </c>
      <c r="E17" s="308">
        <f>14097480+2422080+786470</f>
        <v>17306030</v>
      </c>
      <c r="F17" s="308">
        <f>E17</f>
        <v>17306030</v>
      </c>
      <c r="G17" s="308">
        <v>0</v>
      </c>
      <c r="H17" s="308">
        <v>0</v>
      </c>
      <c r="I17" s="309">
        <v>0</v>
      </c>
      <c r="J17"/>
      <c r="K17"/>
      <c r="L17" s="166">
        <f>SUM(F17:I17)</f>
        <v>17306030</v>
      </c>
      <c r="N17" s="61"/>
      <c r="O17" s="61"/>
      <c r="P17" s="61"/>
      <c r="Q17" s="61"/>
      <c r="R17" s="61"/>
      <c r="S17" s="61"/>
    </row>
    <row r="18" spans="2:19" ht="15.4" x14ac:dyDescent="0.45">
      <c r="B18" s="307" t="s">
        <v>149</v>
      </c>
      <c r="C18" s="165">
        <v>8000</v>
      </c>
      <c r="D18" s="308">
        <f>23370+3947+1498</f>
        <v>28815</v>
      </c>
      <c r="E18" s="308">
        <f>98967280+17288620+7292990</f>
        <v>123548890</v>
      </c>
      <c r="F18" s="308">
        <f>D18*F16</f>
        <v>57630000</v>
      </c>
      <c r="G18" s="308">
        <f>E18-F18</f>
        <v>65918890</v>
      </c>
      <c r="H18" s="308">
        <v>0</v>
      </c>
      <c r="I18" s="309">
        <v>0</v>
      </c>
      <c r="J18"/>
      <c r="K18"/>
      <c r="L18" s="166">
        <f>SUM(F18:I18)</f>
        <v>123548890</v>
      </c>
      <c r="N18" s="61"/>
      <c r="O18" s="61"/>
      <c r="P18" s="61"/>
      <c r="Q18" s="61"/>
      <c r="R18" s="61"/>
      <c r="S18" s="61"/>
    </row>
    <row r="19" spans="2:19" ht="15.4" x14ac:dyDescent="0.45">
      <c r="B19" s="307" t="s">
        <v>149</v>
      </c>
      <c r="C19" s="165">
        <v>40000</v>
      </c>
      <c r="D19" s="308">
        <f>2682+714+656</f>
        <v>4052</v>
      </c>
      <c r="E19" s="308">
        <f>47524950+13806880+12586900</f>
        <v>73918730</v>
      </c>
      <c r="F19" s="308">
        <f>D19*F16</f>
        <v>8104000</v>
      </c>
      <c r="G19" s="308">
        <f>D19*G16</f>
        <v>32416000</v>
      </c>
      <c r="H19" s="308">
        <f>E19-F19-G19</f>
        <v>33398730</v>
      </c>
      <c r="I19" s="309">
        <v>0</v>
      </c>
      <c r="J19"/>
      <c r="K19"/>
      <c r="L19" s="166">
        <f>SUM(F19:I19)</f>
        <v>73918730</v>
      </c>
      <c r="N19" s="61"/>
      <c r="O19" s="61"/>
      <c r="P19" s="61"/>
      <c r="Q19" s="61"/>
      <c r="R19" s="61"/>
      <c r="S19" s="61"/>
    </row>
    <row r="20" spans="2:19" ht="15.4" x14ac:dyDescent="0.45">
      <c r="B20" s="307" t="s">
        <v>150</v>
      </c>
      <c r="C20" s="167">
        <v>50000</v>
      </c>
      <c r="D20" s="168">
        <f>153+66+89</f>
        <v>308</v>
      </c>
      <c r="E20" s="168">
        <f>15084200+9691410+13504850</f>
        <v>38280460</v>
      </c>
      <c r="F20" s="168">
        <f>D20*F16</f>
        <v>616000</v>
      </c>
      <c r="G20" s="168">
        <f>D20*G16</f>
        <v>2464000</v>
      </c>
      <c r="H20" s="168">
        <f>D20*H16</f>
        <v>12320000</v>
      </c>
      <c r="I20" s="310">
        <f>E20-(F20+H20+G20)</f>
        <v>22880460</v>
      </c>
      <c r="J20"/>
      <c r="K20"/>
      <c r="L20" s="168">
        <f>SUM(F20:I20)</f>
        <v>38280460</v>
      </c>
      <c r="N20" s="61"/>
      <c r="O20" s="61"/>
      <c r="P20" s="61"/>
      <c r="Q20" s="61"/>
      <c r="R20" s="61"/>
      <c r="S20" s="61"/>
    </row>
    <row r="21" spans="2:19" ht="15.4" x14ac:dyDescent="0.45">
      <c r="B21" s="307"/>
      <c r="C21" s="165"/>
      <c r="D21" s="35">
        <f t="shared" ref="D21:L21" si="0">SUM(D17:D20)</f>
        <v>53328</v>
      </c>
      <c r="E21" s="35">
        <f t="shared" si="0"/>
        <v>253054110</v>
      </c>
      <c r="F21" s="35">
        <f t="shared" si="0"/>
        <v>83656030</v>
      </c>
      <c r="G21" s="35">
        <f t="shared" si="0"/>
        <v>100798890</v>
      </c>
      <c r="H21" s="35">
        <f t="shared" si="0"/>
        <v>45718730</v>
      </c>
      <c r="I21" s="208">
        <f t="shared" si="0"/>
        <v>22880460</v>
      </c>
      <c r="J21"/>
      <c r="K21"/>
      <c r="L21" s="35">
        <f t="shared" si="0"/>
        <v>253054110</v>
      </c>
      <c r="N21" s="61"/>
      <c r="O21" s="61"/>
      <c r="P21" s="61"/>
      <c r="Q21" s="61"/>
      <c r="R21" s="61"/>
      <c r="S21" s="61"/>
    </row>
    <row r="22" spans="2:19" ht="15.4" x14ac:dyDescent="0.45">
      <c r="B22" s="307"/>
      <c r="C22" s="165"/>
      <c r="E22" s="165"/>
      <c r="F22" s="165"/>
      <c r="G22" s="165"/>
      <c r="H22" s="165"/>
      <c r="I22" s="311"/>
      <c r="J22"/>
      <c r="K22"/>
      <c r="L22" s="165"/>
    </row>
    <row r="23" spans="2:19" ht="15.4" x14ac:dyDescent="0.45">
      <c r="B23" s="312" t="s">
        <v>151</v>
      </c>
      <c r="C23" s="313"/>
      <c r="E23" s="165"/>
      <c r="F23" s="165"/>
      <c r="G23" s="165"/>
      <c r="H23" s="165"/>
      <c r="I23" s="311"/>
      <c r="J23"/>
      <c r="K23"/>
      <c r="L23" s="165"/>
    </row>
    <row r="24" spans="2:19" ht="6" customHeight="1" x14ac:dyDescent="0.45">
      <c r="B24" s="312"/>
      <c r="C24" s="313"/>
      <c r="E24" s="165"/>
      <c r="F24" s="165"/>
      <c r="G24" s="165"/>
      <c r="H24" s="165"/>
      <c r="I24" s="311"/>
      <c r="J24"/>
      <c r="K24"/>
      <c r="L24" s="165"/>
    </row>
    <row r="25" spans="2:19" ht="15.75" customHeight="1" x14ac:dyDescent="0.45">
      <c r="B25" s="307"/>
      <c r="C25" s="103" t="s">
        <v>45</v>
      </c>
      <c r="D25" s="7" t="s">
        <v>46</v>
      </c>
      <c r="E25" s="103" t="s">
        <v>47</v>
      </c>
      <c r="F25" s="7" t="s">
        <v>48</v>
      </c>
      <c r="G25" s="7" t="s">
        <v>49</v>
      </c>
      <c r="H25" s="165"/>
      <c r="I25" s="311"/>
      <c r="J25" s="165"/>
      <c r="K25" s="165"/>
      <c r="L25" s="165"/>
    </row>
    <row r="26" spans="2:19" ht="15.75" customHeight="1" x14ac:dyDescent="0.45">
      <c r="B26" s="307" t="s">
        <v>148</v>
      </c>
      <c r="C26" s="165">
        <f>C17</f>
        <v>2000</v>
      </c>
      <c r="D26" s="35">
        <f>D21</f>
        <v>53328</v>
      </c>
      <c r="E26" s="308">
        <f>F21</f>
        <v>83656030</v>
      </c>
      <c r="F26" s="314">
        <v>18.88</v>
      </c>
      <c r="G26" s="314">
        <f>F26*D26</f>
        <v>1006832.6399999999</v>
      </c>
      <c r="H26" s="165"/>
      <c r="I26" s="311"/>
      <c r="J26" s="165"/>
      <c r="K26" s="165"/>
      <c r="L26" s="165"/>
    </row>
    <row r="27" spans="2:19" ht="15.75" customHeight="1" x14ac:dyDescent="0.45">
      <c r="B27" s="307" t="s">
        <v>149</v>
      </c>
      <c r="C27" s="165">
        <f>C18</f>
        <v>8000</v>
      </c>
      <c r="E27" s="308">
        <f>G21</f>
        <v>100798890</v>
      </c>
      <c r="F27" s="45">
        <v>7.04</v>
      </c>
      <c r="G27" s="45">
        <f>F27*(E27/1000)</f>
        <v>709624.18559999997</v>
      </c>
      <c r="H27" s="165"/>
      <c r="I27" s="311"/>
      <c r="J27" s="165"/>
      <c r="K27" s="165"/>
      <c r="L27" s="165"/>
    </row>
    <row r="28" spans="2:19" ht="15.75" customHeight="1" x14ac:dyDescent="0.45">
      <c r="B28" s="307" t="s">
        <v>149</v>
      </c>
      <c r="C28" s="165">
        <f>C19</f>
        <v>40000</v>
      </c>
      <c r="E28" s="308">
        <f>H21</f>
        <v>45718730</v>
      </c>
      <c r="F28" s="45">
        <v>5.59</v>
      </c>
      <c r="G28" s="45">
        <f>F28*(E28/1000)</f>
        <v>255567.70070000002</v>
      </c>
      <c r="H28" s="165"/>
      <c r="I28" s="311"/>
      <c r="J28" s="165"/>
      <c r="K28" s="165"/>
      <c r="L28" s="165"/>
    </row>
    <row r="29" spans="2:19" ht="15.75" customHeight="1" x14ac:dyDescent="0.45">
      <c r="B29" s="307" t="s">
        <v>150</v>
      </c>
      <c r="C29" s="165">
        <f>C20</f>
        <v>50000</v>
      </c>
      <c r="D29" s="12"/>
      <c r="E29" s="168">
        <f>I21</f>
        <v>22880460</v>
      </c>
      <c r="F29" s="13">
        <v>4.3899999999999997</v>
      </c>
      <c r="G29" s="13">
        <f>F29*(E29/1000)</f>
        <v>100445.21939999999</v>
      </c>
      <c r="H29" s="165"/>
      <c r="I29" s="311"/>
      <c r="J29" s="165"/>
      <c r="K29" s="165"/>
      <c r="L29" s="165"/>
    </row>
    <row r="30" spans="2:19" ht="15.75" customHeight="1" x14ac:dyDescent="0.45">
      <c r="B30" s="307"/>
      <c r="C30" s="165"/>
      <c r="D30" s="14">
        <f>SUM(D26:D29)</f>
        <v>53328</v>
      </c>
      <c r="E30" s="35">
        <f>SUM(E26:E29)</f>
        <v>253054110</v>
      </c>
      <c r="G30" s="314">
        <f>SUM(G26:G29)</f>
        <v>2072469.7456999999</v>
      </c>
      <c r="H30" s="165"/>
      <c r="I30" s="311"/>
      <c r="J30" s="165"/>
      <c r="K30" s="165"/>
      <c r="L30" s="165">
        <f>E30/D30</f>
        <v>4745.239086408641</v>
      </c>
    </row>
    <row r="31" spans="2:19" ht="15.75" customHeight="1" x14ac:dyDescent="0.45">
      <c r="B31" s="315"/>
      <c r="C31" s="12"/>
      <c r="D31" s="12"/>
      <c r="E31" s="12"/>
      <c r="F31" s="12"/>
      <c r="G31" s="12"/>
      <c r="H31" s="12"/>
      <c r="I31" s="316"/>
    </row>
    <row r="32" spans="2:19" ht="15.75" customHeight="1" x14ac:dyDescent="0.45"/>
  </sheetData>
  <mergeCells count="2">
    <mergeCell ref="B3:I3"/>
    <mergeCell ref="B4:I4"/>
  </mergeCells>
  <printOptions horizontalCentered="1"/>
  <pageMargins left="0.6" right="0.6" top="1.1499999999999999" bottom="0.85" header="0.3" footer="0.3"/>
  <pageSetup orientation="portrait" r:id="rId1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I31"/>
  <sheetViews>
    <sheetView workbookViewId="0"/>
  </sheetViews>
  <sheetFormatPr defaultColWidth="8.88671875" defaultRowHeight="14.25" x14ac:dyDescent="0.45"/>
  <cols>
    <col min="1" max="1" width="2.5546875" style="1" customWidth="1"/>
    <col min="2" max="2" width="7.44140625" style="1" customWidth="1"/>
    <col min="3" max="3" width="8" style="1" customWidth="1"/>
    <col min="4" max="4" width="8.5546875" style="1" customWidth="1"/>
    <col min="5" max="5" width="11.6640625" style="1" customWidth="1"/>
    <col min="6" max="6" width="10.44140625" style="1" customWidth="1"/>
    <col min="7" max="7" width="11.6640625" style="1" customWidth="1"/>
    <col min="8" max="8" width="9.88671875" style="1" customWidth="1"/>
    <col min="9" max="9" width="9.6640625" style="1" customWidth="1"/>
    <col min="10" max="10" width="10.44140625" style="1" customWidth="1"/>
    <col min="11" max="16384" width="8.88671875" style="1"/>
  </cols>
  <sheetData>
    <row r="2" spans="2:9" x14ac:dyDescent="0.45">
      <c r="B2" s="272"/>
      <c r="C2" s="273"/>
      <c r="D2" s="273"/>
      <c r="E2" s="273"/>
      <c r="F2" s="273"/>
      <c r="G2" s="273"/>
      <c r="H2" s="273"/>
      <c r="I2" s="274"/>
    </row>
    <row r="3" spans="2:9" ht="18" x14ac:dyDescent="0.55000000000000004">
      <c r="B3" s="340" t="s">
        <v>250</v>
      </c>
      <c r="C3" s="334"/>
      <c r="D3" s="334"/>
      <c r="E3" s="334"/>
      <c r="F3" s="334"/>
      <c r="G3" s="334"/>
      <c r="H3" s="334"/>
      <c r="I3" s="335"/>
    </row>
    <row r="4" spans="2:9" ht="18" x14ac:dyDescent="0.55000000000000004">
      <c r="B4" s="340" t="s">
        <v>133</v>
      </c>
      <c r="C4" s="334"/>
      <c r="D4" s="334"/>
      <c r="E4" s="334"/>
      <c r="F4" s="334"/>
      <c r="G4" s="334"/>
      <c r="H4" s="334"/>
      <c r="I4" s="335"/>
    </row>
    <row r="5" spans="2:9" ht="15.6" customHeight="1" x14ac:dyDescent="0.55000000000000004">
      <c r="B5" s="294"/>
      <c r="C5" s="295"/>
      <c r="D5" s="295"/>
      <c r="E5" s="295"/>
      <c r="F5" s="295"/>
      <c r="G5" s="295"/>
      <c r="H5" s="295"/>
      <c r="I5" s="296"/>
    </row>
    <row r="6" spans="2:9" x14ac:dyDescent="0.45">
      <c r="B6" s="317"/>
      <c r="C6" s="112"/>
      <c r="D6" s="112"/>
      <c r="E6" s="112"/>
      <c r="F6" s="112"/>
      <c r="G6" s="112"/>
      <c r="H6" s="112"/>
      <c r="I6" s="318"/>
    </row>
    <row r="7" spans="2:9" ht="15.75" x14ac:dyDescent="0.5">
      <c r="B7" s="275"/>
      <c r="D7" s="300" t="s">
        <v>157</v>
      </c>
      <c r="I7" s="276"/>
    </row>
    <row r="8" spans="2:9" ht="6.95" customHeight="1" x14ac:dyDescent="0.45">
      <c r="B8" s="275"/>
      <c r="I8" s="276"/>
    </row>
    <row r="9" spans="2:9" ht="15.75" customHeight="1" x14ac:dyDescent="0.45">
      <c r="B9" s="275"/>
      <c r="D9" s="103"/>
      <c r="E9" s="103" t="s">
        <v>140</v>
      </c>
      <c r="F9" s="103" t="s">
        <v>141</v>
      </c>
      <c r="G9" s="103" t="s">
        <v>43</v>
      </c>
      <c r="I9" s="276"/>
    </row>
    <row r="10" spans="2:9" ht="15.75" customHeight="1" x14ac:dyDescent="0.45">
      <c r="B10" s="275"/>
      <c r="D10" s="1" t="s">
        <v>152</v>
      </c>
      <c r="E10" s="35">
        <f>D30</f>
        <v>53328</v>
      </c>
      <c r="F10" s="35">
        <f>E30</f>
        <v>253054110</v>
      </c>
      <c r="G10" s="301">
        <f>G30</f>
        <v>2351470.3300999999</v>
      </c>
      <c r="I10" s="276"/>
    </row>
    <row r="11" spans="2:9" ht="15.75" customHeight="1" x14ac:dyDescent="0.45">
      <c r="B11" s="275"/>
      <c r="E11" s="35"/>
      <c r="F11" s="302" t="s">
        <v>142</v>
      </c>
      <c r="G11" s="158">
        <f>ExBA!G11*(1+Rates!O7)</f>
        <v>-29607.746984257948</v>
      </c>
      <c r="I11" s="276"/>
    </row>
    <row r="12" spans="2:9" ht="15.75" customHeight="1" x14ac:dyDescent="0.45">
      <c r="B12" s="275"/>
      <c r="E12" s="35"/>
      <c r="F12" s="303" t="s">
        <v>143</v>
      </c>
      <c r="G12" s="301">
        <f>G10+G11</f>
        <v>2321862.5831157421</v>
      </c>
      <c r="I12" s="276"/>
    </row>
    <row r="13" spans="2:9" ht="15.75" customHeight="1" x14ac:dyDescent="0.45">
      <c r="B13" s="275"/>
      <c r="F13" s="35"/>
      <c r="G13" s="35"/>
      <c r="H13" s="35"/>
      <c r="I13" s="276"/>
    </row>
    <row r="14" spans="2:9" ht="15.75" customHeight="1" x14ac:dyDescent="0.45">
      <c r="B14" s="304" t="s">
        <v>156</v>
      </c>
      <c r="I14" s="276"/>
    </row>
    <row r="15" spans="2:9" ht="15.75" customHeight="1" x14ac:dyDescent="0.45">
      <c r="B15" s="275"/>
      <c r="F15" s="2" t="s">
        <v>144</v>
      </c>
      <c r="G15" s="2" t="s">
        <v>145</v>
      </c>
      <c r="H15" s="2" t="s">
        <v>145</v>
      </c>
      <c r="I15" s="305" t="s">
        <v>146</v>
      </c>
    </row>
    <row r="16" spans="2:9" ht="15.75" customHeight="1" x14ac:dyDescent="0.45">
      <c r="B16" s="275"/>
      <c r="C16" s="103" t="s">
        <v>45</v>
      </c>
      <c r="D16" s="7" t="s">
        <v>46</v>
      </c>
      <c r="E16" s="7" t="s">
        <v>47</v>
      </c>
      <c r="F16" s="7">
        <f>C17</f>
        <v>2000</v>
      </c>
      <c r="G16" s="7">
        <f>C18</f>
        <v>8000</v>
      </c>
      <c r="H16" s="7">
        <f>C19</f>
        <v>40000</v>
      </c>
      <c r="I16" s="306">
        <f>C20</f>
        <v>50000</v>
      </c>
    </row>
    <row r="17" spans="2:9" ht="15.75" customHeight="1" x14ac:dyDescent="0.45">
      <c r="B17" s="307" t="s">
        <v>148</v>
      </c>
      <c r="C17" s="165">
        <v>2000</v>
      </c>
      <c r="D17" s="308">
        <f>14471+4149+1533</f>
        <v>20153</v>
      </c>
      <c r="E17" s="308">
        <f>14097480+2422080+786470</f>
        <v>17306030</v>
      </c>
      <c r="F17" s="308">
        <f>E17</f>
        <v>17306030</v>
      </c>
      <c r="G17" s="308">
        <v>0</v>
      </c>
      <c r="H17" s="308">
        <v>0</v>
      </c>
      <c r="I17" s="309">
        <v>0</v>
      </c>
    </row>
    <row r="18" spans="2:9" ht="15.75" customHeight="1" x14ac:dyDescent="0.45">
      <c r="B18" s="307" t="s">
        <v>149</v>
      </c>
      <c r="C18" s="165">
        <v>8000</v>
      </c>
      <c r="D18" s="308">
        <f>23370+3947+1498</f>
        <v>28815</v>
      </c>
      <c r="E18" s="308">
        <f>98967280+17288620+7292990</f>
        <v>123548890</v>
      </c>
      <c r="F18" s="308">
        <f>D18*F16</f>
        <v>57630000</v>
      </c>
      <c r="G18" s="308">
        <f>E18-F18</f>
        <v>65918890</v>
      </c>
      <c r="H18" s="308">
        <v>0</v>
      </c>
      <c r="I18" s="309">
        <v>0</v>
      </c>
    </row>
    <row r="19" spans="2:9" ht="15.75" customHeight="1" x14ac:dyDescent="0.45">
      <c r="B19" s="307" t="s">
        <v>149</v>
      </c>
      <c r="C19" s="165">
        <v>40000</v>
      </c>
      <c r="D19" s="308">
        <f>2682+714+656</f>
        <v>4052</v>
      </c>
      <c r="E19" s="308">
        <f>47524950+13806880+12586900</f>
        <v>73918730</v>
      </c>
      <c r="F19" s="308">
        <f>D19*F16</f>
        <v>8104000</v>
      </c>
      <c r="G19" s="308">
        <f>D19*G16</f>
        <v>32416000</v>
      </c>
      <c r="H19" s="308">
        <f>E19-F19-G19</f>
        <v>33398730</v>
      </c>
      <c r="I19" s="309">
        <v>0</v>
      </c>
    </row>
    <row r="20" spans="2:9" ht="15.75" customHeight="1" x14ac:dyDescent="0.45">
      <c r="B20" s="307" t="s">
        <v>150</v>
      </c>
      <c r="C20" s="167">
        <v>50000</v>
      </c>
      <c r="D20" s="168">
        <f>153+66+89</f>
        <v>308</v>
      </c>
      <c r="E20" s="168">
        <f>15084200+9691410+13504850</f>
        <v>38280460</v>
      </c>
      <c r="F20" s="168">
        <f>D20*F16</f>
        <v>616000</v>
      </c>
      <c r="G20" s="168">
        <f>D20*G16</f>
        <v>2464000</v>
      </c>
      <c r="H20" s="168">
        <f>D20*H16</f>
        <v>12320000</v>
      </c>
      <c r="I20" s="310">
        <f>E20-(F20+H20+G20)</f>
        <v>22880460</v>
      </c>
    </row>
    <row r="21" spans="2:9" ht="15.75" customHeight="1" x14ac:dyDescent="0.45">
      <c r="B21" s="307"/>
      <c r="C21" s="165"/>
      <c r="D21" s="35">
        <f t="shared" ref="D21:I21" si="0">SUM(D17:D20)</f>
        <v>53328</v>
      </c>
      <c r="E21" s="35">
        <f t="shared" si="0"/>
        <v>253054110</v>
      </c>
      <c r="F21" s="35">
        <f t="shared" si="0"/>
        <v>83656030</v>
      </c>
      <c r="G21" s="35">
        <f t="shared" si="0"/>
        <v>100798890</v>
      </c>
      <c r="H21" s="35">
        <f t="shared" si="0"/>
        <v>45718730</v>
      </c>
      <c r="I21" s="208">
        <f t="shared" si="0"/>
        <v>22880460</v>
      </c>
    </row>
    <row r="22" spans="2:9" ht="15.75" customHeight="1" x14ac:dyDescent="0.45">
      <c r="B22" s="307"/>
      <c r="C22" s="165"/>
      <c r="E22" s="165"/>
      <c r="F22" s="165"/>
      <c r="G22" s="165"/>
      <c r="H22" s="165"/>
      <c r="I22" s="311"/>
    </row>
    <row r="23" spans="2:9" ht="15.75" customHeight="1" x14ac:dyDescent="0.45">
      <c r="B23" s="312" t="s">
        <v>151</v>
      </c>
      <c r="C23" s="313"/>
      <c r="E23" s="165"/>
      <c r="F23" s="165"/>
      <c r="G23" s="165"/>
      <c r="H23" s="165"/>
      <c r="I23" s="311"/>
    </row>
    <row r="24" spans="2:9" ht="8.1" customHeight="1" x14ac:dyDescent="0.45">
      <c r="B24" s="312"/>
      <c r="C24" s="313"/>
      <c r="E24" s="165"/>
      <c r="F24" s="165"/>
      <c r="G24" s="165"/>
      <c r="H24" s="165"/>
      <c r="I24" s="311"/>
    </row>
    <row r="25" spans="2:9" ht="15.75" customHeight="1" x14ac:dyDescent="0.45">
      <c r="B25" s="307"/>
      <c r="C25" s="103" t="s">
        <v>45</v>
      </c>
      <c r="D25" s="7" t="s">
        <v>46</v>
      </c>
      <c r="E25" s="103" t="s">
        <v>47</v>
      </c>
      <c r="F25" s="7" t="s">
        <v>48</v>
      </c>
      <c r="G25" s="7" t="s">
        <v>49</v>
      </c>
      <c r="H25" s="165"/>
      <c r="I25" s="311"/>
    </row>
    <row r="26" spans="2:9" ht="15.75" customHeight="1" x14ac:dyDescent="0.45">
      <c r="B26" s="307" t="s">
        <v>148</v>
      </c>
      <c r="C26" s="165">
        <f>C17</f>
        <v>2000</v>
      </c>
      <c r="D26" s="35">
        <f>D21</f>
        <v>53328</v>
      </c>
      <c r="E26" s="308">
        <f>F21</f>
        <v>83656030</v>
      </c>
      <c r="F26" s="314">
        <f>Rates!L10</f>
        <v>21.42</v>
      </c>
      <c r="G26" s="314">
        <f>F26*D26</f>
        <v>1142285.76</v>
      </c>
      <c r="H26" s="165"/>
      <c r="I26" s="311"/>
    </row>
    <row r="27" spans="2:9" ht="15.75" customHeight="1" x14ac:dyDescent="0.45">
      <c r="B27" s="307" t="s">
        <v>149</v>
      </c>
      <c r="C27" s="165">
        <f>C18</f>
        <v>8000</v>
      </c>
      <c r="E27" s="308">
        <f>G21</f>
        <v>100798890</v>
      </c>
      <c r="F27" s="45">
        <f>Rates!L11</f>
        <v>7.99</v>
      </c>
      <c r="G27" s="45">
        <f>F27*(E27/1000)</f>
        <v>805383.1311</v>
      </c>
      <c r="H27" s="165"/>
      <c r="I27" s="311"/>
    </row>
    <row r="28" spans="2:9" ht="15.75" customHeight="1" x14ac:dyDescent="0.45">
      <c r="B28" s="307" t="s">
        <v>149</v>
      </c>
      <c r="C28" s="165">
        <f>C19</f>
        <v>40000</v>
      </c>
      <c r="E28" s="308">
        <f>H21</f>
        <v>45718730</v>
      </c>
      <c r="F28" s="45">
        <f>Rates!L12</f>
        <v>6.34</v>
      </c>
      <c r="G28" s="45">
        <f>F28*(E28/1000)</f>
        <v>289856.74820000003</v>
      </c>
      <c r="H28" s="165"/>
      <c r="I28" s="311"/>
    </row>
    <row r="29" spans="2:9" ht="15.75" customHeight="1" x14ac:dyDescent="0.45">
      <c r="B29" s="307" t="s">
        <v>150</v>
      </c>
      <c r="C29" s="165">
        <f>C20</f>
        <v>50000</v>
      </c>
      <c r="D29" s="12"/>
      <c r="E29" s="168">
        <f>I21</f>
        <v>22880460</v>
      </c>
      <c r="F29" s="13">
        <f>Rates!L13</f>
        <v>4.9800000000000004</v>
      </c>
      <c r="G29" s="13">
        <f>F29*(E29/1000)</f>
        <v>113944.69080000001</v>
      </c>
      <c r="H29" s="165"/>
      <c r="I29" s="311"/>
    </row>
    <row r="30" spans="2:9" ht="15.75" customHeight="1" x14ac:dyDescent="0.45">
      <c r="B30" s="307"/>
      <c r="C30" s="165"/>
      <c r="D30" s="14">
        <f>SUM(D26:D29)</f>
        <v>53328</v>
      </c>
      <c r="E30" s="35">
        <f>SUM(E26:E29)</f>
        <v>253054110</v>
      </c>
      <c r="G30" s="314">
        <f>SUM(G26:G29)</f>
        <v>2351470.3300999999</v>
      </c>
      <c r="H30" s="165"/>
      <c r="I30" s="311"/>
    </row>
    <row r="31" spans="2:9" x14ac:dyDescent="0.45">
      <c r="B31" s="315"/>
      <c r="C31" s="12"/>
      <c r="D31" s="12"/>
      <c r="E31" s="12"/>
      <c r="F31" s="12"/>
      <c r="G31" s="12"/>
      <c r="H31" s="12"/>
      <c r="I31" s="316"/>
    </row>
  </sheetData>
  <mergeCells count="2">
    <mergeCell ref="B3:I3"/>
    <mergeCell ref="B4:I4"/>
  </mergeCells>
  <printOptions horizontalCentered="1"/>
  <pageMargins left="0.6" right="0.6" top="1" bottom="1" header="0.3" footer="0.3"/>
  <pageSetup fitToHeight="2" orientation="portrait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B1FAF-D66F-48B7-BB38-6BDB530F2EB6}">
  <dimension ref="B4:G12"/>
  <sheetViews>
    <sheetView workbookViewId="0"/>
  </sheetViews>
  <sheetFormatPr defaultRowHeight="14.25" x14ac:dyDescent="0.45"/>
  <cols>
    <col min="1" max="1" width="8.88671875" style="1"/>
    <col min="2" max="2" width="1.44140625" style="1" customWidth="1"/>
    <col min="3" max="3" width="14.77734375" style="1" customWidth="1"/>
    <col min="4" max="4" width="8.109375" style="1" customWidth="1"/>
    <col min="5" max="6" width="7.88671875" style="1" customWidth="1"/>
    <col min="7" max="7" width="8.109375" style="1" customWidth="1"/>
    <col min="8" max="16384" width="8.88671875" style="1"/>
  </cols>
  <sheetData>
    <row r="4" spans="2:7" x14ac:dyDescent="0.45">
      <c r="B4" s="341" t="s">
        <v>256</v>
      </c>
      <c r="C4" s="341"/>
      <c r="D4" s="341"/>
      <c r="E4" s="341"/>
      <c r="F4" s="341"/>
      <c r="G4" s="341"/>
    </row>
    <row r="5" spans="2:7" x14ac:dyDescent="0.45">
      <c r="B5" s="285"/>
      <c r="C5" s="285"/>
      <c r="D5" s="342"/>
      <c r="E5" s="342"/>
      <c r="F5" s="286" t="s">
        <v>257</v>
      </c>
      <c r="G5" s="286" t="s">
        <v>258</v>
      </c>
    </row>
    <row r="6" spans="2:7" x14ac:dyDescent="0.45">
      <c r="B6" s="287" t="s">
        <v>259</v>
      </c>
      <c r="C6" s="288"/>
      <c r="D6" s="286" t="s">
        <v>260</v>
      </c>
      <c r="E6" s="286" t="s">
        <v>115</v>
      </c>
      <c r="F6" s="286" t="s">
        <v>261</v>
      </c>
      <c r="G6" s="286" t="s">
        <v>261</v>
      </c>
    </row>
    <row r="7" spans="2:7" x14ac:dyDescent="0.45">
      <c r="B7" s="289"/>
      <c r="C7" s="290" t="s">
        <v>262</v>
      </c>
      <c r="D7" s="291">
        <f>Rates!F10</f>
        <v>18.88</v>
      </c>
      <c r="E7" s="291">
        <f>Rates!L10</f>
        <v>21.42</v>
      </c>
      <c r="F7" s="292">
        <f t="shared" ref="F7:F10" si="0">E7-D7</f>
        <v>2.5400000000000027</v>
      </c>
      <c r="G7" s="293">
        <f>ROUND(F7/D7,4)</f>
        <v>0.13450000000000001</v>
      </c>
    </row>
    <row r="8" spans="2:7" x14ac:dyDescent="0.45">
      <c r="B8" s="289"/>
      <c r="C8" s="290" t="s">
        <v>264</v>
      </c>
      <c r="D8" s="291">
        <f>Rates!F11</f>
        <v>7.04</v>
      </c>
      <c r="E8" s="291">
        <f>Rates!L11</f>
        <v>7.99</v>
      </c>
      <c r="F8" s="292">
        <f t="shared" si="0"/>
        <v>0.95000000000000018</v>
      </c>
      <c r="G8" s="293">
        <f t="shared" ref="G8:G10" si="1">ROUND(F8/D8,4)</f>
        <v>0.13489999999999999</v>
      </c>
    </row>
    <row r="9" spans="2:7" x14ac:dyDescent="0.45">
      <c r="B9" s="289"/>
      <c r="C9" s="290" t="s">
        <v>265</v>
      </c>
      <c r="D9" s="291">
        <f>Rates!F12</f>
        <v>5.59</v>
      </c>
      <c r="E9" s="291">
        <f>Rates!L12</f>
        <v>6.34</v>
      </c>
      <c r="F9" s="292">
        <f t="shared" si="0"/>
        <v>0.75</v>
      </c>
      <c r="G9" s="293">
        <f t="shared" si="1"/>
        <v>0.13420000000000001</v>
      </c>
    </row>
    <row r="10" spans="2:7" x14ac:dyDescent="0.45">
      <c r="B10" s="289"/>
      <c r="C10" s="290" t="s">
        <v>266</v>
      </c>
      <c r="D10" s="291">
        <f>Rates!F13</f>
        <v>4.3899999999999997</v>
      </c>
      <c r="E10" s="291">
        <f>Rates!L13</f>
        <v>4.9800000000000004</v>
      </c>
      <c r="F10" s="292">
        <f t="shared" si="0"/>
        <v>0.59000000000000075</v>
      </c>
      <c r="G10" s="293">
        <f t="shared" si="1"/>
        <v>0.13439999999999999</v>
      </c>
    </row>
    <row r="11" spans="2:7" ht="8.1" customHeight="1" x14ac:dyDescent="0.45">
      <c r="B11" s="288"/>
      <c r="C11" s="288"/>
      <c r="D11" s="285"/>
      <c r="E11" s="285"/>
      <c r="F11" s="285"/>
      <c r="G11" s="285"/>
    </row>
    <row r="12" spans="2:7" x14ac:dyDescent="0.45">
      <c r="B12" s="285"/>
      <c r="C12" s="290" t="s">
        <v>263</v>
      </c>
      <c r="D12" s="285"/>
      <c r="E12" s="285"/>
      <c r="F12" s="285"/>
      <c r="G12" s="285"/>
    </row>
  </sheetData>
  <mergeCells count="2">
    <mergeCell ref="B4:G4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SAO</vt:lpstr>
      <vt:lpstr>Adj</vt:lpstr>
      <vt:lpstr>DeprAdj</vt:lpstr>
      <vt:lpstr>DSch</vt:lpstr>
      <vt:lpstr>Rates</vt:lpstr>
      <vt:lpstr>Bills</vt:lpstr>
      <vt:lpstr>ExBA</vt:lpstr>
      <vt:lpstr>PropBA</vt:lpstr>
      <vt:lpstr>Notice</vt:lpstr>
      <vt:lpstr>Adj!Print_Area</vt:lpstr>
      <vt:lpstr>Bills!Print_Area</vt:lpstr>
      <vt:lpstr>DeprAdj!Print_Area</vt:lpstr>
      <vt:lpstr>DSch!Print_Area</vt:lpstr>
      <vt:lpstr>ExBA!Print_Area</vt:lpstr>
      <vt:lpstr>PropBA!Print_Area</vt:lpstr>
      <vt:lpstr>Rates!Print_Area</vt:lpstr>
      <vt:lpstr>SAO!Print_Area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Robert Miller</cp:lastModifiedBy>
  <cp:lastPrinted>2024-10-04T22:38:54Z</cp:lastPrinted>
  <dcterms:created xsi:type="dcterms:W3CDTF">2016-05-18T14:12:06Z</dcterms:created>
  <dcterms:modified xsi:type="dcterms:W3CDTF">2024-10-04T22:42:06Z</dcterms:modified>
</cp:coreProperties>
</file>