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mwater.sharepoint.com/sites/sers/KY/Infrastructure Mechanisms/Case No. 2024-00272 - QIP 6 - Testimony/Company Direct/"/>
    </mc:Choice>
  </mc:AlternateContent>
  <xr:revisionPtr revIDLastSave="109" documentId="13_ncr:1_{B45BF71E-B15D-42F2-9B05-BED36ADBF978}" xr6:coauthVersionLast="47" xr6:coauthVersionMax="47" xr10:uidLastSave="{37DBAEBA-5E20-4955-AD30-64A610118F62}"/>
  <bookViews>
    <workbookView xWindow="28680" yWindow="-120" windowWidth="29040" windowHeight="15720" tabRatio="774" xr2:uid="{D37256F9-9F33-430A-A499-C356EEA5CDDA}"/>
  </bookViews>
  <sheets>
    <sheet name="QIP 6+" sheetId="2" r:id="rId1"/>
    <sheet name="QIP 1-5" sheetId="3" r:id="rId2"/>
    <sheet name="QIP 4 Balancing Adjustment" sheetId="4" r:id="rId3"/>
    <sheet name="Gross Revenue Conversion Factor" sheetId="9" r:id="rId4"/>
    <sheet name="QIP Capital &amp; Expense" sheetId="5" r:id="rId5"/>
    <sheet name="QIP ADIT" sheetId="6" r:id="rId6"/>
  </sheets>
  <definedNames>
    <definedName name="\A" localSheetId="3">#REF!</definedName>
    <definedName name="\A">#REF!</definedName>
    <definedName name="\N" localSheetId="3">#REF!</definedName>
    <definedName name="\N">#REF!</definedName>
    <definedName name="\P">#REF!</definedName>
    <definedName name="\Q">#REF!</definedName>
    <definedName name="\S">#REF!</definedName>
    <definedName name="\W">#REF!</definedName>
    <definedName name="_______ad75" localSheetId="3" hidden="1">{"TOT_QTR_TO_PREV",#N/A,FALSE,"Site Sum"}</definedName>
    <definedName name="_______ad75" hidden="1">{"TOT_QTR_TO_PREV",#N/A,FALSE,"Site Sum"}</definedName>
    <definedName name="_______as65" localSheetId="3" hidden="1">{"TOT_QTR_TO_PREV",#N/A,FALSE,"Site Sum"}</definedName>
    <definedName name="_______as65" hidden="1">{"TOT_QTR_TO_PREV",#N/A,FALSE,"Site Sum"}</definedName>
    <definedName name="_____ad75" localSheetId="3" hidden="1">{"TOT_QTR_TO_PREV",#N/A,FALSE,"Site Sum"}</definedName>
    <definedName name="_____ad75" hidden="1">{"TOT_QTR_TO_PREV",#N/A,FALSE,"Site Sum"}</definedName>
    <definedName name="_____as65" localSheetId="3" hidden="1">{"TOT_QTR_TO_PREV",#N/A,FALSE,"Site Sum"}</definedName>
    <definedName name="_____as65" hidden="1">{"TOT_QTR_TO_PREV",#N/A,FALSE,"Site Sum"}</definedName>
    <definedName name="____ad75" localSheetId="3" hidden="1">{"TOT_QTR_TO_PREV",#N/A,FALSE,"Site Sum"}</definedName>
    <definedName name="____ad75" hidden="1">{"TOT_QTR_TO_PREV",#N/A,FALSE,"Site Sum"}</definedName>
    <definedName name="____as65" localSheetId="3" hidden="1">{"TOT_QTR_TO_PREV",#N/A,FALSE,"Site Sum"}</definedName>
    <definedName name="____as65" hidden="1">{"TOT_QTR_TO_PREV",#N/A,FALSE,"Site Sum"}</definedName>
    <definedName name="___ad75" localSheetId="3" hidden="1">{"TOT_QTR_TO_PREV",#N/A,FALSE,"Site Sum"}</definedName>
    <definedName name="___ad75" hidden="1">{"TOT_QTR_TO_PREV",#N/A,FALSE,"Site Sum"}</definedName>
    <definedName name="___as65" localSheetId="3" hidden="1">{"TOT_QTR_TO_PREV",#N/A,FALSE,"Site Sum"}</definedName>
    <definedName name="___as65" hidden="1">{"TOT_QTR_TO_PREV",#N/A,FALSE,"Site Sum"}</definedName>
    <definedName name="__ad75" localSheetId="3" hidden="1">{"TOT_QTR_TO_PREV",#N/A,FALSE,"Site Sum"}</definedName>
    <definedName name="__ad75" hidden="1">{"TOT_QTR_TO_PREV",#N/A,FALSE,"Site Sum"}</definedName>
    <definedName name="__as65" localSheetId="3" hidden="1">{"TOT_QTR_TO_PREV",#N/A,FALSE,"Site Sum"}</definedName>
    <definedName name="__as65" hidden="1">{"TOT_QTR_TO_PREV",#N/A,FALSE,"Site Sum"}</definedName>
    <definedName name="__xlfn.BAHTTEXT" hidden="1">#NAME?</definedName>
    <definedName name="_00_01">#REF!</definedName>
    <definedName name="_000" localSheetId="3">#REF!</definedName>
    <definedName name="_000">#REF!</definedName>
    <definedName name="_1_0pf1" localSheetId="3">#REF!</definedName>
    <definedName name="_1_0pf1">#REF!</definedName>
    <definedName name="_1_13MO_M_S" localSheetId="3">#REF!</definedName>
    <definedName name="_1_13MO_M_S">#REF!</definedName>
    <definedName name="_1_1MO_YTD">#REF!</definedName>
    <definedName name="_106DATA">#REF!</definedName>
    <definedName name="_2_0BL">#REF!</definedName>
    <definedName name="_2_6MO_ACT" localSheetId="3">#REF!</definedName>
    <definedName name="_2_6MO_ACT">#REF!</definedName>
    <definedName name="_3_6MO_ACT_UPIS">#REF!</definedName>
    <definedName name="_329">#REF!</definedName>
    <definedName name="_3M">#REF!</definedName>
    <definedName name="_4_0i">#REF!</definedName>
    <definedName name="_ad75" localSheetId="3" hidden="1">{"TOT_QTR_TO_PREV",#N/A,FALSE,"Site Sum"}</definedName>
    <definedName name="_ad75" hidden="1">{"TOT_QTR_TO_PREV",#N/A,FALSE,"Site Sum"}</definedName>
    <definedName name="_as65" localSheetId="3" hidden="1">{"TOT_QTR_TO_PREV",#N/A,FALSE,"Site Sum"}</definedName>
    <definedName name="_as65" hidden="1">{"TOT_QTR_TO_PREV",#N/A,FALSE,"Site Sum"}</definedName>
    <definedName name="_AWW03">#REF!</definedName>
    <definedName name="_AWW04">#REF!</definedName>
    <definedName name="_AWW05">#REF!</definedName>
    <definedName name="_AWW06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Example" hidden="1">#REF!</definedName>
    <definedName name="_Fill" hidden="1">#REF!</definedName>
    <definedName name="_Look" localSheetId="3" hidden="1">#REF!</definedName>
    <definedName name="_Look" hidden="1">#REF!</definedName>
    <definedName name="_M" localSheetId="3">#REF!</definedName>
    <definedName name="_M">#REF!</definedName>
    <definedName name="_MatMult_B" localSheetId="3" hidden="1">#REF!</definedName>
    <definedName name="_MatMult_B" hidden="1">#REF!</definedName>
    <definedName name="_Order1" hidden="1">255</definedName>
    <definedName name="_PD10">#REF!</definedName>
    <definedName name="_PD11">#REF!</definedName>
    <definedName name="_PD7">#REF!</definedName>
    <definedName name="_PD8">#REF!</definedName>
    <definedName name="_PD9">#REF!</definedName>
    <definedName name="_Sch1">#REF!</definedName>
    <definedName name="_Sch2">#REF!</definedName>
    <definedName name="_Sch3">#REF!</definedName>
    <definedName name="_Sch4">#REF!</definedName>
    <definedName name="_Sch5">#REF!</definedName>
    <definedName name="_Sch6">#REF!</definedName>
    <definedName name="_Sch7">#REF!</definedName>
    <definedName name="_Series" hidden="1">#REF!</definedName>
    <definedName name="_Shading" hidden="1">#REF!</definedName>
    <definedName name="_Sort" hidden="1">#REF!</definedName>
    <definedName name="_Table1_In1" hidden="1">#REF!</definedName>
    <definedName name="_Table1_Out" hidden="1">#REF!</definedName>
    <definedName name="_Table2_Out" hidden="1">#REF!</definedName>
    <definedName name="A">#REF!</definedName>
    <definedName name="AAET">#REF!</definedName>
    <definedName name="AcctNumDec">#REF!</definedName>
    <definedName name="ACCUMRES">#REF!</definedName>
    <definedName name="Active_FINAL_with_Gender">#REF!</definedName>
    <definedName name="ACTUAL">#REF!</definedName>
    <definedName name="ActualCostCurrent">#REF!</definedName>
    <definedName name="ACTUALHEAD">#REF!</definedName>
    <definedName name="ALL">#REF!</definedName>
    <definedName name="ALL_DATA">#REF!</definedName>
    <definedName name="ALT">#REF!</definedName>
    <definedName name="American">#REF!</definedName>
    <definedName name="Apollo_TaxRate">#REF!</definedName>
    <definedName name="Application">#REF!</definedName>
    <definedName name="as" localSheetId="3" hidden="1">{"TOT_QTR_TO_PREV",#N/A,FALSE,"Site Sum"}</definedName>
    <definedName name="as" hidden="1">{"TOT_QTR_TO_PREV",#N/A,FALSE,"Site Sum"}</definedName>
    <definedName name="AS_400">#REF!</definedName>
    <definedName name="asddd" localSheetId="3" hidden="1">{"TOT_QTR_TO_PREV",#N/A,FALSE,"Site Sum"}</definedName>
    <definedName name="asddd" hidden="1">{"TOT_QTR_TO_PREV",#N/A,FALSE,"Site Sum"}</definedName>
    <definedName name="AsOf">#REF!</definedName>
    <definedName name="asof2">#REF!</definedName>
    <definedName name="asof3">#REF!</definedName>
    <definedName name="AsOfMonthText">#REF!</definedName>
    <definedName name="asofmonthtext2">#REF!</definedName>
    <definedName name="asofmonthtext3">#REF!</definedName>
    <definedName name="AssetCode">#REF!</definedName>
    <definedName name="attch1">#REF!</definedName>
    <definedName name="AVALON">#REF!</definedName>
    <definedName name="awkfiscal">#REF!</definedName>
    <definedName name="AWR">#REF!</definedName>
    <definedName name="AWWOp">#REF!</definedName>
    <definedName name="AWWS_Corp">"est"</definedName>
    <definedName name="AZ">#REF!</definedName>
    <definedName name="AZAM00">#REF!</definedName>
    <definedName name="AZAM01">#REF!</definedName>
    <definedName name="azamfiscal">#REF!</definedName>
    <definedName name="B">#REF!</definedName>
    <definedName name="badger" localSheetId="3" hidden="1">{"TOT_QTR_TO_PREV",#N/A,FALSE,"Site Sum"}</definedName>
    <definedName name="badger" hidden="1">{"TOT_QTR_TO_PREV",#N/A,FALSE,"Site Sum"}</definedName>
    <definedName name="badger1" localSheetId="3" hidden="1">{"TOT_QTR_TO_PREV",#N/A,FALSE,"Site Sum"}</definedName>
    <definedName name="badger1" hidden="1">{"TOT_QTR_TO_PREV",#N/A,FALSE,"Site Sum"}</definedName>
    <definedName name="BELMAWR">#REF!</definedName>
    <definedName name="BizUnits">#REF!</definedName>
    <definedName name="BUDGET">#REF!</definedName>
    <definedName name="BUDGETHEAD">#REF!</definedName>
    <definedName name="CA">#REF!</definedName>
    <definedName name="CAAM00">#REF!</definedName>
    <definedName name="CAAM01">#REF!</definedName>
    <definedName name="caamfiscal">#REF!</definedName>
    <definedName name="CAI">#REF!</definedName>
    <definedName name="CapEx_Effectiveness">#REF!</definedName>
    <definedName name="cb_erf">#REF!</definedName>
    <definedName name="cbcredit">#REF!</definedName>
    <definedName name="CBWorkbookPriority" hidden="1">-1523877792</definedName>
    <definedName name="CCI">#REF!</definedName>
    <definedName name="cell_down_and_left">#REF!</definedName>
    <definedName name="CellToLeft">#REF!</definedName>
    <definedName name="chart2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chart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CICdate">#REF!</definedName>
    <definedName name="CICprice">#REF!</definedName>
    <definedName name="CLI">#REF!</definedName>
    <definedName name="CLIENT_NAME">#REF!</definedName>
    <definedName name="Co">#REF!</definedName>
    <definedName name="ColControl">#REF!</definedName>
    <definedName name="ComEqty">#REF!</definedName>
    <definedName name="Companies">#REF!</definedName>
    <definedName name="compnam3">#REF!</definedName>
    <definedName name="compname">#REF!</definedName>
    <definedName name="compname2">#REF!</definedName>
    <definedName name="ComRate">#REF!</definedName>
    <definedName name="contr">#REF!</definedName>
    <definedName name="Core_DebtCap">#REF!</definedName>
    <definedName name="Core_EquityCap">#REF!</definedName>
    <definedName name="core_ROE">#REF!</definedName>
    <definedName name="Cos">#REF!</definedName>
    <definedName name="CostOfEquityRate1">#REF!</definedName>
    <definedName name="CostOfEquityRate2">#REF!</definedName>
    <definedName name="Crap">#REF!</definedName>
    <definedName name="_xlnm.Criteria">#REF!</definedName>
    <definedName name="crud">#REF!</definedName>
    <definedName name="CTAM00">#REF!</definedName>
    <definedName name="CTAM01">#REF!</definedName>
    <definedName name="ctamfiscal">#REF!</definedName>
    <definedName name="CUST">#REF!</definedName>
    <definedName name="customer">#REF!</definedName>
    <definedName name="data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ATA_09" hidden="1">#REF!</definedName>
    <definedName name="_xlnm.Database">#REF!</definedName>
    <definedName name="Database_MI">#REF!</definedName>
    <definedName name="DATAW">#REF!</definedName>
    <definedName name="Date">#REF!</definedName>
    <definedName name="DEPR_DB">#REF!</definedName>
    <definedName name="DEPR_EXP">#REF!</definedName>
    <definedName name="DiscRate">#REF!</definedName>
    <definedName name="DOB">#REF!</definedName>
    <definedName name="DOC">#REF!</definedName>
    <definedName name="DP1813TB1">#REF!</definedName>
    <definedName name="DP1813TB2">#REF!</definedName>
    <definedName name="DP1814TB1">#REF!</definedName>
    <definedName name="DT">#REF!</definedName>
    <definedName name="E_Palo_Alto">#REF!</definedName>
    <definedName name="ENTRY">#REF!</definedName>
    <definedName name="EPA">#REF!</definedName>
    <definedName name="EquipList">#REF!</definedName>
    <definedName name="ET">#REF!</definedName>
    <definedName name="EW">#REF!</definedName>
    <definedName name="ExpLoad">#REF!</definedName>
    <definedName name="Export_ALG_Remaining_Life">#REF!</definedName>
    <definedName name="_xlnm.Extract" localSheetId="3">#REF!</definedName>
    <definedName name="_xlnm.Extract">#REF!</definedName>
    <definedName name="financings" localSheetId="3">#REF!</definedName>
    <definedName name="financings">#REF!</definedName>
    <definedName name="FINCO2000" localSheetId="3">#REF!</definedName>
    <definedName name="FINCO2000">#REF!</definedName>
    <definedName name="FINCO2001">#REF!</definedName>
    <definedName name="fincofiscal">#REF!</definedName>
    <definedName name="fiscalprint">#REF!</definedName>
    <definedName name="Fleet_Auto_Information">#REF!</definedName>
    <definedName name="frequency">#REF!</definedName>
    <definedName name="fuckioff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uckiof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YE">#REF!</definedName>
    <definedName name="g">#REF!</definedName>
    <definedName name="GAM">#REF!</definedName>
    <definedName name="GAM83F">#REF!</definedName>
    <definedName name="gam83f2">#REF!</definedName>
    <definedName name="gam83f3">#REF!</definedName>
    <definedName name="GAM83M">#REF!</definedName>
    <definedName name="gam83m2">#REF!</definedName>
    <definedName name="gam83m3">#REF!</definedName>
    <definedName name="GAM94F">#REF!</definedName>
    <definedName name="h">#REF!</definedName>
    <definedName name="HADDON_HEIGHTS">#REF!</definedName>
    <definedName name="HAMP00">#REF!</definedName>
    <definedName name="HAMP01">#REF!</definedName>
    <definedName name="hamptfiscal">#REF!</definedName>
    <definedName name="HERSHEY">#REF!</definedName>
    <definedName name="HI">#REF!</definedName>
    <definedName name="HIAM00">#REF!</definedName>
    <definedName name="HIAM01">#REF!</definedName>
    <definedName name="hiamfiscal">#REF!</definedName>
    <definedName name="Howell">#REF!</definedName>
    <definedName name="IA">#REF!</definedName>
    <definedName name="IAAM00">#REF!</definedName>
    <definedName name="IAAM01">#REF!</definedName>
    <definedName name="iaamfiscal">#REF!</definedName>
    <definedName name="IL">#REF!</definedName>
    <definedName name="ILAM00">#REF!</definedName>
    <definedName name="ILAM01">#REF!</definedName>
    <definedName name="ilamfiscal">#REF!</definedName>
    <definedName name="ILL">#REF!</definedName>
    <definedName name="ILLCORP">#REF!</definedName>
    <definedName name="ILLINOIS">#REF!</definedName>
    <definedName name="Impact">#REF!</definedName>
    <definedName name="IN">#REF!</definedName>
    <definedName name="INAM00">#REF!</definedName>
    <definedName name="INAM01">#REF!</definedName>
    <definedName name="inamfiscal">#REF!</definedName>
    <definedName name="IND">#REF!</definedName>
    <definedName name="INDCORP">#REF!</definedName>
    <definedName name="INDIANA">#REF!</definedName>
    <definedName name="INFO">#REF!</definedName>
    <definedName name="INT">#REF!</definedName>
    <definedName name="INTERNAL1">#REF!</definedName>
    <definedName name="IntroPrintArea" hidden="1">#REF!</definedName>
    <definedName name="IOA">#REF!</definedName>
    <definedName name="IOACORP">#REF!</definedName>
    <definedName name="IOWA">#REF!</definedName>
    <definedName name="IowaCurves">#REF!</definedName>
    <definedName name="ipSexCod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_CO">#REF!</definedName>
    <definedName name="IS_FIN">#REF!</definedName>
    <definedName name="IS_PC">#REF!</definedName>
    <definedName name="IS2_CL">#REF!</definedName>
    <definedName name="IS2_QC">#REF!</definedName>
    <definedName name="IS2_TOT">#REF!</definedName>
    <definedName name="IS3_ALL">#REF!</definedName>
    <definedName name="j">#REF!</definedName>
    <definedName name="JCWC00">#REF!</definedName>
    <definedName name="JCWC01">#REF!</definedName>
    <definedName name="jcwcfiscal">#REF!</definedName>
    <definedName name="JE">#REF!</definedName>
    <definedName name="jj">#REF!</definedName>
    <definedName name="joe">#REF!</definedName>
    <definedName name="JOP">#REF!</definedName>
    <definedName name="JOURNAL">#REF!</definedName>
    <definedName name="JOURNAL_ENTRY">#REF!</definedName>
    <definedName name="jp">#REF!</definedName>
    <definedName name="kk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OK">#REF!</definedName>
    <definedName name="KY">#REF!</definedName>
    <definedName name="KYAM00">#REF!</definedName>
    <definedName name="KYAM01">#REF!</definedName>
    <definedName name="kyamfiscal">#REF!</definedName>
    <definedName name="l">#REF!</definedName>
    <definedName name="LI">#REF!</definedName>
    <definedName name="LinkList">#REF!</definedName>
    <definedName name="LIST">#REF!</definedName>
    <definedName name="LIST2">#REF!</definedName>
    <definedName name="LIWC00">#REF!</definedName>
    <definedName name="LIWC01">#REF!</definedName>
    <definedName name="liwcfiscal">#REF!</definedName>
    <definedName name="lkdeferral">#REF!</definedName>
    <definedName name="LS">#REF!</definedName>
    <definedName name="LSDiscountRate">#REF!</definedName>
    <definedName name="LTDebt">#REF!</definedName>
    <definedName name="MA_ENGIN">#REF!</definedName>
    <definedName name="MA_OH">#REF!</definedName>
    <definedName name="MA_OM">#REF!</definedName>
    <definedName name="MA_OTHER">#REF!</definedName>
    <definedName name="MA_RESID">#REF!</definedName>
    <definedName name="MA_UNDER">#REF!</definedName>
    <definedName name="MAAM00">#REF!</definedName>
    <definedName name="MAAM01">#REF!</definedName>
    <definedName name="maamfiscal">#REF!</definedName>
    <definedName name="MAXLINES">#REF!</definedName>
    <definedName name="MD">#REF!</definedName>
    <definedName name="MDAM00">#REF!</definedName>
    <definedName name="MDAM01">#REF!</definedName>
    <definedName name="mdamfiscal">#REF!</definedName>
    <definedName name="MIAM00">#REF!</definedName>
    <definedName name="MIAM01">#REF!</definedName>
    <definedName name="miamfiscal">#REF!</definedName>
    <definedName name="MO">#REF!</definedName>
    <definedName name="MOA">#REF!</definedName>
    <definedName name="MOACORP">#REF!</definedName>
    <definedName name="MOAM00">#REF!</definedName>
    <definedName name="MOAM01">#REF!</definedName>
    <definedName name="moamfiscal">#REF!</definedName>
    <definedName name="Month">#REF!</definedName>
    <definedName name="MonthNum">#REF!</definedName>
    <definedName name="monthtext">#REF!</definedName>
    <definedName name="MUN">#REF!</definedName>
    <definedName name="name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bll" localSheetId="3" hidden="1">{"Graph SBU by Year 1997_2000",#N/A,FALSE,"Strategic Business Lines"}</definedName>
    <definedName name="nbll" hidden="1">{"Graph SBU by Year 1997_2000",#N/A,FALSE,"Strategic Business Lines"}</definedName>
    <definedName name="nbvfd" localSheetId="3" hidden="1">{"Graph SBU by Year 1997_2000",#N/A,FALSE,"Strategic Business Lines"}</definedName>
    <definedName name="nbvfd" hidden="1">{"Graph SBU by Year 1997_2000",#N/A,FALSE,"Strategic Business Lines"}</definedName>
    <definedName name="ND_ENGIN">#REF!</definedName>
    <definedName name="ND_OH">#REF!</definedName>
    <definedName name="ND_OM">#REF!</definedName>
    <definedName name="ND_OTHER">#REF!</definedName>
    <definedName name="ND_RESID">#REF!</definedName>
    <definedName name="ND_UNDER">#REF!</definedName>
    <definedName name="NE_ENGIN">#REF!</definedName>
    <definedName name="NE_OH">#REF!</definedName>
    <definedName name="NE_OM">#REF!</definedName>
    <definedName name="NE_OTHER">#REF!</definedName>
    <definedName name="NE_RESID">#REF!</definedName>
    <definedName name="NE_UNDER">#REF!</definedName>
    <definedName name="NEWCOSTS">#REF!</definedName>
    <definedName name="NEWPRINT">#REF!</definedName>
    <definedName name="NJ">#REF!</definedName>
    <definedName name="NJAM00">#REF!</definedName>
    <definedName name="NJAM01">#REF!</definedName>
    <definedName name="njamfiscal">#REF!</definedName>
    <definedName name="NM">#REF!</definedName>
    <definedName name="NMAM00">#REF!</definedName>
    <definedName name="NMAM01">#REF!</definedName>
    <definedName name="nmamfiscal">#REF!</definedName>
    <definedName name="NO_NEI">#REF!</definedName>
    <definedName name="nom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RTHEAST">#REF!</definedName>
    <definedName name="NOSH">#REF!</definedName>
    <definedName name="NOTES">#REF!</definedName>
    <definedName name="now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W_ENGIN">#REF!</definedName>
    <definedName name="NW_OH">#REF!</definedName>
    <definedName name="NW_OM">#REF!</definedName>
    <definedName name="NW_OTHER">#REF!</definedName>
    <definedName name="NW_RESID">#REF!</definedName>
    <definedName name="NW_UNDER">#REF!</definedName>
    <definedName name="NYAM00">#REF!</definedName>
    <definedName name="NYAM01">#REF!</definedName>
    <definedName name="nyamfiscal">#REF!</definedName>
    <definedName name="o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o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OCCAMT">#REF!</definedName>
    <definedName name="OH">#REF!</definedName>
    <definedName name="OH_ADJ">#REF!</definedName>
    <definedName name="OH_COMM">#REF!</definedName>
    <definedName name="OH_EL">#REF!</definedName>
    <definedName name="OH_EXEC">#REF!</definedName>
    <definedName name="OH_FIN">#REF!</definedName>
    <definedName name="OH_HR">#REF!</definedName>
    <definedName name="OH_LEGAL">#REF!</definedName>
    <definedName name="OH_MKT">#REF!</definedName>
    <definedName name="OH_OPS">#REF!</definedName>
    <definedName name="OH_OTH">#REF!</definedName>
    <definedName name="OH_PR">#REF!</definedName>
    <definedName name="OHA">#REF!</definedName>
    <definedName name="OHAM00">#REF!</definedName>
    <definedName name="OHAM01">#REF!</definedName>
    <definedName name="ohamfiscal">#REF!</definedName>
    <definedName name="ok">#REF!</definedName>
    <definedName name="OM_AR" localSheetId="3">#REF!,#REF!,#REF!,#REF!,#REF!,#REF!,#REF!,#REF!</definedName>
    <definedName name="OM_AR">#REF!,#REF!,#REF!,#REF!,#REF!,#REF!,#REF!,#REF!</definedName>
    <definedName name="OMI">#REF!</definedName>
    <definedName name="ORCOM">#REF!</definedName>
    <definedName name="OverEarn_Amount">#REF!</definedName>
    <definedName name="OverEarn_Switch">#REF!</definedName>
    <definedName name="OverEarnCap_Switch">#REF!</definedName>
    <definedName name="p">#REF!</definedName>
    <definedName name="PA">#REF!</definedName>
    <definedName name="PAAM00">#REF!</definedName>
    <definedName name="PAAM01">#REF!</definedName>
    <definedName name="paamfiscal">#REF!</definedName>
    <definedName name="PAGE1">#REF!</definedName>
    <definedName name="PAGE2">#REF!</definedName>
    <definedName name="pain">#REF!</definedName>
    <definedName name="PCALOC">#REF!</definedName>
    <definedName name="PEK">#REF!</definedName>
    <definedName name="PEO">#REF!</definedName>
    <definedName name="PERIOD_END">#REF!</definedName>
    <definedName name="period12">#REF!</definedName>
    <definedName name="Period6">#REF!</definedName>
    <definedName name="PFRate">#REF!</definedName>
    <definedName name="PFYE">#REF!</definedName>
    <definedName name="pj">#REF!</definedName>
    <definedName name="PlantAccounts">#REF!</definedName>
    <definedName name="poil">#REF!</definedName>
    <definedName name="poll">#REF!</definedName>
    <definedName name="pop">#REF!</definedName>
    <definedName name="ppp">#REF!</definedName>
    <definedName name="PrefStk">#REF!</definedName>
    <definedName name="PREPARED_BY">#REF!</definedName>
    <definedName name="PREPARED_DATE">#REF!</definedName>
    <definedName name="Prgm" localSheetId="3" hidden="1">{#N/A,#N/A,FALSE,"Score EP";#N/A,#N/A,FALSE,"Score STB";#N/A,#N/A,FALSE,"Score IMPL";#N/A,#N/A,FALSE,"Score RoS";#N/A,#N/A,FALSE,"Score QoL";#N/A,#N/A,FALSE,"Score FS"}</definedName>
    <definedName name="Prgm" hidden="1">{#N/A,#N/A,FALSE,"Score EP";#N/A,#N/A,FALSE,"Score STB";#N/A,#N/A,FALSE,"Score IMPL";#N/A,#N/A,FALSE,"Score RoS";#N/A,#N/A,FALSE,"Score QoL";#N/A,#N/A,FALSE,"Score FS"}</definedName>
    <definedName name="PRINT">#REF!</definedName>
    <definedName name="_xlnm.Print_Area" localSheetId="3">'Gross Revenue Conversion Factor'!$A$1:$G$36</definedName>
    <definedName name="_xlnm.Print_Area" localSheetId="1">'QIP 1-5'!$A$1:$H$43</definedName>
    <definedName name="_xlnm.Print_Area" localSheetId="2">'QIP 4 Balancing Adjustment'!$A$1:$G$50</definedName>
    <definedName name="_xlnm.Print_Area" localSheetId="0">'QIP 6+'!$A$1:$C$45</definedName>
    <definedName name="_xlnm.Print_Area" localSheetId="5">'QIP ADIT'!$A$1:$V$61</definedName>
    <definedName name="_xlnm.Print_Area" localSheetId="4">'QIP Capital &amp; Expense'!$A$1:$AH$90</definedName>
    <definedName name="_xlnm.Print_Area">#REF!</definedName>
    <definedName name="Print_Area_MI" localSheetId="3">#REF!</definedName>
    <definedName name="Print_Area_MI">#REF!</definedName>
    <definedName name="_xlnm.Print_Titles" localSheetId="4">'QIP Capital &amp; Expense'!$A:$D,'QIP Capital &amp; Expense'!$1:$4</definedName>
    <definedName name="_xlnm.Print_Titles">#N/A</definedName>
    <definedName name="PRINT_TITLES_MI" localSheetId="3">#REF!</definedName>
    <definedName name="PRINT_TITLES_MI">#REF!</definedName>
    <definedName name="PRINT2000" localSheetId="3">#REF!</definedName>
    <definedName name="PRINT2000">#REF!</definedName>
    <definedName name="PRINT2001">#REF!</definedName>
    <definedName name="Program" localSheetId="3" hidden="1">{#N/A,#N/A,FALSE,"Score EP";#N/A,#N/A,FALSE,"Score STB";#N/A,#N/A,FALSE,"Score IMPL";#N/A,#N/A,FALSE,"Score RoS";#N/A,#N/A,FALSE,"Score QoL";#N/A,#N/A,FALSE,"Score FS"}</definedName>
    <definedName name="Program" hidden="1">{#N/A,#N/A,FALSE,"Score EP";#N/A,#N/A,FALSE,"Score STB";#N/A,#N/A,FALSE,"Score IMPL";#N/A,#N/A,FALSE,"Score RoS";#N/A,#N/A,FALSE,"Score QoL";#N/A,#N/A,FALSE,"Score FS"}</definedName>
    <definedName name="pull">#REF!</definedName>
    <definedName name="PurposeCode">#REF!</definedName>
    <definedName name="PY2AsOf">#REF!</definedName>
    <definedName name="PY3AsOf">#REF!</definedName>
    <definedName name="PYAsOf">#REF!</definedName>
    <definedName name="QC">#REF!</definedName>
    <definedName name="QUERY">#REF!</definedName>
    <definedName name="Query1">#REF!</definedName>
    <definedName name="RANGE">#REF!</definedName>
    <definedName name="rate2006">#REF!</definedName>
    <definedName name="rate2007">#REF!</definedName>
    <definedName name="RateAreas">#REF!</definedName>
    <definedName name="REGION_1">#REF!</definedName>
    <definedName name="REGION_2">#REF!</definedName>
    <definedName name="RIC">#REF!</definedName>
    <definedName name="RICHMOND">#REF!</definedName>
    <definedName name="Rider_Graph" localSheetId="3" hidden="1">{#N/A,#N/A,FALSE,"Score EP";#N/A,#N/A,FALSE,"Score STB";#N/A,#N/A,FALSE,"Score IMPL";#N/A,#N/A,FALSE,"Score RoS";#N/A,#N/A,FALSE,"Score QoL";#N/A,#N/A,FALSE,"Score FS"}</definedName>
    <definedName name="Rider_Graph" hidden="1">{#N/A,#N/A,FALSE,"Score EP";#N/A,#N/A,FALSE,"Score STB";#N/A,#N/A,FALSE,"Score IMPL";#N/A,#N/A,FALSE,"Score RoS";#N/A,#N/A,FALSE,"Score QoL";#N/A,#N/A,FALSE,"Score FS"}</definedName>
    <definedName name="RRD___2P1A">#REF!</definedName>
    <definedName name="RRD1P1">#REF!</definedName>
    <definedName name="RRD1P1a">#REF!</definedName>
    <definedName name="RRD1P2A">#REF!</definedName>
    <definedName name="RRD1P2B">#REF!</definedName>
    <definedName name="RRD1P3">#REF!</definedName>
    <definedName name="RRD1P4">#REF!</definedName>
    <definedName name="RRD1P5">#REF!</definedName>
    <definedName name="RRD1P6">#REF!</definedName>
    <definedName name="RRD1P7">#REF!</definedName>
    <definedName name="RRD3P10">#REF!</definedName>
    <definedName name="RRD3P11">#REF!</definedName>
    <definedName name="RRD3P3">#REF!</definedName>
    <definedName name="RRD3P4">#REF!</definedName>
    <definedName name="RRD3P5">#REF!</definedName>
    <definedName name="RRD3P6">#REF!</definedName>
    <definedName name="RRD3P9">#REF!</definedName>
    <definedName name="SALI00">#REF!</definedName>
    <definedName name="SALI01">#REF!</definedName>
    <definedName name="salisfiscal">#REF!</definedName>
    <definedName name="SAPCrosstab1">#REF!</definedName>
    <definedName name="Sc1PG2">#REF!</definedName>
    <definedName name="SCH_B">#REF!</definedName>
    <definedName name="Sch2Pg2">#REF!</definedName>
    <definedName name="Sch3Pg2">#REF!</definedName>
    <definedName name="Sch4_pg2">#REF!</definedName>
    <definedName name="Sch4_pg3">#REF!</definedName>
    <definedName name="Sch4_pg4">#REF!</definedName>
    <definedName name="Sch4_pg5">#REF!</definedName>
    <definedName name="Sch4_pg6">#REF!</definedName>
    <definedName name="Sch6_pg2">#REF!</definedName>
    <definedName name="Sch6_pg3">#REF!</definedName>
    <definedName name="Sch6_pg4">#REF!</definedName>
    <definedName name="Sch7_pg2">#REF!</definedName>
    <definedName name="Sch7_pg3">#REF!</definedName>
    <definedName name="sch8pg1">#REF!</definedName>
    <definedName name="sch8pg2">#REF!</definedName>
    <definedName name="schedule">#REF!</definedName>
    <definedName name="SE_ENGIN">#REF!</definedName>
    <definedName name="SE_OH">#REF!</definedName>
    <definedName name="SE_OM">#REF!</definedName>
    <definedName name="SE_OTHER">#REF!</definedName>
    <definedName name="SE_RESID">#REF!</definedName>
    <definedName name="SE_UNDER">#REF!</definedName>
    <definedName name="Service">#REF!</definedName>
    <definedName name="SEY">#REF!</definedName>
    <definedName name="showme">#REF!</definedName>
    <definedName name="SizingColumn">#REF!</definedName>
    <definedName name="SLCW00">#REF!</definedName>
    <definedName name="SLCW01">#REF!</definedName>
    <definedName name="slcwfiscal">#REF!</definedName>
    <definedName name="SOUTHEAST">#REF!</definedName>
    <definedName name="SPECIALS">#REF!</definedName>
    <definedName name="SRP">#REF!</definedName>
    <definedName name="sss" localSheetId="3" hidden="1">{"TOT_QTR_TO_PREV",#N/A,FALSE,"Site Sum"}</definedName>
    <definedName name="sss" hidden="1">{"TOT_QTR_TO_PREV",#N/A,FALSE,"Site Sum"}</definedName>
    <definedName name="State">#REF!</definedName>
    <definedName name="Status">#REF!</definedName>
    <definedName name="STJ">#REF!</definedName>
    <definedName name="Stuff">#REF!</definedName>
    <definedName name="Summary">#REF!</definedName>
    <definedName name="Support">#REF!</definedName>
    <definedName name="SW_ENGIN">#REF!</definedName>
    <definedName name="SW_OH">#REF!</definedName>
    <definedName name="SW_OM">#REF!</definedName>
    <definedName name="SW_OTHER">#REF!</definedName>
    <definedName name="SW_RESID">#REF!</definedName>
    <definedName name="SW_UNDER">#REF!</definedName>
    <definedName name="sysExpenseLoad">#REF!</definedName>
    <definedName name="sysPlanCode">#REF!</definedName>
    <definedName name="sysValDate">#REF!</definedName>
    <definedName name="T">#REF!</definedName>
    <definedName name="TABLE">#REF!</definedName>
    <definedName name="Task_Order06">#REF!</definedName>
    <definedName name="TaxRate" localSheetId="3">#REF!</definedName>
    <definedName name="TaxRate">#REF!</definedName>
    <definedName name="test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HKEY">#REF!</definedName>
    <definedName name="TESTKEYS">#REF!</definedName>
    <definedName name="TESTVKEY">#REF!</definedName>
    <definedName name="Thorig">#REF!</definedName>
    <definedName name="TN">#REF!</definedName>
    <definedName name="TNAM00">#REF!</definedName>
    <definedName name="TNAM01">#REF!</definedName>
    <definedName name="tnamfiscal">#REF!</definedName>
    <definedName name="ToggleMax">#REF!</definedName>
    <definedName name="tot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o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OTAL">#REF!</definedName>
    <definedName name="TotColControl">#REF!</definedName>
    <definedName name="TP_Footer_Path" hidden="1">"C:\DOCUME~1\kingca\LOCALS~1\Temp\C.NOTEDATA\"</definedName>
    <definedName name="tp_footer_path2" hidden="1">"S:\00270\06ret\othsys\TEAM\12-31-2005 Disclosure (FAS)\"</definedName>
    <definedName name="tp_footer_path3" hidden="1">"S:\00270\06ret\othsys\TEAM\Etown\"</definedName>
    <definedName name="TP_Footer_User" hidden="1">"Kingca"</definedName>
    <definedName name="tp_footer_user2" hidden="1">"PEREZM"</definedName>
    <definedName name="tp_footer_user3" hidden="1">"DECRISS"</definedName>
    <definedName name="TP_Footer_Version" hidden="1">"v3.00"</definedName>
    <definedName name="TX">#REF!</definedName>
    <definedName name="Type">#REF!</definedName>
    <definedName name="UPIS" localSheetId="3">#REF!</definedName>
    <definedName name="UPIS">#REF!</definedName>
    <definedName name="VA">#REF!</definedName>
    <definedName name="VAAM00">#REF!</definedName>
    <definedName name="VAAM01">#REF!</definedName>
    <definedName name="vaamfiscal">#REF!</definedName>
    <definedName name="ValDate">#REF!</definedName>
    <definedName name="valpay">#REF!</definedName>
    <definedName name="VARIANCE">#REF!</definedName>
    <definedName name="VARIANCEHEAD">#REF!</definedName>
    <definedName name="WAB">#REF!</definedName>
    <definedName name="warn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st" localSheetId="3" hidden="1">{"Co1statements",#N/A,FALSE,"Cmpy1";"Co2statement",#N/A,FALSE,"Cmpy2";"co1pm",#N/A,FALSE,"Co1PM";"co2PM",#N/A,FALSE,"Co2PM";"value",#N/A,FALSE,"value";"opco",#N/A,FALSE,"NewSparkle";"adjusts",#N/A,FALSE,"Adjustments"}</definedName>
    <definedName name="warnst" hidden="1">{"Co1statements",#N/A,FALSE,"Cmpy1";"Co2statement",#N/A,FALSE,"Cmpy2";"co1pm",#N/A,FALSE,"Co1PM";"co2PM",#N/A,FALSE,"Co2PM";"value",#N/A,FALSE,"value";"opco",#N/A,FALSE,"NewSparkle";"adjusts",#N/A,FALSE,"Adjustments"}</definedName>
    <definedName name="WESTERN">#REF!</definedName>
    <definedName name="what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1" localSheetId="3" hidden="1">{"TOT_QTR_TO_PREV",#N/A,FALSE,"Site Sum"}</definedName>
    <definedName name="what1" hidden="1">{"TOT_QTR_TO_PREV",#N/A,FALSE,"Site Sum"}</definedName>
    <definedName name="what2" localSheetId="3" hidden="1">{"TOT_QTR_TO_PREV",#N/A,FALSE,"Site Sum"}</definedName>
    <definedName name="what2" hidden="1">{"TOT_QTR_TO_PREV",#N/A,FALSE,"Site Sum"}</definedName>
    <definedName name="what25" localSheetId="3" hidden="1">{"TOT_QTR_TO_PREV",#N/A,FALSE,"Site Sum"}</definedName>
    <definedName name="what25" hidden="1">{"TOT_QTR_TO_PREV",#N/A,FALSE,"Site Sum"}</definedName>
    <definedName name="what2a" localSheetId="3" hidden="1">{"TOT_QTR_TO_PREV",#N/A,FALSE,"Site Sum"}</definedName>
    <definedName name="what2a" hidden="1">{"TOT_QTR_TO_PREV",#N/A,FALSE,"Site Sum"}</definedName>
    <definedName name="what3" localSheetId="3" hidden="1">{"TOT_QTR_TO_PREV",#N/A,FALSE,"Site Sum"}</definedName>
    <definedName name="what3" hidden="1">{"TOT_QTR_TO_PREV",#N/A,FALSE,"Site Sum"}</definedName>
    <definedName name="what335" localSheetId="3" hidden="1">{"TOT_QTR_TO_PREV",#N/A,FALSE,"Site Sum"}</definedName>
    <definedName name="what335" hidden="1">{"TOT_QTR_TO_PREV",#N/A,FALSE,"Site Sum"}</definedName>
    <definedName name="what4" localSheetId="3" hidden="1">{"TOT_QTR_TO_PREV",#N/A,FALSE,"Site Sum"}</definedName>
    <definedName name="what4" hidden="1">{"TOT_QTR_TO_PREV",#N/A,FALSE,"Site Sum"}</definedName>
    <definedName name="what5" localSheetId="3" hidden="1">{"TOT_QTR_TO_PREV",#N/A,FALSE,"Site Sum"}</definedName>
    <definedName name="what5" hidden="1">{"TOT_QTR_TO_PREV",#N/A,FALSE,"Site Sum"}</definedName>
    <definedName name="what6" localSheetId="3" hidden="1">{"TOT_QTR_TO_PREV",#N/A,FALSE,"Site Sum"}</definedName>
    <definedName name="what6" hidden="1">{"TOT_QTR_TO_PREV",#N/A,FALSE,"Site Sum"}</definedName>
    <definedName name="WhatIf03">#REF!</definedName>
    <definedName name="WhatIf04">#REF!</definedName>
    <definedName name="WhatIf05">#REF!</definedName>
    <definedName name="WhatIf06">#REF!</definedName>
    <definedName name="WhatIfOp">#REF!</definedName>
    <definedName name="where" localSheetId="3" hidden="1">{"TOT_QTR_TO_PREV",#N/A,FALSE,"Site Sum"}</definedName>
    <definedName name="where" hidden="1">{"TOT_QTR_TO_PREV",#N/A,FALSE,"Site Sum"}</definedName>
    <definedName name="Work_Order07">#REF!</definedName>
    <definedName name="wrn.All._.Pages.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Graph._.SBU._.by._.Year._.1997_2000." localSheetId="3" hidden="1">{"Graph SBU by Year 1997_2000",#N/A,FALSE,"Strategic Business Lines"}</definedName>
    <definedName name="wrn.Graph._.SBU._.by._.Year._.1997_2000." hidden="1">{"Graph SBU by Year 1997_2000",#N/A,FALSE,"Strategic Business Lines"}</definedName>
    <definedName name="wrn.Graph._.SBU._.Contribution._.1997_2000." localSheetId="3" hidden="1">{"Graph_SBU_Contirbution 1991_2000",#N/A,FALSE,"Strategic Business Lines"}</definedName>
    <definedName name="wrn.Graph._.SBU._.Contribution._.1997_2000." hidden="1">{"Graph_SBU_Contirbution 1991_2000",#N/A,FALSE,"Strategic Business Lines"}</definedName>
    <definedName name="wrn.Graph._SBU._.by._.Year._.1997_2001." localSheetId="3" hidden="1">{"Graph SBU by Year 1997_2000",#N/A,FALSE,"Strategic Business Lines"}</definedName>
    <definedName name="wrn.Graph._SBU._.by._.Year._.1997_2001." hidden="1">{"Graph SBU by Year 1997_2000",#N/A,FALSE,"Strategic Business Lines"}</definedName>
    <definedName name="wrn.Input._.Print._.Area." localSheetId="3" hidden="1">{#N/A,#N/A,FALSE,"inputs";#N/A,#N/A,FALSE,"inputs"}</definedName>
    <definedName name="wrn.Input._.Print._.Area." hidden="1">{#N/A,#N/A,FALSE,"inputs";#N/A,#N/A,FALSE,"inputs"}</definedName>
    <definedName name="wrn.Score._.forms." localSheetId="3" hidden="1">{#N/A,#N/A,FALSE,"Score EP";#N/A,#N/A,FALSE,"Score STB";#N/A,#N/A,FALSE,"Score IMPL";#N/A,#N/A,FALSE,"Score RoS";#N/A,#N/A,FALSE,"Score QoL";#N/A,#N/A,FALSE,"Score FS"}</definedName>
    <definedName name="wrn.Score._.forms." hidden="1">{#N/A,#N/A,FALSE,"Score EP";#N/A,#N/A,FALSE,"Score STB";#N/A,#N/A,FALSE,"Score IMPL";#N/A,#N/A,FALSE,"Score RoS";#N/A,#N/A,FALSE,"Score QoL";#N/A,#N/A,FALSE,"Score FS"}</definedName>
    <definedName name="wrn.Statements." localSheetId="3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Table._.SBU._.1996_2002." localSheetId="3" hidden="1">{"SBU Numbers 1996_2002",#N/A,FALSE,"Strategic Business Lines"}</definedName>
    <definedName name="wrn.Table._.SBU._.1996_2002." hidden="1">{"SBU Numbers 1996_2002",#N/A,FALSE,"Strategic Business Lines"}</definedName>
    <definedName name="wrn.Wkp._.Capital._.Structure." localSheetId="3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1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2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0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5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localSheetId="3" hidden="1">{"Wkp ComEquity",#N/A,FALSE,"Cap Struct WPs"}</definedName>
    <definedName name="wrn.Wkp._.ComEquity." localSheetId="1" hidden="1">{"Wkp ComEquity",#N/A,FALSE,"Cap Struct WPs"}</definedName>
    <definedName name="wrn.Wkp._.ComEquity." localSheetId="2" hidden="1">{"Wkp ComEquity",#N/A,FALSE,"Cap Struct WPs"}</definedName>
    <definedName name="wrn.Wkp._.ComEquity." localSheetId="0" hidden="1">{"Wkp ComEquity",#N/A,FALSE,"Cap Struct WPs"}</definedName>
    <definedName name="wrn.Wkp._.ComEquity." localSheetId="5" hidden="1">{"Wkp ComEquity",#N/A,FALSE,"Cap Struct WPs"}</definedName>
    <definedName name="wrn.Wkp._.ComEquity." hidden="1">{"Wkp ComEquity",#N/A,FALSE,"Cap Struct WPs"}</definedName>
    <definedName name="wrn.Wkp._.JDITC." localSheetId="3" hidden="1">{"Wkp JDITC",#N/A,FALSE,"Cap Struct WPs"}</definedName>
    <definedName name="wrn.Wkp._.JDITC." localSheetId="1" hidden="1">{"Wkp JDITC",#N/A,FALSE,"Cap Struct WPs"}</definedName>
    <definedName name="wrn.Wkp._.JDITC." localSheetId="2" hidden="1">{"Wkp JDITC",#N/A,FALSE,"Cap Struct WPs"}</definedName>
    <definedName name="wrn.Wkp._.JDITC." localSheetId="0" hidden="1">{"Wkp JDITC",#N/A,FALSE,"Cap Struct WPs"}</definedName>
    <definedName name="wrn.Wkp._.JDITC." localSheetId="5" hidden="1">{"Wkp JDITC",#N/A,FALSE,"Cap Struct WPs"}</definedName>
    <definedName name="wrn.Wkp._.JDITC." hidden="1">{"Wkp JDITC",#N/A,FALSE,"Cap Struct WPs"}</definedName>
    <definedName name="wrn.Wkp._.LTerm._.Debt." localSheetId="3" hidden="1">{"Wkp LTerm Debt",#N/A,FALSE,"Cap Struct WPs"}</definedName>
    <definedName name="wrn.Wkp._.LTerm._.Debt." localSheetId="1" hidden="1">{"Wkp LTerm Debt",#N/A,FALSE,"Cap Struct WPs"}</definedName>
    <definedName name="wrn.Wkp._.LTerm._.Debt." localSheetId="2" hidden="1">{"Wkp LTerm Debt",#N/A,FALSE,"Cap Struct WPs"}</definedName>
    <definedName name="wrn.Wkp._.LTerm._.Debt." localSheetId="0" hidden="1">{"Wkp LTerm Debt",#N/A,FALSE,"Cap Struct WPs"}</definedName>
    <definedName name="wrn.Wkp._.LTerm._.Debt." localSheetId="5" hidden="1">{"Wkp LTerm Debt",#N/A,FALSE,"Cap Struct WPs"}</definedName>
    <definedName name="wrn.Wkp._.LTerm._.Debt." hidden="1">{"Wkp LTerm Debt",#N/A,FALSE,"Cap Struct WPs"}</definedName>
    <definedName name="wrn.Wkp._.LTerm._.Debt._.13Mo._.Avg." localSheetId="3" hidden="1">{"Wkp LTerm Debt 13MoAvg",#N/A,FALSE,"Cap Struct WPs"}</definedName>
    <definedName name="wrn.Wkp._.LTerm._.Debt._.13Mo._.Avg." localSheetId="1" hidden="1">{"Wkp LTerm Debt 13MoAvg",#N/A,FALSE,"Cap Struct WPs"}</definedName>
    <definedName name="wrn.Wkp._.LTerm._.Debt._.13Mo._.Avg." localSheetId="2" hidden="1">{"Wkp LTerm Debt 13MoAvg",#N/A,FALSE,"Cap Struct WPs"}</definedName>
    <definedName name="wrn.Wkp._.LTerm._.Debt._.13Mo._.Avg." localSheetId="0" hidden="1">{"Wkp LTerm Debt 13MoAvg",#N/A,FALSE,"Cap Struct WPs"}</definedName>
    <definedName name="wrn.Wkp._.LTerm._.Debt._.13Mo._.Avg." localSheetId="5" hidden="1">{"Wkp LTerm Debt 13MoAvg",#N/A,FALSE,"Cap Struct WPs"}</definedName>
    <definedName name="wrn.Wkp._.LTerm._.Debt._.13Mo._.Avg." hidden="1">{"Wkp LTerm Debt 13MoAvg",#N/A,FALSE,"Cap Struct WPs"}</definedName>
    <definedName name="wrn.Wkp._.LTerm._.Debt._.Amort." localSheetId="3" hidden="1">{"Wkp Lterm Debt Amort",#N/A,FALSE,"Cap Struct WPs"}</definedName>
    <definedName name="wrn.Wkp._.LTerm._.Debt._.Amort." localSheetId="1" hidden="1">{"Wkp Lterm Debt Amort",#N/A,FALSE,"Cap Struct WPs"}</definedName>
    <definedName name="wrn.Wkp._.LTerm._.Debt._.Amort." localSheetId="2" hidden="1">{"Wkp Lterm Debt Amort",#N/A,FALSE,"Cap Struct WPs"}</definedName>
    <definedName name="wrn.Wkp._.LTerm._.Debt._.Amort." localSheetId="0" hidden="1">{"Wkp Lterm Debt Amort",#N/A,FALSE,"Cap Struct WPs"}</definedName>
    <definedName name="wrn.Wkp._.LTerm._.Debt._.Amort." localSheetId="5" hidden="1">{"Wkp Lterm Debt Amort",#N/A,FALSE,"Cap Struct WPs"}</definedName>
    <definedName name="wrn.Wkp._.LTerm._.Debt._.Amort." hidden="1">{"Wkp Lterm Debt Amort",#N/A,FALSE,"Cap Struct WPs"}</definedName>
    <definedName name="wrn.Wkp._.LTerm._.Debt._.Int." localSheetId="3" hidden="1">{"Wkp LTerm Debt Int",#N/A,FALSE,"Cap Struct WPs"}</definedName>
    <definedName name="wrn.Wkp._.LTerm._.Debt._.Int." localSheetId="1" hidden="1">{"Wkp LTerm Debt Int",#N/A,FALSE,"Cap Struct WPs"}</definedName>
    <definedName name="wrn.Wkp._.LTerm._.Debt._.Int." localSheetId="2" hidden="1">{"Wkp LTerm Debt Int",#N/A,FALSE,"Cap Struct WPs"}</definedName>
    <definedName name="wrn.Wkp._.LTerm._.Debt._.Int." localSheetId="0" hidden="1">{"Wkp LTerm Debt Int",#N/A,FALSE,"Cap Struct WPs"}</definedName>
    <definedName name="wrn.Wkp._.LTerm._.Debt._.Int." localSheetId="5" hidden="1">{"Wkp LTerm Debt Int",#N/A,FALSE,"Cap Struct WPs"}</definedName>
    <definedName name="wrn.Wkp._.LTerm._.Debt._.Int." hidden="1">{"Wkp LTerm Debt Int",#N/A,FALSE,"Cap Struct WPs"}</definedName>
    <definedName name="wrn.Wkp._.PreStock." localSheetId="3" hidden="1">{"Wkp PreStock",#N/A,FALSE,"Cap Struct WPs"}</definedName>
    <definedName name="wrn.Wkp._.PreStock." localSheetId="1" hidden="1">{"Wkp PreStock",#N/A,FALSE,"Cap Struct WPs"}</definedName>
    <definedName name="wrn.Wkp._.PreStock." localSheetId="2" hidden="1">{"Wkp PreStock",#N/A,FALSE,"Cap Struct WPs"}</definedName>
    <definedName name="wrn.Wkp._.PreStock." localSheetId="0" hidden="1">{"Wkp PreStock",#N/A,FALSE,"Cap Struct WPs"}</definedName>
    <definedName name="wrn.Wkp._.PreStock." localSheetId="5" hidden="1">{"Wkp PreStock",#N/A,FALSE,"Cap Struct WPs"}</definedName>
    <definedName name="wrn.Wkp._.PreStock." hidden="1">{"Wkp PreStock",#N/A,FALSE,"Cap Struct WPs"}</definedName>
    <definedName name="wrn.Wkp._.PreStock._.13MoAvg." localSheetId="3" hidden="1">{"Wkp PreStock 13MoAvg",#N/A,FALSE,"Cap Struct WPs"}</definedName>
    <definedName name="wrn.Wkp._.PreStock._.13MoAvg." localSheetId="1" hidden="1">{"Wkp PreStock 13MoAvg",#N/A,FALSE,"Cap Struct WPs"}</definedName>
    <definedName name="wrn.Wkp._.PreStock._.13MoAvg." localSheetId="2" hidden="1">{"Wkp PreStock 13MoAvg",#N/A,FALSE,"Cap Struct WPs"}</definedName>
    <definedName name="wrn.Wkp._.PreStock._.13MoAvg." localSheetId="0" hidden="1">{"Wkp PreStock 13MoAvg",#N/A,FALSE,"Cap Struct WPs"}</definedName>
    <definedName name="wrn.Wkp._.PreStock._.13MoAvg." localSheetId="5" hidden="1">{"Wkp PreStock 13MoAvg",#N/A,FALSE,"Cap Struct WPs"}</definedName>
    <definedName name="wrn.Wkp._.PreStock._.13MoAvg." hidden="1">{"Wkp PreStock 13MoAvg",#N/A,FALSE,"Cap Struct WPs"}</definedName>
    <definedName name="wrn.Wkp._.PreStock._.Amort." localSheetId="3" hidden="1">{"Wkp PreStock Amort",#N/A,FALSE,"Cap Struct WPs"}</definedName>
    <definedName name="wrn.Wkp._.PreStock._.Amort." localSheetId="1" hidden="1">{"Wkp PreStock Amort",#N/A,FALSE,"Cap Struct WPs"}</definedName>
    <definedName name="wrn.Wkp._.PreStock._.Amort." localSheetId="2" hidden="1">{"Wkp PreStock Amort",#N/A,FALSE,"Cap Struct WPs"}</definedName>
    <definedName name="wrn.Wkp._.PreStock._.Amort." localSheetId="0" hidden="1">{"Wkp PreStock Amort",#N/A,FALSE,"Cap Struct WPs"}</definedName>
    <definedName name="wrn.Wkp._.PreStock._.Amort." localSheetId="5" hidden="1">{"Wkp PreStock Amort",#N/A,FALSE,"Cap Struct WPs"}</definedName>
    <definedName name="wrn.Wkp._.PreStock._.Amort." hidden="1">{"Wkp PreStock Amort",#N/A,FALSE,"Cap Struct WPs"}</definedName>
    <definedName name="wrn.Wkp._.PreStock._.Dividend." localSheetId="3" hidden="1">{"Wkp PreStock Dividend",#N/A,FALSE,"Cap Struct WPs"}</definedName>
    <definedName name="wrn.Wkp._.PreStock._.Dividend." localSheetId="1" hidden="1">{"Wkp PreStock Dividend",#N/A,FALSE,"Cap Struct WPs"}</definedName>
    <definedName name="wrn.Wkp._.PreStock._.Dividend." localSheetId="2" hidden="1">{"Wkp PreStock Dividend",#N/A,FALSE,"Cap Struct WPs"}</definedName>
    <definedName name="wrn.Wkp._.PreStock._.Dividend." localSheetId="0" hidden="1">{"Wkp PreStock Dividend",#N/A,FALSE,"Cap Struct WPs"}</definedName>
    <definedName name="wrn.Wkp._.PreStock._.Dividend." localSheetId="5" hidden="1">{"Wkp PreStock Dividend",#N/A,FALSE,"Cap Struct WPs"}</definedName>
    <definedName name="wrn.Wkp._.PreStock._.Dividend." hidden="1">{"Wkp PreStock Dividend",#N/A,FALSE,"Cap Struct WPs"}</definedName>
    <definedName name="wrn.Wkp._.STerm._.Debt." localSheetId="3" hidden="1">{"Wkp STerm Debt",#N/A,FALSE,"Cap Struct WPs"}</definedName>
    <definedName name="wrn.Wkp._.STerm._.Debt." localSheetId="1" hidden="1">{"Wkp STerm Debt",#N/A,FALSE,"Cap Struct WPs"}</definedName>
    <definedName name="wrn.Wkp._.STerm._.Debt." localSheetId="2" hidden="1">{"Wkp STerm Debt",#N/A,FALSE,"Cap Struct WPs"}</definedName>
    <definedName name="wrn.Wkp._.STerm._.Debt." localSheetId="0" hidden="1">{"Wkp STerm Debt",#N/A,FALSE,"Cap Struct WPs"}</definedName>
    <definedName name="wrn.Wkp._.STerm._.Debt." localSheetId="5" hidden="1">{"Wkp STerm Debt",#N/A,FALSE,"Cap Struct WPs"}</definedName>
    <definedName name="wrn.Wkp._.STerm._.Debt." hidden="1">{"Wkp STerm Debt",#N/A,FALSE,"Cap Struct WPs"}</definedName>
    <definedName name="wrn.Wkp._.Unamort._.Debt._.Exp." localSheetId="3" hidden="1">{"Wkp Unamort Debt Exp",#N/A,FALSE,"Cap Struct WPs"}</definedName>
    <definedName name="wrn.Wkp._.Unamort._.Debt._.Exp." localSheetId="1" hidden="1">{"Wkp Unamort Debt Exp",#N/A,FALSE,"Cap Struct WPs"}</definedName>
    <definedName name="wrn.Wkp._.Unamort._.Debt._.Exp." localSheetId="2" hidden="1">{"Wkp Unamort Debt Exp",#N/A,FALSE,"Cap Struct WPs"}</definedName>
    <definedName name="wrn.Wkp._.Unamort._.Debt._.Exp." localSheetId="0" hidden="1">{"Wkp Unamort Debt Exp",#N/A,FALSE,"Cap Struct WPs"}</definedName>
    <definedName name="wrn.Wkp._.Unamort._.Debt._.Exp." localSheetId="5" hidden="1">{"Wkp Unamort Debt Exp",#N/A,FALSE,"Cap Struct WPs"}</definedName>
    <definedName name="wrn.Wkp._.Unamort._.Debt._.Exp." hidden="1">{"Wkp Unamort Debt Exp",#N/A,FALSE,"Cap Struct WPs"}</definedName>
    <definedName name="wrn.Wkp._.Unamort._.PreStock._.Exp." localSheetId="3" hidden="1">{"Wkp Unamort PreStock Exp",#N/A,FALSE,"Cap Struct WPs"}</definedName>
    <definedName name="wrn.Wkp._.Unamort._.PreStock._.Exp." localSheetId="1" hidden="1">{"Wkp Unamort PreStock Exp",#N/A,FALSE,"Cap Struct WPs"}</definedName>
    <definedName name="wrn.Wkp._.Unamort._.PreStock._.Exp." localSheetId="2" hidden="1">{"Wkp Unamort PreStock Exp",#N/A,FALSE,"Cap Struct WPs"}</definedName>
    <definedName name="wrn.Wkp._.Unamort._.PreStock._.Exp." localSheetId="0" hidden="1">{"Wkp Unamort PreStock Exp",#N/A,FALSE,"Cap Struct WPs"}</definedName>
    <definedName name="wrn.Wkp._.Unamort._.PreStock._.Exp." localSheetId="5" hidden="1">{"Wkp Unamort PreStock Exp",#N/A,FALSE,"Cap Struct WPs"}</definedName>
    <definedName name="wrn.Wkp._.Unamort._.PreStock._.Exp." hidden="1">{"Wkp Unamort PreStock Exp",#N/A,FALSE,"Cap Struct WPs"}</definedName>
    <definedName name="WV">#REF!</definedName>
    <definedName name="WVAM00">#REF!</definedName>
    <definedName name="WVAM01">#REF!</definedName>
    <definedName name="wvamfiscal">#REF!</definedName>
    <definedName name="xsch4">#REF!</definedName>
    <definedName name="Year">#REF!</definedName>
    <definedName name="YTDWIDE">#REF!</definedName>
    <definedName name="ytm_ltd1">#REF!</definedName>
    <definedName name="ytm_ltd2">#REF!</definedName>
    <definedName name="ytm_ltd3">#REF!</definedName>
    <definedName name="ytm_ltd4">#REF!</definedName>
    <definedName name="ytm_ltd5">#REF!</definedName>
    <definedName name="ytm_ltd6">#REF!</definedName>
    <definedName name="ytm_ltd7">#REF!</definedName>
    <definedName name="ytm_pfs1">#REF!</definedName>
    <definedName name="ytm_pfs2">#REF!</definedName>
    <definedName name="ytm_pfs3">#REF!</definedName>
    <definedName name="ytm_pfs4">#REF!</definedName>
  </definedNames>
  <calcPr calcId="191029" iterate="1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" l="1"/>
  <c r="D36" i="9"/>
  <c r="D35" i="9"/>
  <c r="D18" i="5"/>
  <c r="D19" i="9"/>
  <c r="D20" i="9"/>
  <c r="D21" i="9" l="1"/>
  <c r="D24" i="9" l="1"/>
  <c r="D25" i="9" s="1"/>
  <c r="D29" i="9" l="1"/>
  <c r="E24" i="9" s="1"/>
  <c r="D27" i="9"/>
  <c r="E27" i="9" l="1"/>
  <c r="D31" i="9"/>
  <c r="E20" i="9"/>
  <c r="E19" i="9"/>
  <c r="E29" i="9" s="1"/>
  <c r="E73" i="5" l="1"/>
  <c r="E51" i="5"/>
  <c r="E40" i="5"/>
  <c r="X54" i="5" l="1"/>
  <c r="C27" i="2" l="1"/>
  <c r="F6" i="5" l="1"/>
  <c r="G6" i="5" s="1"/>
  <c r="H6" i="5" s="1"/>
  <c r="I6" i="5" s="1"/>
  <c r="J6" i="5" s="1"/>
  <c r="K6" i="5" s="1"/>
  <c r="L6" i="5" s="1"/>
  <c r="M6" i="5" s="1"/>
  <c r="N6" i="5" s="1"/>
  <c r="O6" i="5" s="1"/>
  <c r="P6" i="5" s="1"/>
  <c r="Q6" i="5" s="1"/>
  <c r="R6" i="5" s="1"/>
  <c r="S6" i="5" s="1"/>
  <c r="T6" i="5" s="1"/>
  <c r="U6" i="5" s="1"/>
  <c r="V6" i="5" s="1"/>
  <c r="W6" i="5" s="1"/>
  <c r="X6" i="5" s="1"/>
  <c r="Y6" i="5" s="1"/>
  <c r="Z6" i="5" s="1"/>
  <c r="AA6" i="5" s="1"/>
  <c r="AB6" i="5" s="1"/>
  <c r="AC6" i="5" s="1"/>
  <c r="AD6" i="5" s="1"/>
  <c r="AE6" i="5" s="1"/>
  <c r="AF6" i="5" s="1"/>
  <c r="AG6" i="5" s="1"/>
  <c r="AH6" i="5" s="1"/>
  <c r="B67" i="5" l="1"/>
  <c r="J89" i="5" s="1"/>
  <c r="B66" i="5"/>
  <c r="H88" i="5" s="1"/>
  <c r="B65" i="5"/>
  <c r="F87" i="5" s="1"/>
  <c r="B64" i="5"/>
  <c r="H86" i="5" s="1"/>
  <c r="B63" i="5"/>
  <c r="J85" i="5" s="1"/>
  <c r="B62" i="5"/>
  <c r="I84" i="5" s="1"/>
  <c r="B57" i="5"/>
  <c r="B46" i="5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E21" i="4"/>
  <c r="D21" i="4"/>
  <c r="C21" i="4"/>
  <c r="E13" i="4"/>
  <c r="D13" i="4"/>
  <c r="C13" i="4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AH18" i="5"/>
  <c r="AG18" i="5"/>
  <c r="AF18" i="5"/>
  <c r="AE18" i="5"/>
  <c r="AD18" i="5"/>
  <c r="AD24" i="5" s="1"/>
  <c r="AC18" i="5"/>
  <c r="AB18" i="5"/>
  <c r="AA18" i="5"/>
  <c r="Z18" i="5"/>
  <c r="Y18" i="5"/>
  <c r="X18" i="5"/>
  <c r="W18" i="5"/>
  <c r="V18" i="5"/>
  <c r="V24" i="5" s="1"/>
  <c r="U18" i="5"/>
  <c r="T18" i="5"/>
  <c r="S18" i="5"/>
  <c r="R18" i="5"/>
  <c r="R60" i="6"/>
  <c r="J60" i="6"/>
  <c r="S58" i="6"/>
  <c r="U58" i="6" s="1"/>
  <c r="T57" i="6"/>
  <c r="S57" i="6"/>
  <c r="L57" i="6"/>
  <c r="L56" i="6" s="1"/>
  <c r="L55" i="6" s="1"/>
  <c r="L54" i="6" s="1"/>
  <c r="L53" i="6" s="1"/>
  <c r="L52" i="6" s="1"/>
  <c r="L51" i="6" s="1"/>
  <c r="L50" i="6" s="1"/>
  <c r="S56" i="6"/>
  <c r="S55" i="6"/>
  <c r="S54" i="6"/>
  <c r="S53" i="6"/>
  <c r="S52" i="6"/>
  <c r="S51" i="6"/>
  <c r="S50" i="6"/>
  <c r="S49" i="6"/>
  <c r="S48" i="6"/>
  <c r="S47" i="6"/>
  <c r="K47" i="6"/>
  <c r="K48" i="6" s="1"/>
  <c r="K49" i="6" s="1"/>
  <c r="K50" i="6" s="1"/>
  <c r="K51" i="6" s="1"/>
  <c r="K52" i="6" s="1"/>
  <c r="K53" i="6" s="1"/>
  <c r="K54" i="6" s="1"/>
  <c r="K55" i="6" s="1"/>
  <c r="K56" i="6" s="1"/>
  <c r="K57" i="6" s="1"/>
  <c r="K58" i="6" s="1"/>
  <c r="M58" i="6" s="1"/>
  <c r="K36" i="6"/>
  <c r="Q31" i="6"/>
  <c r="O31" i="6"/>
  <c r="N31" i="6"/>
  <c r="L31" i="6"/>
  <c r="K31" i="6"/>
  <c r="Q16" i="6"/>
  <c r="O16" i="6"/>
  <c r="O15" i="6"/>
  <c r="Q15" i="6" s="1"/>
  <c r="N15" i="6"/>
  <c r="N24" i="6" s="1"/>
  <c r="N28" i="6" s="1"/>
  <c r="N30" i="6" s="1"/>
  <c r="O14" i="6"/>
  <c r="Q14" i="6" s="1"/>
  <c r="L14" i="6"/>
  <c r="O13" i="6"/>
  <c r="Q13" i="6" s="1"/>
  <c r="L13" i="6"/>
  <c r="K13" i="6"/>
  <c r="K24" i="6" s="1"/>
  <c r="K28" i="6" s="1"/>
  <c r="K30" i="6" s="1"/>
  <c r="O12" i="6"/>
  <c r="Q12" i="6" s="1"/>
  <c r="L12" i="6"/>
  <c r="O11" i="6"/>
  <c r="Q11" i="6" s="1"/>
  <c r="L11" i="6"/>
  <c r="O10" i="6"/>
  <c r="Q10" i="6" s="1"/>
  <c r="L10" i="6"/>
  <c r="O9" i="6"/>
  <c r="Q9" i="6" s="1"/>
  <c r="L9" i="6"/>
  <c r="E83" i="5"/>
  <c r="AH82" i="5"/>
  <c r="AG82" i="5"/>
  <c r="AF82" i="5"/>
  <c r="AE82" i="5"/>
  <c r="AD82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E78" i="5"/>
  <c r="E56" i="5" s="1"/>
  <c r="E77" i="5"/>
  <c r="E76" i="5"/>
  <c r="E54" i="5" s="1"/>
  <c r="E75" i="5"/>
  <c r="E74" i="5"/>
  <c r="E72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67" i="5"/>
  <c r="D66" i="5"/>
  <c r="D65" i="5"/>
  <c r="D64" i="5"/>
  <c r="D63" i="5"/>
  <c r="E61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E55" i="5"/>
  <c r="E50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6" i="5"/>
  <c r="E45" i="5"/>
  <c r="E44" i="5"/>
  <c r="F44" i="5" s="1"/>
  <c r="E43" i="5"/>
  <c r="E42" i="5"/>
  <c r="F42" i="5" s="1"/>
  <c r="G42" i="5" s="1"/>
  <c r="E41" i="5"/>
  <c r="E39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AG35" i="5"/>
  <c r="AF35" i="5"/>
  <c r="AE35" i="5"/>
  <c r="AD35" i="5"/>
  <c r="AC35" i="5"/>
  <c r="AB35" i="5"/>
  <c r="AA35" i="5"/>
  <c r="Z35" i="5"/>
  <c r="Y35" i="5"/>
  <c r="X35" i="5"/>
  <c r="O35" i="5"/>
  <c r="G35" i="5"/>
  <c r="AH29" i="5"/>
  <c r="AH35" i="5" s="1"/>
  <c r="W35" i="5"/>
  <c r="E28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P24" i="5"/>
  <c r="O24" i="5"/>
  <c r="N24" i="5"/>
  <c r="M24" i="5"/>
  <c r="L24" i="5"/>
  <c r="K24" i="5"/>
  <c r="J24" i="5"/>
  <c r="I24" i="5"/>
  <c r="H24" i="5"/>
  <c r="G24" i="5"/>
  <c r="F24" i="5"/>
  <c r="E24" i="5"/>
  <c r="Q23" i="5"/>
  <c r="Q22" i="5"/>
  <c r="Q21" i="5"/>
  <c r="Q20" i="5"/>
  <c r="Q19" i="5"/>
  <c r="Q18" i="5"/>
  <c r="E17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G44" i="4"/>
  <c r="G37" i="4"/>
  <c r="G36" i="4"/>
  <c r="G35" i="4"/>
  <c r="G33" i="4"/>
  <c r="G32" i="4"/>
  <c r="G31" i="4"/>
  <c r="G26" i="4"/>
  <c r="G25" i="4"/>
  <c r="G24" i="4"/>
  <c r="G19" i="4"/>
  <c r="G18" i="4"/>
  <c r="G17" i="4"/>
  <c r="H41" i="3"/>
  <c r="C39" i="2" s="1"/>
  <c r="G41" i="3"/>
  <c r="F41" i="3"/>
  <c r="E41" i="3"/>
  <c r="D41" i="3"/>
  <c r="H37" i="3"/>
  <c r="H36" i="3"/>
  <c r="H35" i="3"/>
  <c r="H34" i="3"/>
  <c r="H33" i="3"/>
  <c r="H32" i="3"/>
  <c r="H31" i="3"/>
  <c r="H30" i="3"/>
  <c r="H28" i="3"/>
  <c r="F28" i="3"/>
  <c r="D28" i="3"/>
  <c r="E28" i="3" s="1"/>
  <c r="G27" i="3"/>
  <c r="G29" i="3" s="1"/>
  <c r="G39" i="3" s="1"/>
  <c r="H26" i="3"/>
  <c r="H25" i="3"/>
  <c r="H24" i="3"/>
  <c r="H23" i="3"/>
  <c r="G20" i="3"/>
  <c r="D20" i="3"/>
  <c r="D22" i="3" s="1"/>
  <c r="D27" i="3" s="1"/>
  <c r="D29" i="3" s="1"/>
  <c r="D39" i="3" s="1"/>
  <c r="D42" i="3" s="1"/>
  <c r="C20" i="3"/>
  <c r="C22" i="3" s="1"/>
  <c r="H19" i="3"/>
  <c r="H18" i="3"/>
  <c r="H17" i="3"/>
  <c r="H16" i="3"/>
  <c r="F15" i="3"/>
  <c r="F20" i="3" s="1"/>
  <c r="E15" i="3"/>
  <c r="H15" i="3" s="1"/>
  <c r="H14" i="3"/>
  <c r="G12" i="3"/>
  <c r="F12" i="3"/>
  <c r="E12" i="3"/>
  <c r="D12" i="3"/>
  <c r="C12" i="3"/>
  <c r="H11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H10" i="3"/>
  <c r="H12" i="3" s="1"/>
  <c r="G6" i="3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E20" i="3" l="1"/>
  <c r="E22" i="3" s="1"/>
  <c r="E27" i="3" s="1"/>
  <c r="G42" i="3"/>
  <c r="H20" i="3"/>
  <c r="K32" i="6"/>
  <c r="K37" i="6" s="1"/>
  <c r="K38" i="6" s="1"/>
  <c r="L36" i="6" s="1"/>
  <c r="K14" i="5"/>
  <c r="W24" i="5"/>
  <c r="AE24" i="5"/>
  <c r="X24" i="5"/>
  <c r="AF24" i="5"/>
  <c r="L25" i="5"/>
  <c r="I14" i="5"/>
  <c r="S24" i="5"/>
  <c r="AA24" i="5"/>
  <c r="J14" i="5"/>
  <c r="E25" i="5"/>
  <c r="M25" i="5"/>
  <c r="E14" i="5"/>
  <c r="M14" i="5"/>
  <c r="H25" i="5"/>
  <c r="P25" i="5"/>
  <c r="Y24" i="5"/>
  <c r="AG24" i="5"/>
  <c r="U24" i="5"/>
  <c r="AC24" i="5"/>
  <c r="T24" i="5"/>
  <c r="AB24" i="5"/>
  <c r="F14" i="5"/>
  <c r="N14" i="5"/>
  <c r="I25" i="5"/>
  <c r="F25" i="5"/>
  <c r="N25" i="5"/>
  <c r="L14" i="5"/>
  <c r="G25" i="5"/>
  <c r="O25" i="5"/>
  <c r="R24" i="5"/>
  <c r="Z24" i="5"/>
  <c r="AH24" i="5"/>
  <c r="G14" i="5"/>
  <c r="O14" i="5"/>
  <c r="J25" i="5"/>
  <c r="H14" i="5"/>
  <c r="P14" i="5"/>
  <c r="K25" i="5"/>
  <c r="D23" i="4"/>
  <c r="D28" i="4" s="1"/>
  <c r="D30" i="4" s="1"/>
  <c r="D40" i="4" s="1"/>
  <c r="I86" i="5"/>
  <c r="H87" i="5"/>
  <c r="E84" i="5"/>
  <c r="E87" i="5"/>
  <c r="J86" i="5"/>
  <c r="F84" i="5"/>
  <c r="G87" i="5"/>
  <c r="H84" i="5"/>
  <c r="F88" i="5"/>
  <c r="E86" i="5"/>
  <c r="I88" i="5"/>
  <c r="F86" i="5"/>
  <c r="J88" i="5"/>
  <c r="E85" i="5"/>
  <c r="G86" i="5"/>
  <c r="I87" i="5"/>
  <c r="E89" i="5"/>
  <c r="F85" i="5"/>
  <c r="J87" i="5"/>
  <c r="F89" i="5"/>
  <c r="G85" i="5"/>
  <c r="E88" i="5"/>
  <c r="G89" i="5"/>
  <c r="H85" i="5"/>
  <c r="H89" i="5"/>
  <c r="I85" i="5"/>
  <c r="G88" i="5"/>
  <c r="I89" i="5"/>
  <c r="B68" i="5"/>
  <c r="J84" i="5"/>
  <c r="G84" i="5"/>
  <c r="C23" i="4"/>
  <c r="E23" i="4"/>
  <c r="E28" i="4" s="1"/>
  <c r="E30" i="4" s="1"/>
  <c r="E40" i="4" s="1"/>
  <c r="C28" i="4"/>
  <c r="C30" i="4" s="1"/>
  <c r="C40" i="4" s="1"/>
  <c r="N32" i="6"/>
  <c r="N37" i="6" s="1"/>
  <c r="U57" i="6"/>
  <c r="O24" i="6"/>
  <c r="O28" i="6" s="1"/>
  <c r="O30" i="6" s="1"/>
  <c r="O32" i="6" s="1"/>
  <c r="O37" i="6" s="1"/>
  <c r="O46" i="6" s="1"/>
  <c r="N46" i="6" s="1"/>
  <c r="N58" i="6" s="1"/>
  <c r="T56" i="6"/>
  <c r="T55" i="6" s="1"/>
  <c r="I35" i="5"/>
  <c r="Q24" i="5"/>
  <c r="K35" i="5"/>
  <c r="Q35" i="5"/>
  <c r="E46" i="5"/>
  <c r="F40" i="5"/>
  <c r="G40" i="5" s="1"/>
  <c r="R35" i="5"/>
  <c r="F35" i="5"/>
  <c r="N35" i="5"/>
  <c r="L35" i="5"/>
  <c r="T35" i="5"/>
  <c r="E52" i="5"/>
  <c r="E63" i="5" s="1"/>
  <c r="U35" i="5"/>
  <c r="S35" i="5"/>
  <c r="M35" i="5"/>
  <c r="V35" i="5"/>
  <c r="J35" i="5"/>
  <c r="H35" i="5"/>
  <c r="P35" i="5"/>
  <c r="E79" i="5"/>
  <c r="F22" i="3"/>
  <c r="F27" i="3" s="1"/>
  <c r="F29" i="3" s="1"/>
  <c r="F39" i="3" s="1"/>
  <c r="C27" i="3"/>
  <c r="C29" i="3" s="1"/>
  <c r="C39" i="3" s="1"/>
  <c r="C42" i="3" s="1"/>
  <c r="H83" i="5"/>
  <c r="H61" i="5"/>
  <c r="H72" i="5"/>
  <c r="H50" i="5"/>
  <c r="H39" i="5"/>
  <c r="H28" i="5"/>
  <c r="H17" i="5"/>
  <c r="E29" i="3"/>
  <c r="E39" i="3" s="1"/>
  <c r="E42" i="3" s="1"/>
  <c r="F83" i="5"/>
  <c r="F72" i="5"/>
  <c r="F50" i="5"/>
  <c r="F61" i="5"/>
  <c r="F39" i="5"/>
  <c r="F28" i="5"/>
  <c r="F17" i="5"/>
  <c r="G83" i="5"/>
  <c r="G72" i="5"/>
  <c r="G61" i="5"/>
  <c r="G50" i="5"/>
  <c r="G39" i="5"/>
  <c r="G28" i="5"/>
  <c r="G17" i="5"/>
  <c r="H75" i="5"/>
  <c r="H42" i="5"/>
  <c r="E53" i="5"/>
  <c r="E35" i="5"/>
  <c r="F73" i="5"/>
  <c r="F74" i="5"/>
  <c r="F76" i="5"/>
  <c r="F54" i="5" s="1"/>
  <c r="E65" i="5"/>
  <c r="F43" i="5"/>
  <c r="F41" i="5"/>
  <c r="G77" i="5"/>
  <c r="F78" i="5"/>
  <c r="F56" i="5" s="1"/>
  <c r="E67" i="5"/>
  <c r="F75" i="5"/>
  <c r="G44" i="5"/>
  <c r="F45" i="5"/>
  <c r="G75" i="5"/>
  <c r="F77" i="5"/>
  <c r="F55" i="5" s="1"/>
  <c r="E66" i="5"/>
  <c r="M50" i="6"/>
  <c r="M53" i="6"/>
  <c r="M51" i="6"/>
  <c r="M52" i="6"/>
  <c r="L24" i="6"/>
  <c r="L28" i="6" s="1"/>
  <c r="L30" i="6" s="1"/>
  <c r="L32" i="6" s="1"/>
  <c r="L37" i="6" s="1"/>
  <c r="L49" i="6"/>
  <c r="M54" i="6"/>
  <c r="M57" i="6"/>
  <c r="M55" i="6"/>
  <c r="M56" i="6"/>
  <c r="G73" i="5" l="1"/>
  <c r="O36" i="5"/>
  <c r="G36" i="5"/>
  <c r="N36" i="5"/>
  <c r="F36" i="5"/>
  <c r="M36" i="5"/>
  <c r="E36" i="5"/>
  <c r="J36" i="5"/>
  <c r="L36" i="5"/>
  <c r="K36" i="5"/>
  <c r="P36" i="5"/>
  <c r="H36" i="5"/>
  <c r="I36" i="5"/>
  <c r="F11" i="4"/>
  <c r="F12" i="4"/>
  <c r="E80" i="5"/>
  <c r="U56" i="6"/>
  <c r="H22" i="3"/>
  <c r="H27" i="3" s="1"/>
  <c r="H29" i="3" s="1"/>
  <c r="H39" i="3" s="1"/>
  <c r="F42" i="3"/>
  <c r="J90" i="5"/>
  <c r="F90" i="5"/>
  <c r="I90" i="5"/>
  <c r="E90" i="5"/>
  <c r="H90" i="5"/>
  <c r="G90" i="5"/>
  <c r="N55" i="6"/>
  <c r="N57" i="6"/>
  <c r="N53" i="6"/>
  <c r="N54" i="6"/>
  <c r="N50" i="6"/>
  <c r="N52" i="6"/>
  <c r="N56" i="6"/>
  <c r="N51" i="6"/>
  <c r="F52" i="5"/>
  <c r="F53" i="5"/>
  <c r="G53" i="5" s="1"/>
  <c r="G64" i="5" s="1"/>
  <c r="E64" i="5"/>
  <c r="G55" i="5"/>
  <c r="H55" i="5" s="1"/>
  <c r="F66" i="5"/>
  <c r="L38" i="6"/>
  <c r="N36" i="6" s="1"/>
  <c r="F79" i="5"/>
  <c r="F80" i="5" s="1"/>
  <c r="H77" i="5"/>
  <c r="H44" i="5"/>
  <c r="T54" i="6"/>
  <c r="U55" i="6"/>
  <c r="G78" i="5"/>
  <c r="G56" i="5" s="1"/>
  <c r="F67" i="5"/>
  <c r="G45" i="5"/>
  <c r="G76" i="5"/>
  <c r="G54" i="5" s="1"/>
  <c r="F65" i="5"/>
  <c r="G43" i="5"/>
  <c r="I83" i="5"/>
  <c r="I72" i="5"/>
  <c r="I50" i="5"/>
  <c r="I61" i="5"/>
  <c r="I39" i="5"/>
  <c r="I28" i="5"/>
  <c r="I17" i="5"/>
  <c r="G74" i="5"/>
  <c r="G41" i="5"/>
  <c r="F46" i="5"/>
  <c r="H73" i="5"/>
  <c r="H40" i="5"/>
  <c r="M49" i="6"/>
  <c r="N49" i="6" s="1"/>
  <c r="L48" i="6"/>
  <c r="I75" i="5"/>
  <c r="I42" i="5"/>
  <c r="H53" i="5" l="1"/>
  <c r="H64" i="5" s="1"/>
  <c r="G11" i="4"/>
  <c r="F13" i="4"/>
  <c r="F16" i="4"/>
  <c r="G16" i="4" s="1"/>
  <c r="G12" i="4"/>
  <c r="F15" i="4"/>
  <c r="G15" i="4" s="1"/>
  <c r="H42" i="3"/>
  <c r="C35" i="2"/>
  <c r="F64" i="5"/>
  <c r="G52" i="5"/>
  <c r="F63" i="5"/>
  <c r="G66" i="5"/>
  <c r="G79" i="5"/>
  <c r="I53" i="5"/>
  <c r="H74" i="5"/>
  <c r="H41" i="5"/>
  <c r="I77" i="5"/>
  <c r="I55" i="5" s="1"/>
  <c r="H66" i="5"/>
  <c r="I44" i="5"/>
  <c r="J83" i="5"/>
  <c r="J72" i="5"/>
  <c r="J61" i="5"/>
  <c r="J50" i="5"/>
  <c r="J39" i="5"/>
  <c r="J28" i="5"/>
  <c r="J17" i="5"/>
  <c r="H78" i="5"/>
  <c r="H56" i="5" s="1"/>
  <c r="G67" i="5"/>
  <c r="H45" i="5"/>
  <c r="I73" i="5"/>
  <c r="I40" i="5"/>
  <c r="H76" i="5"/>
  <c r="H54" i="5" s="1"/>
  <c r="G65" i="5"/>
  <c r="H43" i="5"/>
  <c r="O41" i="6"/>
  <c r="N38" i="6"/>
  <c r="O36" i="6" s="1"/>
  <c r="O38" i="6" s="1"/>
  <c r="Q36" i="6" s="1"/>
  <c r="J75" i="5"/>
  <c r="J42" i="5"/>
  <c r="L47" i="6"/>
  <c r="M47" i="6" s="1"/>
  <c r="N47" i="6" s="1"/>
  <c r="M48" i="6"/>
  <c r="N48" i="6" s="1"/>
  <c r="G46" i="5"/>
  <c r="U54" i="6"/>
  <c r="T53" i="6"/>
  <c r="C41" i="2" l="1"/>
  <c r="G80" i="5"/>
  <c r="G13" i="4"/>
  <c r="N60" i="6"/>
  <c r="N61" i="6" s="1"/>
  <c r="G63" i="5"/>
  <c r="H79" i="5"/>
  <c r="H80" i="5" s="1"/>
  <c r="J53" i="5"/>
  <c r="J64" i="5" s="1"/>
  <c r="H46" i="5"/>
  <c r="I64" i="5"/>
  <c r="U53" i="6"/>
  <c r="T52" i="6"/>
  <c r="J77" i="5"/>
  <c r="J55" i="5" s="1"/>
  <c r="I66" i="5"/>
  <c r="J44" i="5"/>
  <c r="J73" i="5"/>
  <c r="J40" i="5"/>
  <c r="K75" i="5"/>
  <c r="K42" i="5"/>
  <c r="Q41" i="6"/>
  <c r="K83" i="5"/>
  <c r="K72" i="5"/>
  <c r="K61" i="5"/>
  <c r="K39" i="5"/>
  <c r="K28" i="5"/>
  <c r="K50" i="5"/>
  <c r="K17" i="5"/>
  <c r="H52" i="5"/>
  <c r="H63" i="5" s="1"/>
  <c r="I76" i="5"/>
  <c r="I54" i="5" s="1"/>
  <c r="H65" i="5"/>
  <c r="I43" i="5"/>
  <c r="I74" i="5"/>
  <c r="I41" i="5"/>
  <c r="C14" i="2"/>
  <c r="H67" i="5"/>
  <c r="I78" i="5"/>
  <c r="I56" i="5" s="1"/>
  <c r="I45" i="5"/>
  <c r="K53" i="5" l="1"/>
  <c r="O42" i="6"/>
  <c r="I79" i="5"/>
  <c r="I46" i="5"/>
  <c r="J78" i="5"/>
  <c r="J56" i="5" s="1"/>
  <c r="I67" i="5"/>
  <c r="J45" i="5"/>
  <c r="T51" i="6"/>
  <c r="U52" i="6"/>
  <c r="L83" i="5"/>
  <c r="L72" i="5"/>
  <c r="L61" i="5"/>
  <c r="L39" i="5"/>
  <c r="L28" i="5"/>
  <c r="L50" i="5"/>
  <c r="L17" i="5"/>
  <c r="I52" i="5"/>
  <c r="I63" i="5" s="1"/>
  <c r="K73" i="5"/>
  <c r="K40" i="5"/>
  <c r="L75" i="5"/>
  <c r="L53" i="5" s="1"/>
  <c r="K64" i="5"/>
  <c r="L42" i="5"/>
  <c r="J76" i="5"/>
  <c r="J54" i="5" s="1"/>
  <c r="I65" i="5"/>
  <c r="J43" i="5"/>
  <c r="P86" i="5"/>
  <c r="O86" i="5"/>
  <c r="U86" i="5"/>
  <c r="K86" i="5"/>
  <c r="T86" i="5"/>
  <c r="R86" i="5"/>
  <c r="Q86" i="5"/>
  <c r="M86" i="5"/>
  <c r="S86" i="5"/>
  <c r="N86" i="5"/>
  <c r="L86" i="5"/>
  <c r="V86" i="5"/>
  <c r="J74" i="5"/>
  <c r="J41" i="5"/>
  <c r="K77" i="5"/>
  <c r="K55" i="5" s="1"/>
  <c r="J66" i="5"/>
  <c r="K44" i="5"/>
  <c r="J79" i="5" l="1"/>
  <c r="J80" i="5" s="1"/>
  <c r="I80" i="5"/>
  <c r="O43" i="6"/>
  <c r="F27" i="4"/>
  <c r="G27" i="4" s="1"/>
  <c r="K74" i="5"/>
  <c r="K41" i="5"/>
  <c r="J46" i="5"/>
  <c r="M83" i="5"/>
  <c r="M72" i="5"/>
  <c r="M61" i="5"/>
  <c r="M50" i="5"/>
  <c r="M28" i="5"/>
  <c r="M39" i="5"/>
  <c r="M17" i="5"/>
  <c r="K78" i="5"/>
  <c r="K56" i="5" s="1"/>
  <c r="J67" i="5"/>
  <c r="K45" i="5"/>
  <c r="K76" i="5"/>
  <c r="K54" i="5" s="1"/>
  <c r="J65" i="5"/>
  <c r="K43" i="5"/>
  <c r="L73" i="5"/>
  <c r="L40" i="5"/>
  <c r="K66" i="5"/>
  <c r="L77" i="5"/>
  <c r="L55" i="5" s="1"/>
  <c r="L44" i="5"/>
  <c r="M75" i="5"/>
  <c r="M53" i="5" s="1"/>
  <c r="L64" i="5"/>
  <c r="M42" i="5"/>
  <c r="P88" i="5"/>
  <c r="O88" i="5"/>
  <c r="T88" i="5"/>
  <c r="M88" i="5"/>
  <c r="L88" i="5"/>
  <c r="U88" i="5"/>
  <c r="S88" i="5"/>
  <c r="Q88" i="5"/>
  <c r="V88" i="5"/>
  <c r="R88" i="5"/>
  <c r="N88" i="5"/>
  <c r="K88" i="5"/>
  <c r="J52" i="5"/>
  <c r="T50" i="6"/>
  <c r="U51" i="6"/>
  <c r="K79" i="5" l="1"/>
  <c r="K80" i="5" s="1"/>
  <c r="K52" i="5"/>
  <c r="K63" i="5" s="1"/>
  <c r="K46" i="5"/>
  <c r="M73" i="5"/>
  <c r="M40" i="5"/>
  <c r="N75" i="5"/>
  <c r="N53" i="5" s="1"/>
  <c r="M64" i="5"/>
  <c r="N42" i="5"/>
  <c r="K67" i="5"/>
  <c r="L78" i="5"/>
  <c r="L56" i="5" s="1"/>
  <c r="L45" i="5"/>
  <c r="N83" i="5"/>
  <c r="N72" i="5"/>
  <c r="N61" i="5"/>
  <c r="N50" i="5"/>
  <c r="N39" i="5"/>
  <c r="N28" i="5"/>
  <c r="N17" i="5"/>
  <c r="L76" i="5"/>
  <c r="L54" i="5" s="1"/>
  <c r="K65" i="5"/>
  <c r="L43" i="5"/>
  <c r="T89" i="5"/>
  <c r="L89" i="5"/>
  <c r="S89" i="5"/>
  <c r="K89" i="5"/>
  <c r="P89" i="5"/>
  <c r="R89" i="5"/>
  <c r="Q89" i="5"/>
  <c r="N89" i="5"/>
  <c r="M89" i="5"/>
  <c r="V89" i="5"/>
  <c r="U89" i="5"/>
  <c r="O89" i="5"/>
  <c r="M77" i="5"/>
  <c r="M55" i="5" s="1"/>
  <c r="L66" i="5"/>
  <c r="M44" i="5"/>
  <c r="T87" i="5"/>
  <c r="L87" i="5"/>
  <c r="S87" i="5"/>
  <c r="K87" i="5"/>
  <c r="M87" i="5"/>
  <c r="V87" i="5"/>
  <c r="R87" i="5"/>
  <c r="Q87" i="5"/>
  <c r="O87" i="5"/>
  <c r="U87" i="5"/>
  <c r="P87" i="5"/>
  <c r="N87" i="5"/>
  <c r="L74" i="5"/>
  <c r="L41" i="5"/>
  <c r="U50" i="6"/>
  <c r="T49" i="6"/>
  <c r="J63" i="5"/>
  <c r="L52" i="5" l="1"/>
  <c r="T85" i="5"/>
  <c r="U85" i="5"/>
  <c r="L85" i="5"/>
  <c r="S85" i="5"/>
  <c r="K85" i="5"/>
  <c r="Q85" i="5"/>
  <c r="P85" i="5"/>
  <c r="N85" i="5"/>
  <c r="R85" i="5"/>
  <c r="O85" i="5"/>
  <c r="V85" i="5"/>
  <c r="M85" i="5"/>
  <c r="U49" i="6"/>
  <c r="T48" i="6"/>
  <c r="O83" i="5"/>
  <c r="O72" i="5"/>
  <c r="O61" i="5"/>
  <c r="O50" i="5"/>
  <c r="O39" i="5"/>
  <c r="O28" i="5"/>
  <c r="O17" i="5"/>
  <c r="M78" i="5"/>
  <c r="M56" i="5" s="1"/>
  <c r="L67" i="5"/>
  <c r="M45" i="5"/>
  <c r="N73" i="5"/>
  <c r="N40" i="5"/>
  <c r="M76" i="5"/>
  <c r="M54" i="5" s="1"/>
  <c r="L65" i="5"/>
  <c r="M43" i="5"/>
  <c r="N77" i="5"/>
  <c r="N55" i="5" s="1"/>
  <c r="M66" i="5"/>
  <c r="N44" i="5"/>
  <c r="L63" i="5"/>
  <c r="M74" i="5"/>
  <c r="M52" i="5" s="1"/>
  <c r="M41" i="5"/>
  <c r="L79" i="5"/>
  <c r="O75" i="5"/>
  <c r="O53" i="5" s="1"/>
  <c r="N64" i="5"/>
  <c r="O42" i="5"/>
  <c r="L46" i="5"/>
  <c r="L80" i="5" l="1"/>
  <c r="M79" i="5"/>
  <c r="M46" i="5"/>
  <c r="N76" i="5"/>
  <c r="N54" i="5" s="1"/>
  <c r="M65" i="5"/>
  <c r="N43" i="5"/>
  <c r="N78" i="5"/>
  <c r="N56" i="5" s="1"/>
  <c r="M67" i="5"/>
  <c r="N45" i="5"/>
  <c r="N74" i="5"/>
  <c r="N52" i="5" s="1"/>
  <c r="M63" i="5"/>
  <c r="N41" i="5"/>
  <c r="P75" i="5"/>
  <c r="P53" i="5" s="1"/>
  <c r="O64" i="5"/>
  <c r="P42" i="5"/>
  <c r="O73" i="5"/>
  <c r="O40" i="5"/>
  <c r="P83" i="5"/>
  <c r="P61" i="5"/>
  <c r="P72" i="5"/>
  <c r="P50" i="5"/>
  <c r="P39" i="5"/>
  <c r="P28" i="5"/>
  <c r="P17" i="5"/>
  <c r="T47" i="6"/>
  <c r="U47" i="6" s="1"/>
  <c r="U48" i="6"/>
  <c r="O77" i="5"/>
  <c r="O55" i="5" s="1"/>
  <c r="N66" i="5"/>
  <c r="O44" i="5"/>
  <c r="M80" i="5" l="1"/>
  <c r="P64" i="5"/>
  <c r="Q75" i="5"/>
  <c r="Q42" i="5"/>
  <c r="N79" i="5"/>
  <c r="O78" i="5"/>
  <c r="O56" i="5" s="1"/>
  <c r="N67" i="5"/>
  <c r="O45" i="5"/>
  <c r="Q83" i="5"/>
  <c r="Q72" i="5"/>
  <c r="Q50" i="5"/>
  <c r="Q39" i="5"/>
  <c r="Q28" i="5"/>
  <c r="Q61" i="5"/>
  <c r="Q17" i="5"/>
  <c r="O74" i="5"/>
  <c r="O52" i="5" s="1"/>
  <c r="N63" i="5"/>
  <c r="O41" i="5"/>
  <c r="P77" i="5"/>
  <c r="P55" i="5" s="1"/>
  <c r="O66" i="5"/>
  <c r="P44" i="5"/>
  <c r="P73" i="5"/>
  <c r="P40" i="5"/>
  <c r="N46" i="5"/>
  <c r="O76" i="5"/>
  <c r="O54" i="5" s="1"/>
  <c r="N65" i="5"/>
  <c r="O43" i="5"/>
  <c r="Q53" i="5"/>
  <c r="N80" i="5" l="1"/>
  <c r="O79" i="5"/>
  <c r="R72" i="5"/>
  <c r="R83" i="5"/>
  <c r="R61" i="5"/>
  <c r="R50" i="5"/>
  <c r="R39" i="5"/>
  <c r="R28" i="5"/>
  <c r="R17" i="5"/>
  <c r="Q73" i="5"/>
  <c r="Q40" i="5"/>
  <c r="P74" i="5"/>
  <c r="P52" i="5" s="1"/>
  <c r="O63" i="5"/>
  <c r="P41" i="5"/>
  <c r="O46" i="5"/>
  <c r="Q64" i="5"/>
  <c r="R75" i="5"/>
  <c r="R53" i="5" s="1"/>
  <c r="R42" i="5"/>
  <c r="P76" i="5"/>
  <c r="P54" i="5" s="1"/>
  <c r="O65" i="5"/>
  <c r="P43" i="5"/>
  <c r="P78" i="5"/>
  <c r="O67" i="5"/>
  <c r="P45" i="5"/>
  <c r="Q77" i="5"/>
  <c r="Q55" i="5" s="1"/>
  <c r="P66" i="5"/>
  <c r="Q44" i="5"/>
  <c r="O80" i="5" l="1"/>
  <c r="P46" i="5"/>
  <c r="P79" i="5"/>
  <c r="F34" i="4" s="1"/>
  <c r="G34" i="4" s="1"/>
  <c r="R77" i="5"/>
  <c r="R55" i="5" s="1"/>
  <c r="Q66" i="5"/>
  <c r="R44" i="5"/>
  <c r="Q76" i="5"/>
  <c r="Q54" i="5" s="1"/>
  <c r="P65" i="5"/>
  <c r="Q43" i="5"/>
  <c r="S83" i="5"/>
  <c r="S61" i="5"/>
  <c r="S72" i="5"/>
  <c r="S50" i="5"/>
  <c r="S39" i="5"/>
  <c r="S28" i="5"/>
  <c r="S17" i="5"/>
  <c r="P56" i="5"/>
  <c r="Q74" i="5"/>
  <c r="Q52" i="5" s="1"/>
  <c r="P63" i="5"/>
  <c r="Q41" i="5"/>
  <c r="Q78" i="5"/>
  <c r="Q45" i="5"/>
  <c r="S75" i="5"/>
  <c r="S53" i="5" s="1"/>
  <c r="R64" i="5"/>
  <c r="S42" i="5"/>
  <c r="R73" i="5"/>
  <c r="R40" i="5"/>
  <c r="P80" i="5" l="1"/>
  <c r="F20" i="4" s="1"/>
  <c r="Q56" i="5"/>
  <c r="Q67" i="5" s="1"/>
  <c r="S77" i="5"/>
  <c r="S55" i="5" s="1"/>
  <c r="R66" i="5"/>
  <c r="S44" i="5"/>
  <c r="Q79" i="5"/>
  <c r="R78" i="5"/>
  <c r="R45" i="5"/>
  <c r="T83" i="5"/>
  <c r="T72" i="5"/>
  <c r="T61" i="5"/>
  <c r="T39" i="5"/>
  <c r="T28" i="5"/>
  <c r="T50" i="5"/>
  <c r="T17" i="5"/>
  <c r="S73" i="5"/>
  <c r="S40" i="5"/>
  <c r="R74" i="5"/>
  <c r="Q63" i="5"/>
  <c r="R41" i="5"/>
  <c r="P67" i="5"/>
  <c r="Q46" i="5"/>
  <c r="T75" i="5"/>
  <c r="T53" i="5" s="1"/>
  <c r="S64" i="5"/>
  <c r="T42" i="5"/>
  <c r="R76" i="5"/>
  <c r="R54" i="5" s="1"/>
  <c r="Q65" i="5"/>
  <c r="R43" i="5"/>
  <c r="G20" i="4" l="1"/>
  <c r="G21" i="4" s="1"/>
  <c r="F21" i="4"/>
  <c r="F23" i="4" s="1"/>
  <c r="G23" i="4" s="1"/>
  <c r="G28" i="4" s="1"/>
  <c r="G30" i="4" s="1"/>
  <c r="R56" i="5"/>
  <c r="R67" i="5" s="1"/>
  <c r="R79" i="5"/>
  <c r="S74" i="5"/>
  <c r="S41" i="5"/>
  <c r="U83" i="5"/>
  <c r="U72" i="5"/>
  <c r="U61" i="5"/>
  <c r="U50" i="5"/>
  <c r="U39" i="5"/>
  <c r="U17" i="5"/>
  <c r="U28" i="5"/>
  <c r="R52" i="5"/>
  <c r="T77" i="5"/>
  <c r="T55" i="5" s="1"/>
  <c r="S66" i="5"/>
  <c r="T44" i="5"/>
  <c r="U75" i="5"/>
  <c r="U53" i="5" s="1"/>
  <c r="T64" i="5"/>
  <c r="U42" i="5"/>
  <c r="T73" i="5"/>
  <c r="T40" i="5"/>
  <c r="R46" i="5"/>
  <c r="S78" i="5"/>
  <c r="S45" i="5"/>
  <c r="S76" i="5"/>
  <c r="S54" i="5" s="1"/>
  <c r="R65" i="5"/>
  <c r="S43" i="5"/>
  <c r="F28" i="4" l="1"/>
  <c r="F30" i="4" s="1"/>
  <c r="S56" i="5"/>
  <c r="S67" i="5" s="1"/>
  <c r="R63" i="5"/>
  <c r="T76" i="5"/>
  <c r="T54" i="5" s="1"/>
  <c r="S65" i="5"/>
  <c r="T43" i="5"/>
  <c r="U77" i="5"/>
  <c r="U55" i="5" s="1"/>
  <c r="T66" i="5"/>
  <c r="U44" i="5"/>
  <c r="V83" i="5"/>
  <c r="V72" i="5"/>
  <c r="V61" i="5"/>
  <c r="V50" i="5"/>
  <c r="V39" i="5"/>
  <c r="V28" i="5"/>
  <c r="V17" i="5"/>
  <c r="T74" i="5"/>
  <c r="T41" i="5"/>
  <c r="U73" i="5"/>
  <c r="U40" i="5"/>
  <c r="S46" i="5"/>
  <c r="T78" i="5"/>
  <c r="T45" i="5"/>
  <c r="V75" i="5"/>
  <c r="V53" i="5" s="1"/>
  <c r="U64" i="5"/>
  <c r="V42" i="5"/>
  <c r="S79" i="5"/>
  <c r="S52" i="5"/>
  <c r="T56" i="5" l="1"/>
  <c r="T67" i="5" s="1"/>
  <c r="T46" i="5"/>
  <c r="S63" i="5"/>
  <c r="U74" i="5"/>
  <c r="U41" i="5"/>
  <c r="U76" i="5"/>
  <c r="U54" i="5" s="1"/>
  <c r="T65" i="5"/>
  <c r="U43" i="5"/>
  <c r="T79" i="5"/>
  <c r="W75" i="5"/>
  <c r="V64" i="5"/>
  <c r="T52" i="5"/>
  <c r="T63" i="5" s="1"/>
  <c r="U78" i="5"/>
  <c r="U45" i="5"/>
  <c r="V73" i="5"/>
  <c r="V40" i="5"/>
  <c r="W83" i="5"/>
  <c r="W72" i="5"/>
  <c r="W61" i="5"/>
  <c r="W39" i="5"/>
  <c r="W28" i="5"/>
  <c r="W50" i="5"/>
  <c r="W17" i="5"/>
  <c r="V77" i="5"/>
  <c r="V55" i="5" s="1"/>
  <c r="U66" i="5"/>
  <c r="V44" i="5"/>
  <c r="U56" i="5" l="1"/>
  <c r="U67" i="5" s="1"/>
  <c r="U79" i="5"/>
  <c r="U46" i="5"/>
  <c r="V78" i="5"/>
  <c r="V45" i="5"/>
  <c r="W77" i="5"/>
  <c r="V66" i="5"/>
  <c r="U52" i="5"/>
  <c r="W73" i="5"/>
  <c r="W40" i="5"/>
  <c r="V76" i="5"/>
  <c r="U65" i="5"/>
  <c r="V43" i="5"/>
  <c r="X83" i="5"/>
  <c r="X72" i="5"/>
  <c r="X61" i="5"/>
  <c r="X50" i="5"/>
  <c r="X39" i="5"/>
  <c r="X28" i="5"/>
  <c r="X17" i="5"/>
  <c r="AF86" i="5"/>
  <c r="X86" i="5"/>
  <c r="AE86" i="5"/>
  <c r="W86" i="5"/>
  <c r="AG86" i="5"/>
  <c r="AD86" i="5"/>
  <c r="AB86" i="5"/>
  <c r="AA86" i="5"/>
  <c r="Y86" i="5"/>
  <c r="AH86" i="5"/>
  <c r="AC86" i="5"/>
  <c r="Z86" i="5"/>
  <c r="V74" i="5"/>
  <c r="V41" i="5"/>
  <c r="V56" i="5" l="1"/>
  <c r="V67" i="5" s="1"/>
  <c r="U63" i="5"/>
  <c r="V79" i="5"/>
  <c r="V54" i="5"/>
  <c r="V65" i="5" s="1"/>
  <c r="W76" i="5"/>
  <c r="V52" i="5"/>
  <c r="V63" i="5" s="1"/>
  <c r="W74" i="5"/>
  <c r="Y83" i="5"/>
  <c r="Y72" i="5"/>
  <c r="Y61" i="5"/>
  <c r="Y50" i="5"/>
  <c r="Y39" i="5"/>
  <c r="Y28" i="5"/>
  <c r="Y17" i="5"/>
  <c r="V46" i="5"/>
  <c r="AF88" i="5"/>
  <c r="X88" i="5"/>
  <c r="AE88" i="5"/>
  <c r="W88" i="5"/>
  <c r="AB88" i="5"/>
  <c r="Z88" i="5"/>
  <c r="Y88" i="5"/>
  <c r="AH88" i="5"/>
  <c r="AG88" i="5"/>
  <c r="AC88" i="5"/>
  <c r="AD88" i="5"/>
  <c r="AA88" i="5"/>
  <c r="X73" i="5"/>
  <c r="X40" i="5"/>
  <c r="W78" i="5"/>
  <c r="AB85" i="5" l="1"/>
  <c r="AA85" i="5"/>
  <c r="AE85" i="5"/>
  <c r="AD85" i="5"/>
  <c r="Z85" i="5"/>
  <c r="Y85" i="5"/>
  <c r="AG85" i="5"/>
  <c r="W85" i="5"/>
  <c r="AF85" i="5"/>
  <c r="AC85" i="5"/>
  <c r="X85" i="5"/>
  <c r="AH85" i="5"/>
  <c r="AB89" i="5"/>
  <c r="AA89" i="5"/>
  <c r="AF89" i="5"/>
  <c r="X89" i="5"/>
  <c r="AE89" i="5"/>
  <c r="AD89" i="5"/>
  <c r="Z89" i="5"/>
  <c r="Y89" i="5"/>
  <c r="AH89" i="5"/>
  <c r="W89" i="5"/>
  <c r="AG89" i="5"/>
  <c r="AC89" i="5"/>
  <c r="W79" i="5"/>
  <c r="Y73" i="5"/>
  <c r="Y40" i="5"/>
  <c r="Z83" i="5"/>
  <c r="Z72" i="5"/>
  <c r="Z61" i="5"/>
  <c r="Z50" i="5"/>
  <c r="Z39" i="5"/>
  <c r="Z28" i="5"/>
  <c r="Z17" i="5"/>
  <c r="AB87" i="5"/>
  <c r="AA87" i="5"/>
  <c r="AG87" i="5"/>
  <c r="W87" i="5"/>
  <c r="AF87" i="5"/>
  <c r="AD87" i="5"/>
  <c r="AC87" i="5"/>
  <c r="Y87" i="5"/>
  <c r="AH87" i="5"/>
  <c r="AE87" i="5"/>
  <c r="Z87" i="5"/>
  <c r="X87" i="5"/>
  <c r="Z73" i="5" l="1"/>
  <c r="Z40" i="5"/>
  <c r="AA83" i="5"/>
  <c r="AA72" i="5"/>
  <c r="AA61" i="5"/>
  <c r="AA39" i="5"/>
  <c r="AA28" i="5"/>
  <c r="AA50" i="5"/>
  <c r="AA17" i="5"/>
  <c r="AA73" i="5" l="1"/>
  <c r="AA40" i="5"/>
  <c r="AB83" i="5"/>
  <c r="AB72" i="5"/>
  <c r="AB61" i="5"/>
  <c r="AB39" i="5"/>
  <c r="AB28" i="5"/>
  <c r="AB50" i="5"/>
  <c r="AB17" i="5"/>
  <c r="AC72" i="5" l="1"/>
  <c r="AC61" i="5"/>
  <c r="AC50" i="5"/>
  <c r="AC83" i="5"/>
  <c r="AC17" i="5"/>
  <c r="AC39" i="5"/>
  <c r="AC28" i="5"/>
  <c r="AB73" i="5"/>
  <c r="AB40" i="5"/>
  <c r="AC73" i="5" l="1"/>
  <c r="AC40" i="5"/>
  <c r="AD83" i="5"/>
  <c r="AD72" i="5"/>
  <c r="AD50" i="5"/>
  <c r="AD61" i="5"/>
  <c r="AD39" i="5"/>
  <c r="AD28" i="5"/>
  <c r="AD17" i="5"/>
  <c r="AE72" i="5" l="1"/>
  <c r="AE83" i="5"/>
  <c r="AE61" i="5"/>
  <c r="AE50" i="5"/>
  <c r="AE39" i="5"/>
  <c r="AE28" i="5"/>
  <c r="AE17" i="5"/>
  <c r="AD73" i="5"/>
  <c r="AD40" i="5"/>
  <c r="AF83" i="5" l="1"/>
  <c r="AF61" i="5"/>
  <c r="AF72" i="5"/>
  <c r="AF50" i="5"/>
  <c r="AF39" i="5"/>
  <c r="AF28" i="5"/>
  <c r="AF17" i="5"/>
  <c r="AE73" i="5"/>
  <c r="AE40" i="5"/>
  <c r="AG83" i="5" l="1"/>
  <c r="AG72" i="5"/>
  <c r="AG50" i="5"/>
  <c r="AG61" i="5"/>
  <c r="AG39" i="5"/>
  <c r="AG28" i="5"/>
  <c r="AG17" i="5"/>
  <c r="AF73" i="5"/>
  <c r="AF40" i="5"/>
  <c r="AG73" i="5" l="1"/>
  <c r="AG40" i="5"/>
  <c r="AH72" i="5"/>
  <c r="AH83" i="5"/>
  <c r="AH61" i="5"/>
  <c r="AH50" i="5"/>
  <c r="AH39" i="5"/>
  <c r="AH28" i="5"/>
  <c r="AH17" i="5"/>
  <c r="AH73" i="5" l="1"/>
  <c r="AH40" i="5"/>
  <c r="Q26" i="6" l="1"/>
  <c r="AH13" i="5" l="1"/>
  <c r="AB13" i="5"/>
  <c r="Y13" i="5"/>
  <c r="X13" i="5"/>
  <c r="AD13" i="5"/>
  <c r="AC13" i="5"/>
  <c r="W53" i="5"/>
  <c r="Z13" i="5"/>
  <c r="AG13" i="5"/>
  <c r="AE13" i="5"/>
  <c r="W56" i="5"/>
  <c r="AF13" i="5"/>
  <c r="W13" i="5"/>
  <c r="W41" i="5"/>
  <c r="AA13" i="5"/>
  <c r="W54" i="5"/>
  <c r="W55" i="5"/>
  <c r="W45" i="5" l="1"/>
  <c r="X45" i="5" s="1"/>
  <c r="W44" i="5"/>
  <c r="X77" i="5" s="1"/>
  <c r="X55" i="5" s="1"/>
  <c r="W43" i="5"/>
  <c r="W42" i="5"/>
  <c r="W52" i="5"/>
  <c r="W63" i="5" s="1"/>
  <c r="X74" i="5"/>
  <c r="X41" i="5"/>
  <c r="Q25" i="6"/>
  <c r="B17" i="6" s="1"/>
  <c r="X78" i="5" l="1"/>
  <c r="X56" i="5" s="1"/>
  <c r="W67" i="5"/>
  <c r="W66" i="5"/>
  <c r="X44" i="5"/>
  <c r="Q17" i="6"/>
  <c r="Q24" i="6" s="1"/>
  <c r="Q28" i="6" s="1"/>
  <c r="X75" i="5"/>
  <c r="X53" i="5" s="1"/>
  <c r="W64" i="5"/>
  <c r="X42" i="5"/>
  <c r="Y78" i="5"/>
  <c r="Y56" i="5" s="1"/>
  <c r="X67" i="5"/>
  <c r="Y45" i="5"/>
  <c r="X52" i="5"/>
  <c r="X63" i="5" s="1"/>
  <c r="W46" i="5"/>
  <c r="X76" i="5"/>
  <c r="W65" i="5"/>
  <c r="X43" i="5"/>
  <c r="Y74" i="5"/>
  <c r="Y41" i="5"/>
  <c r="Y77" i="5"/>
  <c r="Y55" i="5" s="1"/>
  <c r="X66" i="5"/>
  <c r="Y44" i="5"/>
  <c r="X79" i="5" l="1"/>
  <c r="X46" i="5"/>
  <c r="Y52" i="5"/>
  <c r="Y63" i="5" s="1"/>
  <c r="Y76" i="5"/>
  <c r="X65" i="5"/>
  <c r="Y43" i="5"/>
  <c r="Z78" i="5"/>
  <c r="Z56" i="5" s="1"/>
  <c r="Y67" i="5"/>
  <c r="Z45" i="5"/>
  <c r="Z74" i="5"/>
  <c r="Z41" i="5"/>
  <c r="Y75" i="5"/>
  <c r="Y53" i="5" s="1"/>
  <c r="X64" i="5"/>
  <c r="Y42" i="5"/>
  <c r="Z77" i="5"/>
  <c r="Z55" i="5" s="1"/>
  <c r="Y66" i="5"/>
  <c r="Z44" i="5"/>
  <c r="Y79" i="5" l="1"/>
  <c r="Y54" i="5"/>
  <c r="Z76" i="5"/>
  <c r="Z43" i="5"/>
  <c r="Z75" i="5"/>
  <c r="Z79" i="5" s="1"/>
  <c r="Y64" i="5"/>
  <c r="Z42" i="5"/>
  <c r="AA78" i="5"/>
  <c r="AA56" i="5" s="1"/>
  <c r="Z67" i="5"/>
  <c r="AA45" i="5"/>
  <c r="AA77" i="5"/>
  <c r="AA55" i="5" s="1"/>
  <c r="Z66" i="5"/>
  <c r="AA44" i="5"/>
  <c r="Z52" i="5"/>
  <c r="Y46" i="5"/>
  <c r="AA74" i="5"/>
  <c r="AA41" i="5"/>
  <c r="Y65" i="5" l="1"/>
  <c r="Z54" i="5"/>
  <c r="Z65" i="5" s="1"/>
  <c r="Z53" i="5"/>
  <c r="Z64" i="5" s="1"/>
  <c r="AB78" i="5"/>
  <c r="AB56" i="5" s="1"/>
  <c r="AA67" i="5"/>
  <c r="AB45" i="5"/>
  <c r="AA75" i="5"/>
  <c r="AA42" i="5"/>
  <c r="AB77" i="5"/>
  <c r="AB55" i="5" s="1"/>
  <c r="AA66" i="5"/>
  <c r="AB44" i="5"/>
  <c r="Z46" i="5"/>
  <c r="AB74" i="5"/>
  <c r="AB41" i="5"/>
  <c r="AA52" i="5"/>
  <c r="AA76" i="5"/>
  <c r="AA43" i="5"/>
  <c r="Z63" i="5"/>
  <c r="AA54" i="5" l="1"/>
  <c r="AA65" i="5" s="1"/>
  <c r="AA79" i="5"/>
  <c r="AA53" i="5"/>
  <c r="AC78" i="5"/>
  <c r="AC56" i="5" s="1"/>
  <c r="AB67" i="5"/>
  <c r="AC45" i="5"/>
  <c r="AB52" i="5"/>
  <c r="AB75" i="5"/>
  <c r="AB42" i="5"/>
  <c r="AA46" i="5"/>
  <c r="AC77" i="5"/>
  <c r="AC55" i="5" s="1"/>
  <c r="AB66" i="5"/>
  <c r="AC44" i="5"/>
  <c r="AC74" i="5"/>
  <c r="AC41" i="5"/>
  <c r="AA63" i="5"/>
  <c r="AB76" i="5"/>
  <c r="AB43" i="5"/>
  <c r="AB54" i="5" l="1"/>
  <c r="AB65" i="5" s="1"/>
  <c r="AA64" i="5"/>
  <c r="AB53" i="5"/>
  <c r="AB64" i="5" s="1"/>
  <c r="AB46" i="5"/>
  <c r="AD77" i="5"/>
  <c r="AD55" i="5" s="1"/>
  <c r="AC66" i="5"/>
  <c r="AD44" i="5"/>
  <c r="AC75" i="5"/>
  <c r="AC42" i="5"/>
  <c r="AB79" i="5"/>
  <c r="AC76" i="5"/>
  <c r="AC43" i="5"/>
  <c r="AC52" i="5"/>
  <c r="AD74" i="5"/>
  <c r="AD41" i="5"/>
  <c r="AB63" i="5"/>
  <c r="AD78" i="5"/>
  <c r="AD56" i="5" s="1"/>
  <c r="AC67" i="5"/>
  <c r="AD45" i="5"/>
  <c r="AC54" i="5" l="1"/>
  <c r="AC65" i="5" s="1"/>
  <c r="AC79" i="5"/>
  <c r="AC53" i="5"/>
  <c r="AC64" i="5" s="1"/>
  <c r="AE78" i="5"/>
  <c r="AE56" i="5" s="1"/>
  <c r="AD67" i="5"/>
  <c r="AE45" i="5"/>
  <c r="AD75" i="5"/>
  <c r="AD42" i="5"/>
  <c r="AD52" i="5"/>
  <c r="AD63" i="5" s="1"/>
  <c r="AC63" i="5"/>
  <c r="AC46" i="5"/>
  <c r="AE74" i="5"/>
  <c r="AE41" i="5"/>
  <c r="AD76" i="5"/>
  <c r="AD43" i="5"/>
  <c r="AE77" i="5"/>
  <c r="AE55" i="5" s="1"/>
  <c r="AD66" i="5"/>
  <c r="AE44" i="5"/>
  <c r="AD54" i="5" l="1"/>
  <c r="AD53" i="5"/>
  <c r="AD64" i="5" s="1"/>
  <c r="AE76" i="5"/>
  <c r="AD65" i="5"/>
  <c r="AE43" i="5"/>
  <c r="AD79" i="5"/>
  <c r="AF78" i="5"/>
  <c r="AF56" i="5" s="1"/>
  <c r="AE67" i="5"/>
  <c r="AF45" i="5"/>
  <c r="AD46" i="5"/>
  <c r="AE75" i="5"/>
  <c r="AE42" i="5"/>
  <c r="AE46" i="5" s="1"/>
  <c r="AF77" i="5"/>
  <c r="AF55" i="5" s="1"/>
  <c r="AE66" i="5"/>
  <c r="AF44" i="5"/>
  <c r="AF74" i="5"/>
  <c r="AF41" i="5"/>
  <c r="AE52" i="5"/>
  <c r="AE54" i="5" l="1"/>
  <c r="AE53" i="5"/>
  <c r="AE64" i="5" s="1"/>
  <c r="AE79" i="5"/>
  <c r="AF76" i="5"/>
  <c r="AF54" i="5" s="1"/>
  <c r="AE65" i="5"/>
  <c r="AF43" i="5"/>
  <c r="AF52" i="5"/>
  <c r="AF63" i="5" s="1"/>
  <c r="AG74" i="5"/>
  <c r="AG41" i="5"/>
  <c r="AF75" i="5"/>
  <c r="AF42" i="5"/>
  <c r="AE63" i="5"/>
  <c r="AF67" i="5"/>
  <c r="AG78" i="5"/>
  <c r="AG56" i="5" s="1"/>
  <c r="AG45" i="5"/>
  <c r="AG77" i="5"/>
  <c r="AG55" i="5" s="1"/>
  <c r="AF66" i="5"/>
  <c r="AG44" i="5"/>
  <c r="AF53" i="5" l="1"/>
  <c r="AF64" i="5" s="1"/>
  <c r="AG76" i="5"/>
  <c r="AG54" i="5" s="1"/>
  <c r="AF65" i="5"/>
  <c r="AG43" i="5"/>
  <c r="AF46" i="5"/>
  <c r="AH77" i="5"/>
  <c r="AH55" i="5" s="1"/>
  <c r="AG66" i="5"/>
  <c r="AH44" i="5"/>
  <c r="AF79" i="5"/>
  <c r="AH74" i="5"/>
  <c r="AH41" i="5"/>
  <c r="AH78" i="5"/>
  <c r="AH56" i="5" s="1"/>
  <c r="AG67" i="5"/>
  <c r="AH45" i="5"/>
  <c r="AG75" i="5"/>
  <c r="AG42" i="5"/>
  <c r="AG52" i="5"/>
  <c r="AG63" i="5" s="1"/>
  <c r="AG46" i="5" l="1"/>
  <c r="AG79" i="5"/>
  <c r="AH52" i="5"/>
  <c r="AG53" i="5"/>
  <c r="AG64" i="5" s="1"/>
  <c r="AH67" i="5"/>
  <c r="AH75" i="5"/>
  <c r="AH42" i="5"/>
  <c r="AH76" i="5"/>
  <c r="AH54" i="5" s="1"/>
  <c r="AG65" i="5"/>
  <c r="AH43" i="5"/>
  <c r="AH66" i="5"/>
  <c r="AH79" i="5" l="1"/>
  <c r="AH53" i="5"/>
  <c r="AH65" i="5"/>
  <c r="AH63" i="5"/>
  <c r="AH46" i="5"/>
  <c r="AH64" i="5" l="1"/>
  <c r="Q29" i="6" l="1"/>
  <c r="Q30" i="6" s="1"/>
  <c r="Q32" i="6" s="1"/>
  <c r="Q37" i="6" s="1"/>
  <c r="V46" i="6" l="1"/>
  <c r="Q38" i="6"/>
  <c r="V52" i="6" l="1"/>
  <c r="V53" i="6"/>
  <c r="V58" i="6"/>
  <c r="V56" i="6"/>
  <c r="V48" i="6"/>
  <c r="V57" i="6"/>
  <c r="V49" i="6"/>
  <c r="V51" i="6"/>
  <c r="V50" i="6"/>
  <c r="V55" i="6"/>
  <c r="V54" i="6"/>
  <c r="V47" i="6"/>
  <c r="V60" i="6" l="1"/>
  <c r="V61" i="6" l="1"/>
  <c r="Q42" i="6"/>
  <c r="Q43" i="6" s="1"/>
  <c r="D62" i="5" l="1"/>
  <c r="D68" i="5" s="1"/>
  <c r="D57" i="5"/>
  <c r="E57" i="5"/>
  <c r="E62" i="5" l="1"/>
  <c r="E68" i="5" s="1"/>
  <c r="F51" i="5"/>
  <c r="F57" i="5" l="1"/>
  <c r="F62" i="5"/>
  <c r="F68" i="5" s="1"/>
  <c r="G51" i="5"/>
  <c r="G62" i="5" l="1"/>
  <c r="G68" i="5" s="1"/>
  <c r="G57" i="5"/>
  <c r="H51" i="5"/>
  <c r="H57" i="5" l="1"/>
  <c r="H62" i="5"/>
  <c r="H68" i="5" s="1"/>
  <c r="I51" i="5"/>
  <c r="J51" i="5" l="1"/>
  <c r="I62" i="5"/>
  <c r="I68" i="5" s="1"/>
  <c r="I57" i="5"/>
  <c r="J57" i="5" l="1"/>
  <c r="K51" i="5"/>
  <c r="J62" i="5"/>
  <c r="U84" i="5" l="1"/>
  <c r="U90" i="5" s="1"/>
  <c r="S84" i="5"/>
  <c r="S90" i="5" s="1"/>
  <c r="N84" i="5"/>
  <c r="N90" i="5" s="1"/>
  <c r="Q84" i="5"/>
  <c r="Q90" i="5" s="1"/>
  <c r="R84" i="5"/>
  <c r="R90" i="5" s="1"/>
  <c r="V84" i="5"/>
  <c r="V90" i="5" s="1"/>
  <c r="L84" i="5"/>
  <c r="L90" i="5" s="1"/>
  <c r="J68" i="5"/>
  <c r="O84" i="5"/>
  <c r="O90" i="5" s="1"/>
  <c r="M84" i="5"/>
  <c r="M90" i="5" s="1"/>
  <c r="K84" i="5"/>
  <c r="K90" i="5" s="1"/>
  <c r="F38" i="4" s="1"/>
  <c r="T84" i="5"/>
  <c r="T90" i="5" s="1"/>
  <c r="P84" i="5"/>
  <c r="P90" i="5" s="1"/>
  <c r="L51" i="5"/>
  <c r="K62" i="5"/>
  <c r="K68" i="5" s="1"/>
  <c r="K57" i="5"/>
  <c r="L62" i="5" l="1"/>
  <c r="L68" i="5" s="1"/>
  <c r="L57" i="5"/>
  <c r="M51" i="5"/>
  <c r="G38" i="4"/>
  <c r="G40" i="4" s="1"/>
  <c r="G46" i="4" s="1"/>
  <c r="F40" i="4"/>
  <c r="M57" i="5" l="1"/>
  <c r="M62" i="5"/>
  <c r="M68" i="5" s="1"/>
  <c r="N51" i="5"/>
  <c r="G49" i="4"/>
  <c r="C37" i="2"/>
  <c r="C43" i="2" l="1"/>
  <c r="N57" i="5"/>
  <c r="O51" i="5"/>
  <c r="N62" i="5"/>
  <c r="N68" i="5" s="1"/>
  <c r="O62" i="5" l="1"/>
  <c r="O68" i="5" s="1"/>
  <c r="O57" i="5"/>
  <c r="P51" i="5"/>
  <c r="P62" i="5" l="1"/>
  <c r="P68" i="5" s="1"/>
  <c r="P57" i="5"/>
  <c r="Q51" i="5"/>
  <c r="R51" i="5" l="1"/>
  <c r="Q57" i="5"/>
  <c r="Q62" i="5"/>
  <c r="Q68" i="5" s="1"/>
  <c r="S51" i="5" l="1"/>
  <c r="R62" i="5"/>
  <c r="R68" i="5" s="1"/>
  <c r="R57" i="5"/>
  <c r="T51" i="5" l="1"/>
  <c r="S62" i="5"/>
  <c r="S68" i="5" s="1"/>
  <c r="S57" i="5"/>
  <c r="T62" i="5" l="1"/>
  <c r="T68" i="5" s="1"/>
  <c r="T57" i="5"/>
  <c r="U51" i="5"/>
  <c r="U57" i="5" l="1"/>
  <c r="V51" i="5"/>
  <c r="U62" i="5"/>
  <c r="U68" i="5" s="1"/>
  <c r="V62" i="5" l="1"/>
  <c r="W51" i="5"/>
  <c r="V57" i="5"/>
  <c r="W57" i="5" l="1"/>
  <c r="W62" i="5"/>
  <c r="W68" i="5" s="1"/>
  <c r="X51" i="5"/>
  <c r="AH84" i="5"/>
  <c r="AH90" i="5" s="1"/>
  <c r="Y84" i="5"/>
  <c r="Y90" i="5" s="1"/>
  <c r="AF84" i="5"/>
  <c r="AF90" i="5" s="1"/>
  <c r="AA84" i="5"/>
  <c r="AA90" i="5" s="1"/>
  <c r="Z84" i="5"/>
  <c r="Z90" i="5" s="1"/>
  <c r="AB84" i="5"/>
  <c r="AB90" i="5" s="1"/>
  <c r="W84" i="5"/>
  <c r="W90" i="5" s="1"/>
  <c r="X84" i="5"/>
  <c r="X90" i="5" s="1"/>
  <c r="AG84" i="5"/>
  <c r="AG90" i="5" s="1"/>
  <c r="V68" i="5"/>
  <c r="AC84" i="5"/>
  <c r="AC90" i="5" s="1"/>
  <c r="AE84" i="5"/>
  <c r="AE90" i="5" s="1"/>
  <c r="AD84" i="5"/>
  <c r="AD90" i="5" s="1"/>
  <c r="X62" i="5" l="1"/>
  <c r="X68" i="5" s="1"/>
  <c r="X57" i="5"/>
  <c r="Y51" i="5"/>
  <c r="C28" i="2"/>
  <c r="C29" i="2" s="1"/>
  <c r="Y62" i="5" l="1"/>
  <c r="Y68" i="5" s="1"/>
  <c r="Z51" i="5"/>
  <c r="Y57" i="5"/>
  <c r="Z57" i="5" l="1"/>
  <c r="AA51" i="5"/>
  <c r="Z62" i="5"/>
  <c r="Z68" i="5" s="1"/>
  <c r="AA57" i="5" l="1"/>
  <c r="AB51" i="5"/>
  <c r="AA62" i="5"/>
  <c r="AA68" i="5" s="1"/>
  <c r="AB62" i="5" l="1"/>
  <c r="AB68" i="5" s="1"/>
  <c r="AB57" i="5"/>
  <c r="AC51" i="5"/>
  <c r="AC62" i="5" l="1"/>
  <c r="AC68" i="5" s="1"/>
  <c r="AC57" i="5"/>
  <c r="AD51" i="5"/>
  <c r="AE51" i="5" l="1"/>
  <c r="AD57" i="5"/>
  <c r="AD62" i="5"/>
  <c r="AD68" i="5" s="1"/>
  <c r="AF51" i="5" l="1"/>
  <c r="AE62" i="5"/>
  <c r="AE68" i="5" s="1"/>
  <c r="AE57" i="5"/>
  <c r="AF62" i="5" l="1"/>
  <c r="AF68" i="5" s="1"/>
  <c r="AF57" i="5"/>
  <c r="AG51" i="5"/>
  <c r="AG62" i="5" l="1"/>
  <c r="AG68" i="5" s="1"/>
  <c r="AG57" i="5"/>
  <c r="AH51" i="5"/>
  <c r="AH62" i="5" l="1"/>
  <c r="AH68" i="5" s="1"/>
  <c r="C10" i="2" s="1"/>
  <c r="AH57" i="5"/>
  <c r="C17" i="2" l="1"/>
  <c r="C24" i="2" s="1"/>
  <c r="C16" i="2"/>
  <c r="C18" i="2" l="1"/>
  <c r="C23" i="2"/>
  <c r="C25" i="2" s="1"/>
  <c r="C33" i="2" s="1"/>
  <c r="C36" i="2" s="1"/>
  <c r="C42" i="2" l="1"/>
  <c r="C44" i="2" s="1"/>
</calcChain>
</file>

<file path=xl/sharedStrings.xml><?xml version="1.0" encoding="utf-8"?>
<sst xmlns="http://schemas.openxmlformats.org/spreadsheetml/2006/main" count="388" uniqueCount="206">
  <si>
    <t>Kentucky-American Water Company</t>
  </si>
  <si>
    <t>QIP 6</t>
  </si>
  <si>
    <t>QIP 4</t>
  </si>
  <si>
    <t>Line No.</t>
  </si>
  <si>
    <t>13-Month Average Rate Base</t>
  </si>
  <si>
    <t>After-Tax Rate of Return - Debt</t>
  </si>
  <si>
    <t>After-Tax Rate of Return - Equity</t>
  </si>
  <si>
    <t>After-Tax Rate of Return - Total</t>
  </si>
  <si>
    <t>After-Tax Return - Debt (Line 1 x Line 3)</t>
  </si>
  <si>
    <t>After-Tax Return - Equity (Line 1 x Line 4)</t>
  </si>
  <si>
    <t>After-Tax Return - Total (Line 7 + Line 8)</t>
  </si>
  <si>
    <t>Gross Revenue Conversion Factor - Debt &amp; Expense</t>
  </si>
  <si>
    <t>Gross Revenue Conversion Factor - Equity</t>
  </si>
  <si>
    <t>Pre-Tax Return - Debt (Line 7 x Line 11)</t>
  </si>
  <si>
    <t>Pre-Tax Return - Equity (Line 8 x Line 12)</t>
  </si>
  <si>
    <t>Pre-Tax Return - Total (Line 7 + Line 8)</t>
  </si>
  <si>
    <t>After-Tax Expense - Depreciation</t>
  </si>
  <si>
    <t xml:space="preserve">After-Tax Expense - Property Tax </t>
  </si>
  <si>
    <t>After-Tax Expense - Total</t>
  </si>
  <si>
    <t>Pre-Tax Expense Total (Line 20 x Line 11)</t>
  </si>
  <si>
    <t>Total QIP Revenue Requirement (Line 16 + Line 22)</t>
  </si>
  <si>
    <t>Prior QIP Revenue Requirement</t>
  </si>
  <si>
    <t>Incremental QIP Revenue (Line 24 - Line 26)</t>
  </si>
  <si>
    <t>Balancing Adjustment</t>
  </si>
  <si>
    <t>Revenues - Rehearing Request in Case No. 2023-00191</t>
  </si>
  <si>
    <t>Prior QIP Charge (Line 26 / Line 30)</t>
  </si>
  <si>
    <t>Incremental QIP Charge (Line 27 / Line 30)</t>
  </si>
  <si>
    <t>Balancing Adjustment (Line 28 / Line 30)</t>
  </si>
  <si>
    <t>Total QIP Charge (Line 32 + Line 33 + Line 34)</t>
  </si>
  <si>
    <t>Case No. 2024-00173</t>
  </si>
  <si>
    <t>QIP 5 Filing</t>
  </si>
  <si>
    <t>For the Four Months Ended December 31, 2024</t>
  </si>
  <si>
    <t>Case No. 2021-00376</t>
  </si>
  <si>
    <t>Case No. 2022-00328</t>
  </si>
  <si>
    <t>Case No. 2022-00300</t>
  </si>
  <si>
    <t>Case No. 2023-00030</t>
  </si>
  <si>
    <t>QIP 1</t>
  </si>
  <si>
    <t>QIP 2</t>
  </si>
  <si>
    <t>QIP 3</t>
  </si>
  <si>
    <t>QIP 5</t>
  </si>
  <si>
    <t>As of June 30, 2021</t>
  </si>
  <si>
    <t>As of June 30, 2022</t>
  </si>
  <si>
    <t>As of June 30, 2023</t>
  </si>
  <si>
    <t>13 Mo. Avg. Ended June 30, 2024</t>
  </si>
  <si>
    <t>4 Mo. Avg. Ended December 31, 2024</t>
  </si>
  <si>
    <t>July 2020 - 
June 2021</t>
  </si>
  <si>
    <t>July 2021 - 
June 2022</t>
  </si>
  <si>
    <t>July 2022 - 
June 2023</t>
  </si>
  <si>
    <t>July 2023 - 
June 2024</t>
  </si>
  <si>
    <t>September 2024 - December 2024</t>
  </si>
  <si>
    <t>Total QIP</t>
  </si>
  <si>
    <t>QIP Plant Additions</t>
  </si>
  <si>
    <t>Retirements</t>
  </si>
  <si>
    <t>Net Change to Gross Plant</t>
  </si>
  <si>
    <t xml:space="preserve">Cost of Removal </t>
  </si>
  <si>
    <t>Depreciation Accrual - QIP 1</t>
  </si>
  <si>
    <t>Depreciation Accrual - QIP 2</t>
  </si>
  <si>
    <t>Depreciation Accrual - QIP 3</t>
  </si>
  <si>
    <t>Depreciation Accrual - QIP 4</t>
  </si>
  <si>
    <t>Net Change to Accum Depr</t>
  </si>
  <si>
    <t>Net Change to Net Plant</t>
  </si>
  <si>
    <t>Accumulated Deferred Taxes - QIP 1</t>
  </si>
  <si>
    <t>Accumulated Deferred Taxes - QIP 2</t>
  </si>
  <si>
    <t>Accumulated Deferred Taxes - QIP 3</t>
  </si>
  <si>
    <t>Accumulated Deferred Taxes - QIP 4</t>
  </si>
  <si>
    <t>Net Change to Rate Base</t>
  </si>
  <si>
    <t>Pre-Tax Rate of Return</t>
  </si>
  <si>
    <t>QIP Revenue on Net Change to Rate Base</t>
  </si>
  <si>
    <t>QIP Depreciation Expense - QIP 1</t>
  </si>
  <si>
    <t>QIP Depreciation Expense - QIP 2</t>
  </si>
  <si>
    <t>QIP Depreciation Expense - QIP 3</t>
  </si>
  <si>
    <t>QIP Depreciation Expense - QIP 4</t>
  </si>
  <si>
    <t>QIP Property Taxes - QIP 1</t>
  </si>
  <si>
    <t>QIP Property Taxes - QIP 2</t>
  </si>
  <si>
    <t>QIP Property Taxes - QIP 3</t>
  </si>
  <si>
    <t>QIP Property Taxes - QIP 4</t>
  </si>
  <si>
    <t>QIP Revenue Requirement Rate Adj</t>
  </si>
  <si>
    <t>QIP Rider Charge</t>
  </si>
  <si>
    <t>Billed Revenues</t>
  </si>
  <si>
    <t>Less: QIP 3 Undercollection</t>
  </si>
  <si>
    <t>Net Billed Revenues</t>
  </si>
  <si>
    <t>Under/(Over) Recovery Variance</t>
  </si>
  <si>
    <t>QIP Balancing Adjustment Rider Charge</t>
  </si>
  <si>
    <t>QIP Capital &amp; Expense</t>
  </si>
  <si>
    <t>Actual</t>
  </si>
  <si>
    <t>Forecasted</t>
  </si>
  <si>
    <t>331xxx - Mains</t>
  </si>
  <si>
    <t>333000-Services</t>
  </si>
  <si>
    <t>334100-Meters</t>
  </si>
  <si>
    <t>334200-Meter Installations</t>
  </si>
  <si>
    <t>334300-Meter Vaults</t>
  </si>
  <si>
    <t>335000-Hydrants</t>
  </si>
  <si>
    <t>Utility Plant In-Service Additions</t>
  </si>
  <si>
    <t>Utility Plant Retirements</t>
  </si>
  <si>
    <t>Assumption</t>
  </si>
  <si>
    <t>GRC</t>
  </si>
  <si>
    <t>QIP 6+</t>
  </si>
  <si>
    <t>Cost of Removal</t>
  </si>
  <si>
    <t>Gross Utility Plant In-Service</t>
  </si>
  <si>
    <t>Net Utility Plant In-Service</t>
  </si>
  <si>
    <t>Depreciation Expense</t>
  </si>
  <si>
    <t>Previous</t>
  </si>
  <si>
    <t>Current (Eff 2/6/2024)</t>
  </si>
  <si>
    <t>Depr Rate</t>
  </si>
  <si>
    <t>Property Tax Expense</t>
  </si>
  <si>
    <t>QIP Deferred Income Taxes</t>
  </si>
  <si>
    <t>July - Dec 2020</t>
  </si>
  <si>
    <t>Jan - June 2021</t>
  </si>
  <si>
    <t>Adjusted</t>
  </si>
  <si>
    <t>July - Dec 2021</t>
  </si>
  <si>
    <t>Jan - June 2022</t>
  </si>
  <si>
    <t>July - Dec 2022</t>
  </si>
  <si>
    <t>Jan - June 2023</t>
  </si>
  <si>
    <t>July - Dec 2023</t>
  </si>
  <si>
    <t>Jan - June 2024</t>
  </si>
  <si>
    <t>Tax Basis</t>
  </si>
  <si>
    <t>Tax Depreciation</t>
  </si>
  <si>
    <t>Year</t>
  </si>
  <si>
    <t>Additions</t>
  </si>
  <si>
    <t>July-Dec 2020</t>
  </si>
  <si>
    <t>Jan-June 2021</t>
  </si>
  <si>
    <t>July-Dec 2021</t>
  </si>
  <si>
    <t>Jan-June 2022</t>
  </si>
  <si>
    <t>July-Dec 2022</t>
  </si>
  <si>
    <t>Jan-June 2023</t>
  </si>
  <si>
    <t>July-Dec 2023</t>
  </si>
  <si>
    <t>Jan-June 2024</t>
  </si>
  <si>
    <t>Total Tax Depreciation</t>
  </si>
  <si>
    <t>Tax Repairs Deduction</t>
  </si>
  <si>
    <t>CIAC</t>
  </si>
  <si>
    <t>Total</t>
  </si>
  <si>
    <t>Book Depreciation</t>
  </si>
  <si>
    <t>Temporary Timing Difference</t>
  </si>
  <si>
    <t>Effective Tax Rate</t>
  </si>
  <si>
    <t>Deferred Income Taxes</t>
  </si>
  <si>
    <t>Beginning Balance</t>
  </si>
  <si>
    <t>Annual Accrued Tax</t>
  </si>
  <si>
    <t>Ending Balance</t>
  </si>
  <si>
    <t>Prorated Deferred Income Taxes</t>
  </si>
  <si>
    <t>Prorated Accrued Tax</t>
  </si>
  <si>
    <t>Estimate per month</t>
  </si>
  <si>
    <t>Actual Deferred Tax Activity</t>
  </si>
  <si>
    <t>Total days per month</t>
  </si>
  <si>
    <t>Cumulative Days</t>
  </si>
  <si>
    <t>Prorated Days</t>
  </si>
  <si>
    <t>Proration %</t>
  </si>
  <si>
    <t>July</t>
  </si>
  <si>
    <t>January</t>
  </si>
  <si>
    <t>August</t>
  </si>
  <si>
    <t>February</t>
  </si>
  <si>
    <t>September</t>
  </si>
  <si>
    <t>March</t>
  </si>
  <si>
    <t>October</t>
  </si>
  <si>
    <t>April</t>
  </si>
  <si>
    <t>November</t>
  </si>
  <si>
    <t>May</t>
  </si>
  <si>
    <t>December</t>
  </si>
  <si>
    <t>June</t>
  </si>
  <si>
    <t>Total Days in Year</t>
  </si>
  <si>
    <t>Case No. 2024-00272</t>
  </si>
  <si>
    <t>Case No. 2023-00300</t>
  </si>
  <si>
    <t>Repairs %</t>
  </si>
  <si>
    <t>QIP 6 Revenues</t>
  </si>
  <si>
    <t>QIP Year 4 Annual Balancing Adjustment</t>
  </si>
  <si>
    <t>January - December</t>
  </si>
  <si>
    <t>For the Twelve Months Ended June 30, 2024</t>
  </si>
  <si>
    <t>Net Change to Accumulated Depreciation</t>
  </si>
  <si>
    <t>Gross Revenue Conversion Factor - Debt &amp; Expense (1 / Line 4)</t>
  </si>
  <si>
    <t>Gross Revenue Conversion Factor - Equity (Line 15)</t>
  </si>
  <si>
    <t>Gross Revenue Conversion Factor (1 / Line 13)</t>
  </si>
  <si>
    <t>Net Income After Uncollectibles, Reg Assessment Fees, &amp; State &amp; Federal Income Taxes:</t>
  </si>
  <si>
    <t>Less: Federal income Tax @ 21%</t>
  </si>
  <si>
    <t>Net Income After Uncollectibles, Reg Assessment Fees &amp; State Tax</t>
  </si>
  <si>
    <t>Less:  State Income Tax @ 5.0%</t>
  </si>
  <si>
    <t>Net Income After Uncollectibles &amp; Reg Assessment Fees</t>
  </si>
  <si>
    <t>O&amp;M\[KAWC 2023 Rate Case - PSC Fees Exhibit.xlsx]Exhibit</t>
  </si>
  <si>
    <t>W/P - 5-2</t>
  </si>
  <si>
    <t>Less: PSC / Utility Reg Assessment Fee</t>
  </si>
  <si>
    <t>O&amp;M\[KAWC 2023 Rate Case - Uncollectibles Expense Exhibit.xlsx]Exhibit</t>
  </si>
  <si>
    <t>W/P - 3-10</t>
  </si>
  <si>
    <t>Less:  Bad Debt Rate/ Uncollectible Expense</t>
  </si>
  <si>
    <t>Gross Income from Revenue</t>
  </si>
  <si>
    <t>Excel Reference</t>
  </si>
  <si>
    <t>Reference</t>
  </si>
  <si>
    <t>Conversion Factor</t>
  </si>
  <si>
    <t>Factor %</t>
  </si>
  <si>
    <t>Rate</t>
  </si>
  <si>
    <t>Gross Revenue Conversion Factor Calculation</t>
  </si>
  <si>
    <t>#</t>
  </si>
  <si>
    <t>Workpaper</t>
  </si>
  <si>
    <t>Conversion</t>
  </si>
  <si>
    <t>Line</t>
  </si>
  <si>
    <t>Percent of</t>
  </si>
  <si>
    <t>Revenue</t>
  </si>
  <si>
    <t>Gross</t>
  </si>
  <si>
    <r>
      <t xml:space="preserve">Version: _ Original </t>
    </r>
    <r>
      <rPr>
        <u/>
        <sz val="11"/>
        <rFont val="Aptos Narrow"/>
        <family val="2"/>
        <scheme val="minor"/>
      </rPr>
      <t>X</t>
    </r>
    <r>
      <rPr>
        <sz val="11"/>
        <rFont val="Aptos Narrow"/>
        <family val="2"/>
        <scheme val="minor"/>
      </rPr>
      <t xml:space="preserve"> Updated _Revised</t>
    </r>
  </si>
  <si>
    <t>Exhibits - Order\[KAWC 2023 Rate Case - Revenue Requirement and Conversion Factor.xlsx]Rev Conversion Factor - SCH H</t>
  </si>
  <si>
    <r>
      <t xml:space="preserve">Data: </t>
    </r>
    <r>
      <rPr>
        <u/>
        <sz val="11"/>
        <color indexed="8"/>
        <rFont val="Aptos Narrow"/>
        <family val="2"/>
        <scheme val="minor"/>
      </rPr>
      <t xml:space="preserve">X </t>
    </r>
    <r>
      <rPr>
        <sz val="11"/>
        <color indexed="8"/>
        <rFont val="Aptos Narrow"/>
        <family val="2"/>
        <scheme val="minor"/>
      </rPr>
      <t xml:space="preserve">Base Period  </t>
    </r>
    <r>
      <rPr>
        <u/>
        <sz val="11"/>
        <color indexed="8"/>
        <rFont val="Calibri"/>
        <family val="2"/>
      </rPr>
      <t xml:space="preserve">X </t>
    </r>
    <r>
      <rPr>
        <sz val="11"/>
        <color indexed="8"/>
        <rFont val="Aptos Narrow"/>
        <family val="2"/>
        <scheme val="minor"/>
      </rPr>
      <t>Forecast Period</t>
    </r>
  </si>
  <si>
    <t>Exhibit 37, Schedule H</t>
  </si>
  <si>
    <t>Computation of the Gross Revenue Conversion Factor for the Forecast Period</t>
  </si>
  <si>
    <t>Case No. 2023-00191</t>
  </si>
  <si>
    <t>Witness: G. VerDouw</t>
  </si>
  <si>
    <t>QIP 4 Cumulative Utility Plant In-Service Additions</t>
  </si>
  <si>
    <t>QIP 4 Cumulative Utility Plant Retirements</t>
  </si>
  <si>
    <t>QIP 4 Cumulative Cost of Removal</t>
  </si>
  <si>
    <t>QIP 4 Cumulative Depreciation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</si>
</sst>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&quot;N/A&quot;"/>
    <numFmt numFmtId="168" formatCode="0.000%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B050"/>
      <name val="Aptos Narrow"/>
      <family val="2"/>
      <scheme val="minor"/>
    </font>
    <font>
      <u val="singleAccounting"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0"/>
      <name val="Aptos Narrow"/>
      <family val="2"/>
      <scheme val="minor"/>
    </font>
    <font>
      <sz val="11"/>
      <name val="Arial"/>
      <family val="2"/>
    </font>
    <font>
      <u/>
      <sz val="11"/>
      <name val="Aptos Narrow"/>
      <family val="2"/>
      <scheme val="minor"/>
    </font>
    <font>
      <sz val="12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indexed="8"/>
      <name val="Aptos Narrow"/>
      <family val="2"/>
      <scheme val="minor"/>
    </font>
    <font>
      <u/>
      <sz val="11"/>
      <color indexed="8"/>
      <name val="Calibri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" fontId="15" fillId="0" borderId="0"/>
  </cellStyleXfs>
  <cellXfs count="182">
    <xf numFmtId="0" fontId="0" fillId="0" borderId="0" xfId="0"/>
    <xf numFmtId="0" fontId="5" fillId="0" borderId="0" xfId="4" applyFont="1"/>
    <xf numFmtId="37" fontId="0" fillId="0" borderId="0" xfId="0" applyNumberFormat="1"/>
    <xf numFmtId="37" fontId="3" fillId="0" borderId="0" xfId="0" applyNumberFormat="1" applyFont="1"/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 wrapText="1"/>
    </xf>
    <xf numFmtId="37" fontId="0" fillId="0" borderId="0" xfId="0" applyNumberFormat="1" applyAlignment="1">
      <alignment horizontal="center"/>
    </xf>
    <xf numFmtId="10" fontId="0" fillId="0" borderId="0" xfId="3" applyNumberFormat="1" applyFont="1" applyBorder="1"/>
    <xf numFmtId="10" fontId="3" fillId="0" borderId="1" xfId="3" applyNumberFormat="1" applyFont="1" applyBorder="1"/>
    <xf numFmtId="39" fontId="0" fillId="0" borderId="0" xfId="0" applyNumberFormat="1"/>
    <xf numFmtId="164" fontId="0" fillId="0" borderId="0" xfId="3" applyNumberFormat="1" applyFont="1" applyBorder="1"/>
    <xf numFmtId="165" fontId="0" fillId="0" borderId="0" xfId="1" applyNumberFormat="1" applyFont="1" applyFill="1"/>
    <xf numFmtId="165" fontId="6" fillId="0" borderId="0" xfId="1" applyNumberFormat="1" applyFont="1"/>
    <xf numFmtId="37" fontId="6" fillId="0" borderId="0" xfId="0" applyNumberFormat="1" applyFont="1"/>
    <xf numFmtId="10" fontId="3" fillId="0" borderId="2" xfId="3" applyNumberFormat="1" applyFont="1" applyBorder="1"/>
    <xf numFmtId="0" fontId="5" fillId="0" borderId="0" xfId="4" applyFont="1" applyAlignment="1">
      <alignment horizontal="right"/>
    </xf>
    <xf numFmtId="0" fontId="3" fillId="0" borderId="0" xfId="0" applyFont="1"/>
    <xf numFmtId="37" fontId="3" fillId="0" borderId="0" xfId="0" applyNumberFormat="1" applyFont="1" applyAlignment="1">
      <alignment wrapText="1"/>
    </xf>
    <xf numFmtId="37" fontId="3" fillId="0" borderId="0" xfId="0" applyNumberFormat="1" applyFont="1" applyAlignment="1">
      <alignment horizontal="center" wrapText="1"/>
    </xf>
    <xf numFmtId="37" fontId="7" fillId="0" borderId="0" xfId="0" applyNumberFormat="1" applyFont="1" applyAlignment="1">
      <alignment horizontal="center" wrapText="1"/>
    </xf>
    <xf numFmtId="37" fontId="3" fillId="0" borderId="3" xfId="0" applyNumberFormat="1" applyFont="1" applyBorder="1" applyAlignment="1">
      <alignment horizontal="center"/>
    </xf>
    <xf numFmtId="37" fontId="0" fillId="0" borderId="3" xfId="0" applyNumberFormat="1" applyBorder="1"/>
    <xf numFmtId="0" fontId="3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5" fontId="0" fillId="0" borderId="0" xfId="0" applyNumberFormat="1"/>
    <xf numFmtId="5" fontId="6" fillId="0" borderId="0" xfId="0" applyNumberFormat="1" applyFont="1"/>
    <xf numFmtId="37" fontId="3" fillId="0" borderId="0" xfId="0" applyNumberFormat="1" applyFont="1" applyAlignment="1">
      <alignment horizontal="left" indent="1"/>
    </xf>
    <xf numFmtId="37" fontId="0" fillId="0" borderId="4" xfId="0" applyNumberFormat="1" applyBorder="1"/>
    <xf numFmtId="43" fontId="0" fillId="0" borderId="0" xfId="1" applyFont="1"/>
    <xf numFmtId="37" fontId="0" fillId="0" borderId="1" xfId="0" applyNumberFormat="1" applyBorder="1"/>
    <xf numFmtId="10" fontId="0" fillId="0" borderId="3" xfId="3" applyNumberFormat="1" applyFont="1" applyFill="1" applyBorder="1"/>
    <xf numFmtId="5" fontId="0" fillId="0" borderId="5" xfId="0" applyNumberFormat="1" applyBorder="1"/>
    <xf numFmtId="37" fontId="6" fillId="0" borderId="0" xfId="0" applyNumberFormat="1" applyFont="1" applyAlignment="1">
      <alignment horizontal="center"/>
    </xf>
    <xf numFmtId="5" fontId="6" fillId="0" borderId="3" xfId="0" applyNumberFormat="1" applyFont="1" applyBorder="1"/>
    <xf numFmtId="10" fontId="0" fillId="0" borderId="2" xfId="0" applyNumberFormat="1" applyBorder="1"/>
    <xf numFmtId="10" fontId="0" fillId="0" borderId="0" xfId="3" applyNumberFormat="1" applyFont="1"/>
    <xf numFmtId="10" fontId="0" fillId="0" borderId="0" xfId="3" applyNumberFormat="1" applyFont="1" applyFill="1"/>
    <xf numFmtId="37" fontId="3" fillId="0" borderId="0" xfId="4" applyNumberFormat="1" applyFont="1"/>
    <xf numFmtId="37" fontId="4" fillId="0" borderId="0" xfId="4" applyNumberFormat="1"/>
    <xf numFmtId="0" fontId="4" fillId="0" borderId="0" xfId="4"/>
    <xf numFmtId="37" fontId="3" fillId="0" borderId="0" xfId="5" applyNumberFormat="1" applyFont="1" applyAlignment="1">
      <alignment horizontal="right"/>
    </xf>
    <xf numFmtId="37" fontId="1" fillId="0" borderId="0" xfId="5" applyNumberFormat="1"/>
    <xf numFmtId="0" fontId="3" fillId="0" borderId="0" xfId="4" applyFont="1"/>
    <xf numFmtId="0" fontId="1" fillId="0" borderId="0" xfId="5"/>
    <xf numFmtId="37" fontId="3" fillId="0" borderId="0" xfId="4" applyNumberFormat="1" applyFont="1" applyAlignment="1">
      <alignment horizontal="center"/>
    </xf>
    <xf numFmtId="37" fontId="3" fillId="0" borderId="0" xfId="4" applyNumberFormat="1" applyFont="1" applyAlignment="1">
      <alignment wrapText="1"/>
    </xf>
    <xf numFmtId="37" fontId="3" fillId="0" borderId="0" xfId="5" applyNumberFormat="1" applyFont="1" applyAlignment="1">
      <alignment wrapText="1"/>
    </xf>
    <xf numFmtId="37" fontId="3" fillId="0" borderId="0" xfId="5" applyNumberFormat="1" applyFont="1" applyAlignment="1">
      <alignment horizontal="center"/>
    </xf>
    <xf numFmtId="37" fontId="3" fillId="0" borderId="0" xfId="4" applyNumberFormat="1" applyFont="1" applyAlignment="1">
      <alignment horizontal="center" wrapText="1"/>
    </xf>
    <xf numFmtId="37" fontId="3" fillId="0" borderId="3" xfId="4" applyNumberFormat="1" applyFont="1" applyBorder="1" applyAlignment="1">
      <alignment horizontal="center"/>
    </xf>
    <xf numFmtId="37" fontId="4" fillId="0" borderId="3" xfId="4" applyNumberFormat="1" applyBorder="1"/>
    <xf numFmtId="0" fontId="3" fillId="0" borderId="3" xfId="4" applyFont="1" applyBorder="1" applyAlignment="1">
      <alignment horizontal="center" wrapText="1"/>
    </xf>
    <xf numFmtId="0" fontId="3" fillId="0" borderId="0" xfId="5" applyFont="1" applyAlignment="1">
      <alignment horizontal="center" wrapText="1"/>
    </xf>
    <xf numFmtId="37" fontId="4" fillId="0" borderId="0" xfId="4" applyNumberFormat="1" applyAlignment="1">
      <alignment horizontal="center"/>
    </xf>
    <xf numFmtId="5" fontId="4" fillId="0" borderId="0" xfId="4" applyNumberFormat="1"/>
    <xf numFmtId="5" fontId="6" fillId="0" borderId="0" xfId="4" applyNumberFormat="1" applyFont="1"/>
    <xf numFmtId="5" fontId="6" fillId="0" borderId="0" xfId="5" applyNumberFormat="1" applyFont="1"/>
    <xf numFmtId="37" fontId="3" fillId="0" borderId="0" xfId="4" applyNumberFormat="1" applyFont="1" applyAlignment="1">
      <alignment horizontal="left" indent="1"/>
    </xf>
    <xf numFmtId="37" fontId="4" fillId="0" borderId="4" xfId="4" applyNumberFormat="1" applyBorder="1"/>
    <xf numFmtId="37" fontId="6" fillId="0" borderId="0" xfId="4" applyNumberFormat="1" applyFont="1"/>
    <xf numFmtId="10" fontId="1" fillId="0" borderId="0" xfId="6" applyNumberFormat="1" applyFont="1" applyFill="1" applyBorder="1"/>
    <xf numFmtId="37" fontId="4" fillId="0" borderId="1" xfId="4" applyNumberFormat="1" applyBorder="1"/>
    <xf numFmtId="10" fontId="0" fillId="0" borderId="3" xfId="7" applyNumberFormat="1" applyFont="1" applyFill="1" applyBorder="1"/>
    <xf numFmtId="5" fontId="1" fillId="0" borderId="0" xfId="5" applyNumberFormat="1"/>
    <xf numFmtId="10" fontId="1" fillId="0" borderId="0" xfId="5" applyNumberFormat="1"/>
    <xf numFmtId="5" fontId="4" fillId="0" borderId="5" xfId="4" applyNumberFormat="1" applyBorder="1"/>
    <xf numFmtId="10" fontId="1" fillId="0" borderId="0" xfId="6" applyNumberFormat="1" applyFont="1" applyFill="1"/>
    <xf numFmtId="37" fontId="1" fillId="0" borderId="0" xfId="8" applyNumberFormat="1"/>
    <xf numFmtId="10" fontId="0" fillId="0" borderId="0" xfId="7" applyNumberFormat="1" applyFont="1"/>
    <xf numFmtId="166" fontId="0" fillId="0" borderId="0" xfId="9" applyNumberFormat="1" applyFont="1"/>
    <xf numFmtId="5" fontId="1" fillId="0" borderId="0" xfId="8" applyNumberFormat="1"/>
    <xf numFmtId="5" fontId="1" fillId="0" borderId="3" xfId="8" applyNumberFormat="1" applyBorder="1"/>
    <xf numFmtId="10" fontId="1" fillId="0" borderId="2" xfId="8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0" borderId="0" xfId="1" applyNumberFormat="1" applyFont="1"/>
    <xf numFmtId="165" fontId="0" fillId="0" borderId="0" xfId="0" applyNumberFormat="1"/>
    <xf numFmtId="165" fontId="0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37" fontId="0" fillId="0" borderId="0" xfId="0" applyNumberFormat="1" applyAlignment="1">
      <alignment horizontal="right"/>
    </xf>
    <xf numFmtId="37" fontId="0" fillId="0" borderId="3" xfId="0" applyNumberFormat="1" applyBorder="1" applyAlignment="1">
      <alignment horizontal="right"/>
    </xf>
    <xf numFmtId="10" fontId="2" fillId="0" borderId="0" xfId="3" applyNumberFormat="1" applyFont="1" applyFill="1"/>
    <xf numFmtId="10" fontId="0" fillId="0" borderId="0" xfId="3" applyNumberFormat="1" applyFont="1" applyFill="1" applyBorder="1"/>
    <xf numFmtId="10" fontId="0" fillId="0" borderId="3" xfId="3" applyNumberFormat="1" applyFont="1" applyBorder="1"/>
    <xf numFmtId="5" fontId="0" fillId="0" borderId="2" xfId="0" applyNumberFormat="1" applyBorder="1"/>
    <xf numFmtId="165" fontId="9" fillId="0" borderId="0" xfId="1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165" fontId="10" fillId="0" borderId="0" xfId="1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168" fontId="0" fillId="0" borderId="0" xfId="3" applyNumberFormat="1" applyFont="1"/>
    <xf numFmtId="10" fontId="0" fillId="0" borderId="0" xfId="0" applyNumberFormat="1"/>
    <xf numFmtId="0" fontId="8" fillId="0" borderId="0" xfId="0" applyFont="1"/>
    <xf numFmtId="0" fontId="0" fillId="0" borderId="2" xfId="0" applyBorder="1"/>
    <xf numFmtId="165" fontId="0" fillId="0" borderId="0" xfId="1" applyNumberFormat="1" applyFont="1" applyAlignment="1">
      <alignment horizontal="right"/>
    </xf>
    <xf numFmtId="5" fontId="1" fillId="0" borderId="1" xfId="8" applyNumberFormat="1" applyBorder="1"/>
    <xf numFmtId="17" fontId="0" fillId="0" borderId="3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0" fontId="0" fillId="0" borderId="0" xfId="3" applyNumberFormat="1" applyFont="1" applyAlignment="1">
      <alignment horizontal="center"/>
    </xf>
    <xf numFmtId="43" fontId="0" fillId="0" borderId="0" xfId="0" applyNumberFormat="1"/>
    <xf numFmtId="10" fontId="6" fillId="0" borderId="0" xfId="3" applyNumberFormat="1" applyFont="1" applyFill="1" applyAlignment="1">
      <alignment horizontal="center"/>
    </xf>
    <xf numFmtId="0" fontId="6" fillId="0" borderId="3" xfId="0" applyFont="1" applyBorder="1" applyAlignment="1">
      <alignment horizontal="center"/>
    </xf>
    <xf numFmtId="5" fontId="0" fillId="0" borderId="0" xfId="2" applyNumberFormat="1" applyFont="1" applyFill="1" applyBorder="1"/>
    <xf numFmtId="5" fontId="0" fillId="0" borderId="0" xfId="2" applyNumberFormat="1" applyFont="1" applyBorder="1"/>
    <xf numFmtId="5" fontId="3" fillId="0" borderId="1" xfId="2" applyNumberFormat="1" applyFont="1" applyBorder="1"/>
    <xf numFmtId="5" fontId="3" fillId="0" borderId="0" xfId="2" applyNumberFormat="1" applyFont="1" applyBorder="1"/>
    <xf numFmtId="5" fontId="3" fillId="0" borderId="2" xfId="2" applyNumberFormat="1" applyFont="1" applyBorder="1"/>
    <xf numFmtId="5" fontId="0" fillId="0" borderId="0" xfId="2" applyNumberFormat="1" applyFont="1"/>
    <xf numFmtId="5" fontId="0" fillId="0" borderId="1" xfId="1" applyNumberFormat="1" applyFont="1" applyBorder="1" applyAlignment="1">
      <alignment horizontal="right"/>
    </xf>
    <xf numFmtId="5" fontId="0" fillId="0" borderId="0" xfId="0" applyNumberFormat="1" applyAlignment="1">
      <alignment horizontal="right"/>
    </xf>
    <xf numFmtId="5" fontId="0" fillId="0" borderId="0" xfId="1" applyNumberFormat="1" applyFont="1" applyAlignment="1">
      <alignment horizontal="right"/>
    </xf>
    <xf numFmtId="5" fontId="0" fillId="0" borderId="0" xfId="1" applyNumberFormat="1" applyFont="1" applyBorder="1" applyAlignment="1">
      <alignment horizontal="right"/>
    </xf>
    <xf numFmtId="5" fontId="0" fillId="0" borderId="0" xfId="1" applyNumberFormat="1" applyFont="1" applyFill="1" applyAlignment="1">
      <alignment horizontal="right"/>
    </xf>
    <xf numFmtId="5" fontId="0" fillId="0" borderId="1" xfId="0" applyNumberFormat="1" applyBorder="1" applyAlignment="1">
      <alignment horizontal="right"/>
    </xf>
    <xf numFmtId="5" fontId="0" fillId="0" borderId="2" xfId="1" applyNumberFormat="1" applyFont="1" applyBorder="1"/>
    <xf numFmtId="5" fontId="0" fillId="0" borderId="0" xfId="1" applyNumberFormat="1" applyFont="1" applyAlignment="1">
      <alignment wrapText="1"/>
    </xf>
    <xf numFmtId="5" fontId="0" fillId="0" borderId="2" xfId="2" applyNumberFormat="1" applyFont="1" applyBorder="1"/>
    <xf numFmtId="5" fontId="0" fillId="0" borderId="2" xfId="2" applyNumberFormat="1" applyFont="1" applyFill="1" applyBorder="1"/>
    <xf numFmtId="5" fontId="0" fillId="0" borderId="4" xfId="2" applyNumberFormat="1" applyFont="1" applyFill="1" applyBorder="1"/>
    <xf numFmtId="5" fontId="0" fillId="0" borderId="1" xfId="2" applyNumberFormat="1" applyFont="1" applyFill="1" applyBorder="1"/>
    <xf numFmtId="37" fontId="0" fillId="0" borderId="4" xfId="1" applyNumberFormat="1" applyFont="1" applyFill="1" applyBorder="1"/>
    <xf numFmtId="5" fontId="0" fillId="0" borderId="4" xfId="0" applyNumberFormat="1" applyBorder="1"/>
    <xf numFmtId="37" fontId="0" fillId="0" borderId="0" xfId="1" applyNumberFormat="1" applyFont="1" applyFill="1"/>
    <xf numFmtId="37" fontId="0" fillId="0" borderId="0" xfId="1" applyNumberFormat="1" applyFont="1" applyAlignment="1">
      <alignment horizontal="right"/>
    </xf>
    <xf numFmtId="37" fontId="0" fillId="0" borderId="0" xfId="1" applyNumberFormat="1" applyFont="1" applyFill="1" applyAlignment="1">
      <alignment horizontal="right"/>
    </xf>
    <xf numFmtId="37" fontId="0" fillId="0" borderId="3" xfId="1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164" fontId="0" fillId="0" borderId="0" xfId="3" applyNumberFormat="1" applyFont="1"/>
    <xf numFmtId="0" fontId="1" fillId="0" borderId="0" xfId="0" applyFont="1"/>
    <xf numFmtId="41" fontId="6" fillId="0" borderId="0" xfId="14" applyNumberFormat="1" applyFont="1"/>
    <xf numFmtId="164" fontId="1" fillId="0" borderId="9" xfId="0" applyNumberFormat="1" applyFont="1" applyBorder="1"/>
    <xf numFmtId="0" fontId="1" fillId="0" borderId="10" xfId="0" applyFont="1" applyBorder="1"/>
    <xf numFmtId="0" fontId="1" fillId="0" borderId="11" xfId="0" applyFont="1" applyBorder="1"/>
    <xf numFmtId="164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6" fillId="0" borderId="0" xfId="14" applyFont="1" applyAlignment="1">
      <alignment horizontal="center"/>
    </xf>
    <xf numFmtId="164" fontId="6" fillId="0" borderId="0" xfId="15" applyNumberFormat="1" applyFont="1" applyFill="1" applyBorder="1"/>
    <xf numFmtId="164" fontId="6" fillId="0" borderId="5" xfId="15" applyNumberFormat="1" applyFont="1" applyFill="1" applyBorder="1"/>
    <xf numFmtId="10" fontId="6" fillId="0" borderId="0" xfId="3" applyNumberFormat="1" applyFont="1"/>
    <xf numFmtId="0" fontId="6" fillId="0" borderId="0" xfId="14" applyFont="1"/>
    <xf numFmtId="10" fontId="13" fillId="0" borderId="0" xfId="3" applyNumberFormat="1" applyFont="1"/>
    <xf numFmtId="0" fontId="13" fillId="0" borderId="0" xfId="14" applyFont="1"/>
    <xf numFmtId="0" fontId="6" fillId="0" borderId="0" xfId="14" applyFont="1" applyAlignment="1">
      <alignment horizontal="left" wrapText="1"/>
    </xf>
    <xf numFmtId="10" fontId="13" fillId="0" borderId="0" xfId="3" applyNumberFormat="1" applyFont="1" applyBorder="1"/>
    <xf numFmtId="164" fontId="6" fillId="0" borderId="3" xfId="15" applyNumberFormat="1" applyFont="1" applyFill="1" applyBorder="1"/>
    <xf numFmtId="10" fontId="6" fillId="0" borderId="3" xfId="3" applyNumberFormat="1" applyFont="1" applyBorder="1"/>
    <xf numFmtId="0" fontId="6" fillId="0" borderId="3" xfId="14" applyFont="1" applyBorder="1"/>
    <xf numFmtId="164" fontId="6" fillId="0" borderId="4" xfId="15" applyNumberFormat="1" applyFont="1" applyFill="1" applyBorder="1"/>
    <xf numFmtId="10" fontId="6" fillId="0" borderId="0" xfId="3" applyNumberFormat="1" applyFont="1" applyBorder="1"/>
    <xf numFmtId="164" fontId="6" fillId="0" borderId="0" xfId="15" applyNumberFormat="1" applyFont="1" applyFill="1"/>
    <xf numFmtId="10" fontId="6" fillId="0" borderId="3" xfId="3" applyNumberFormat="1" applyFont="1" applyFill="1" applyBorder="1"/>
    <xf numFmtId="164" fontId="6" fillId="0" borderId="0" xfId="14" applyNumberFormat="1" applyFont="1"/>
    <xf numFmtId="164" fontId="6" fillId="0" borderId="4" xfId="14" applyNumberFormat="1" applyFont="1" applyBorder="1"/>
    <xf numFmtId="10" fontId="6" fillId="0" borderId="0" xfId="3" applyNumberFormat="1" applyFont="1" applyFill="1" applyBorder="1"/>
    <xf numFmtId="164" fontId="6" fillId="0" borderId="0" xfId="15" applyNumberFormat="1" applyFont="1" applyFill="1" applyBorder="1" applyAlignment="1">
      <alignment horizontal="center"/>
    </xf>
    <xf numFmtId="164" fontId="6" fillId="0" borderId="3" xfId="3" applyNumberFormat="1" applyFont="1" applyFill="1" applyBorder="1"/>
    <xf numFmtId="164" fontId="6" fillId="0" borderId="0" xfId="3" applyNumberFormat="1" applyFont="1" applyFill="1"/>
    <xf numFmtId="0" fontId="7" fillId="0" borderId="0" xfId="14" applyFont="1" applyAlignment="1">
      <alignment horizontal="center"/>
    </xf>
    <xf numFmtId="0" fontId="7" fillId="0" borderId="3" xfId="14" applyFont="1" applyBorder="1" applyAlignment="1">
      <alignment horizontal="center"/>
    </xf>
    <xf numFmtId="0" fontId="6" fillId="0" borderId="0" xfId="14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14" applyFont="1"/>
    <xf numFmtId="3" fontId="6" fillId="0" borderId="0" xfId="0" applyNumberFormat="1" applyFont="1"/>
    <xf numFmtId="3" fontId="16" fillId="0" borderId="0" xfId="19" applyFont="1"/>
    <xf numFmtId="0" fontId="12" fillId="0" borderId="0" xfId="14" applyFont="1" applyAlignment="1">
      <alignment horizontal="right"/>
    </xf>
    <xf numFmtId="0" fontId="7" fillId="0" borderId="0" xfId="14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14" applyFont="1" applyAlignment="1">
      <alignment horizontal="left"/>
    </xf>
    <xf numFmtId="37" fontId="19" fillId="0" borderId="0" xfId="4" applyNumberFormat="1" applyFont="1"/>
    <xf numFmtId="0" fontId="7" fillId="0" borderId="0" xfId="14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0">
    <cellStyle name="Comma" xfId="1" builtinId="3"/>
    <cellStyle name="Comma 2 2" xfId="17" xr:uid="{1B477350-171F-46BC-9D38-0015330857C8}"/>
    <cellStyle name="Comma 4" xfId="12" xr:uid="{A2414EE7-EED1-403F-9968-D46364331D8B}"/>
    <cellStyle name="Comma 5" xfId="13" xr:uid="{960FBF70-D477-49A5-A212-497CBE661C7C}"/>
    <cellStyle name="Comma 6" xfId="9" xr:uid="{D30D4185-5553-47BD-B3F5-678BD31500A9}"/>
    <cellStyle name="Currency" xfId="2" builtinId="4"/>
    <cellStyle name="Normal" xfId="0" builtinId="0"/>
    <cellStyle name="Normal 2 2" xfId="5" xr:uid="{70C1DA6C-19C1-465C-AA08-FD83D4D1C480}"/>
    <cellStyle name="Normal 2 3" xfId="14" xr:uid="{D220BB15-5352-48C3-B2D2-0CFD13C0C9E6}"/>
    <cellStyle name="Normal 2 3 2" xfId="8" xr:uid="{13427770-F445-4C36-98EE-2BAFB708EE32}"/>
    <cellStyle name="Normal 3" xfId="16" xr:uid="{A17EF819-F68C-4184-AC82-50A66647E193}"/>
    <cellStyle name="Normal 3 2" xfId="4" xr:uid="{EC792E34-461F-4CEA-AC8F-A711BCEBFFC9}"/>
    <cellStyle name="Normal 7" xfId="10" xr:uid="{11E41F91-C834-44A3-B841-4423093FBE49}"/>
    <cellStyle name="Normal_Exhibits" xfId="19" xr:uid="{AA1B7AD8-5D33-4E84-AFBC-97F9F43CA549}"/>
    <cellStyle name="Percent" xfId="3" builtinId="5"/>
    <cellStyle name="Percent 2" xfId="15" xr:uid="{1955632E-E4D8-4D3D-B0DF-294E0AE9783A}"/>
    <cellStyle name="Percent 2 2" xfId="18" xr:uid="{AFF0A610-52A7-4E93-96E9-9418DEA27525}"/>
    <cellStyle name="Percent 2 3" xfId="6" xr:uid="{400D80E0-3133-436A-832D-399A1C395F7A}"/>
    <cellStyle name="Percent 4" xfId="7" xr:uid="{00787255-D962-408C-906C-FFDE40C8A5A8}"/>
    <cellStyle name="Percent 5" xfId="11" xr:uid="{EFCF74D4-0366-4CB3-B248-09F1E3E48E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73E86-9FF9-4BA2-9140-692A0009CFC6}">
  <sheetPr>
    <pageSetUpPr fitToPage="1"/>
  </sheetPr>
  <dimension ref="A1:D45"/>
  <sheetViews>
    <sheetView tabSelected="1" zoomScale="90" zoomScaleNormal="90" workbookViewId="0">
      <pane xSplit="2" ySplit="9" topLeftCell="C10" activePane="bottomRight" state="frozen"/>
      <selection activeCell="G13" sqref="G13"/>
      <selection pane="topRight" activeCell="G13" sqref="G13"/>
      <selection pane="bottomLeft" activeCell="G13" sqref="G13"/>
      <selection pane="bottomRight" activeCell="C35" sqref="C35:C37"/>
    </sheetView>
  </sheetViews>
  <sheetFormatPr defaultColWidth="14.7109375" defaultRowHeight="15" x14ac:dyDescent="0.25"/>
  <cols>
    <col min="1" max="1" width="9.7109375" style="2" customWidth="1"/>
    <col min="2" max="2" width="47.140625" style="2" customWidth="1"/>
    <col min="3" max="3" width="19.85546875" style="2" bestFit="1" customWidth="1"/>
    <col min="4" max="4" width="20.7109375" style="2" bestFit="1" customWidth="1"/>
    <col min="5" max="16384" width="14.7109375" style="2"/>
  </cols>
  <sheetData>
    <row r="1" spans="1:3" x14ac:dyDescent="0.25">
      <c r="A1" s="17" t="s">
        <v>0</v>
      </c>
      <c r="C1"/>
    </row>
    <row r="2" spans="1:3" x14ac:dyDescent="0.25">
      <c r="A2" s="17" t="s">
        <v>159</v>
      </c>
      <c r="B2" s="3"/>
      <c r="C2"/>
    </row>
    <row r="3" spans="1:3" x14ac:dyDescent="0.25">
      <c r="A3" s="17" t="s">
        <v>162</v>
      </c>
      <c r="C3"/>
    </row>
    <row r="4" spans="1:3" x14ac:dyDescent="0.25">
      <c r="A4" s="1"/>
      <c r="B4" s="3"/>
      <c r="C4"/>
    </row>
    <row r="5" spans="1:3" x14ac:dyDescent="0.25">
      <c r="A5" s="1"/>
      <c r="B5" s="3"/>
      <c r="C5"/>
    </row>
    <row r="6" spans="1:3" x14ac:dyDescent="0.25">
      <c r="B6" s="3"/>
      <c r="C6" s="4" t="s">
        <v>159</v>
      </c>
    </row>
    <row r="7" spans="1:3" x14ac:dyDescent="0.25">
      <c r="B7" s="5"/>
      <c r="C7" s="4" t="s">
        <v>1</v>
      </c>
    </row>
    <row r="8" spans="1:3" x14ac:dyDescent="0.25">
      <c r="B8" s="5"/>
      <c r="C8" s="4" t="s">
        <v>164</v>
      </c>
    </row>
    <row r="9" spans="1:3" x14ac:dyDescent="0.25">
      <c r="A9" s="4" t="s">
        <v>3</v>
      </c>
      <c r="B9" s="5"/>
      <c r="C9" s="6">
        <v>2025</v>
      </c>
    </row>
    <row r="10" spans="1:3" x14ac:dyDescent="0.25">
      <c r="A10" s="7">
        <v>1</v>
      </c>
      <c r="B10" s="2" t="s">
        <v>4</v>
      </c>
      <c r="C10" s="108">
        <f>AVERAGE('QIP Capital &amp; Expense'!V68:AH68)+'QIP ADIT'!Q43</f>
        <v>82249890.840276882</v>
      </c>
    </row>
    <row r="11" spans="1:3" x14ac:dyDescent="0.25">
      <c r="A11" s="7">
        <f t="shared" ref="A11:A44" si="0">A10+1</f>
        <v>2</v>
      </c>
    </row>
    <row r="12" spans="1:3" x14ac:dyDescent="0.25">
      <c r="A12" s="7">
        <f t="shared" si="0"/>
        <v>3</v>
      </c>
      <c r="B12" s="2" t="s">
        <v>5</v>
      </c>
      <c r="C12" s="8">
        <v>2.1599999999999998E-2</v>
      </c>
    </row>
    <row r="13" spans="1:3" x14ac:dyDescent="0.25">
      <c r="A13" s="7">
        <f t="shared" si="0"/>
        <v>4</v>
      </c>
      <c r="B13" s="2" t="s">
        <v>6</v>
      </c>
      <c r="C13" s="8">
        <v>5.1000000000000004E-2</v>
      </c>
    </row>
    <row r="14" spans="1:3" x14ac:dyDescent="0.25">
      <c r="A14" s="7">
        <f t="shared" si="0"/>
        <v>5</v>
      </c>
      <c r="B14" s="3" t="s">
        <v>7</v>
      </c>
      <c r="C14" s="9">
        <f t="shared" ref="C14" si="1">SUM(C12:C13)</f>
        <v>7.2599999999999998E-2</v>
      </c>
    </row>
    <row r="15" spans="1:3" x14ac:dyDescent="0.25">
      <c r="A15" s="7">
        <f t="shared" si="0"/>
        <v>6</v>
      </c>
    </row>
    <row r="16" spans="1:3" x14ac:dyDescent="0.25">
      <c r="A16" s="7">
        <f t="shared" si="0"/>
        <v>7</v>
      </c>
      <c r="B16" s="2" t="s">
        <v>8</v>
      </c>
      <c r="C16" s="109">
        <f t="shared" ref="C16:C17" si="2">C$10*C12</f>
        <v>1776597.6421499804</v>
      </c>
    </row>
    <row r="17" spans="1:3" x14ac:dyDescent="0.25">
      <c r="A17" s="7">
        <f t="shared" si="0"/>
        <v>8</v>
      </c>
      <c r="B17" s="2" t="s">
        <v>9</v>
      </c>
      <c r="C17" s="2">
        <f t="shared" si="2"/>
        <v>4194744.4328541216</v>
      </c>
    </row>
    <row r="18" spans="1:3" x14ac:dyDescent="0.25">
      <c r="A18" s="7">
        <f t="shared" si="0"/>
        <v>9</v>
      </c>
      <c r="B18" s="3" t="s">
        <v>10</v>
      </c>
      <c r="C18" s="110">
        <f t="shared" ref="C18" si="3">SUM(C16:C17)</f>
        <v>5971342.0750041017</v>
      </c>
    </row>
    <row r="19" spans="1:3" x14ac:dyDescent="0.25">
      <c r="A19" s="7">
        <f t="shared" si="0"/>
        <v>10</v>
      </c>
    </row>
    <row r="20" spans="1:3" x14ac:dyDescent="0.25">
      <c r="A20" s="7">
        <f t="shared" si="0"/>
        <v>11</v>
      </c>
      <c r="B20" s="2" t="s">
        <v>11</v>
      </c>
      <c r="C20" s="11">
        <v>1.0073962928458193</v>
      </c>
    </row>
    <row r="21" spans="1:3" x14ac:dyDescent="0.25">
      <c r="A21" s="7">
        <f t="shared" si="0"/>
        <v>12</v>
      </c>
      <c r="B21" s="2" t="s">
        <v>12</v>
      </c>
      <c r="C21" s="11">
        <v>1.3423001903342031</v>
      </c>
    </row>
    <row r="22" spans="1:3" x14ac:dyDescent="0.25">
      <c r="A22" s="7">
        <f t="shared" si="0"/>
        <v>13</v>
      </c>
    </row>
    <row r="23" spans="1:3" x14ac:dyDescent="0.25">
      <c r="A23" s="7">
        <f t="shared" si="0"/>
        <v>14</v>
      </c>
      <c r="B23" s="2" t="s">
        <v>13</v>
      </c>
      <c r="C23" s="109">
        <f>C16*C20</f>
        <v>1789737.8785805139</v>
      </c>
    </row>
    <row r="24" spans="1:3" x14ac:dyDescent="0.25">
      <c r="A24" s="7">
        <f t="shared" si="0"/>
        <v>15</v>
      </c>
      <c r="B24" s="2" t="s">
        <v>14</v>
      </c>
      <c r="C24" s="2">
        <f t="shared" ref="C24" si="4">C17*C21</f>
        <v>5630606.2506234264</v>
      </c>
    </row>
    <row r="25" spans="1:3" x14ac:dyDescent="0.25">
      <c r="A25" s="7">
        <f t="shared" si="0"/>
        <v>16</v>
      </c>
      <c r="B25" s="3" t="s">
        <v>15</v>
      </c>
      <c r="C25" s="110">
        <f t="shared" ref="C25" si="5">SUM(C23:C24)</f>
        <v>7420344.1292039398</v>
      </c>
    </row>
    <row r="26" spans="1:3" x14ac:dyDescent="0.25">
      <c r="A26" s="7">
        <f t="shared" si="0"/>
        <v>17</v>
      </c>
    </row>
    <row r="27" spans="1:3" x14ac:dyDescent="0.25">
      <c r="A27" s="7">
        <f t="shared" si="0"/>
        <v>18</v>
      </c>
      <c r="B27" s="2" t="s">
        <v>16</v>
      </c>
      <c r="C27" s="109">
        <f>SUM('QIP Capital &amp; Expense'!W79:AH79)</f>
        <v>1274297.8041478745</v>
      </c>
    </row>
    <row r="28" spans="1:3" x14ac:dyDescent="0.25">
      <c r="A28" s="7">
        <f t="shared" si="0"/>
        <v>19</v>
      </c>
      <c r="B28" s="2" t="s">
        <v>17</v>
      </c>
      <c r="C28" s="2">
        <f>SUM('QIP Capital &amp; Expense'!W90:AH90)</f>
        <v>1236656.3010275515</v>
      </c>
    </row>
    <row r="29" spans="1:3" x14ac:dyDescent="0.25">
      <c r="A29" s="7">
        <f t="shared" si="0"/>
        <v>20</v>
      </c>
      <c r="B29" s="3" t="s">
        <v>18</v>
      </c>
      <c r="C29" s="110">
        <f t="shared" ref="C29" si="6">SUM(C27:C28)</f>
        <v>2510954.1051754262</v>
      </c>
    </row>
    <row r="30" spans="1:3" x14ac:dyDescent="0.25">
      <c r="A30" s="7">
        <f t="shared" si="0"/>
        <v>21</v>
      </c>
    </row>
    <row r="31" spans="1:3" x14ac:dyDescent="0.25">
      <c r="A31" s="7">
        <f t="shared" si="0"/>
        <v>22</v>
      </c>
      <c r="B31" s="3" t="s">
        <v>19</v>
      </c>
      <c r="C31" s="111">
        <f>C29*C20</f>
        <v>2529525.8570597158</v>
      </c>
    </row>
    <row r="32" spans="1:3" x14ac:dyDescent="0.25">
      <c r="A32" s="7">
        <f t="shared" si="0"/>
        <v>23</v>
      </c>
    </row>
    <row r="33" spans="1:4" ht="15.75" thickBot="1" x14ac:dyDescent="0.3">
      <c r="A33" s="7">
        <f t="shared" si="0"/>
        <v>24</v>
      </c>
      <c r="B33" s="3" t="s">
        <v>20</v>
      </c>
      <c r="C33" s="112">
        <f t="shared" ref="C33" si="7">C25+C31</f>
        <v>9949869.9862636551</v>
      </c>
    </row>
    <row r="34" spans="1:4" ht="15.75" thickTop="1" x14ac:dyDescent="0.25">
      <c r="A34" s="7">
        <f t="shared" si="0"/>
        <v>25</v>
      </c>
    </row>
    <row r="35" spans="1:4" x14ac:dyDescent="0.25">
      <c r="A35" s="7">
        <f t="shared" si="0"/>
        <v>26</v>
      </c>
      <c r="B35" s="2" t="s">
        <v>21</v>
      </c>
      <c r="C35" s="113">
        <f>'QIP 1-5'!H39</f>
        <v>7735980.1599608799</v>
      </c>
    </row>
    <row r="36" spans="1:4" x14ac:dyDescent="0.25">
      <c r="A36" s="7">
        <f t="shared" si="0"/>
        <v>27</v>
      </c>
      <c r="B36" s="2" t="s">
        <v>22</v>
      </c>
      <c r="C36" s="12">
        <f>C33-C35</f>
        <v>2213889.8263027752</v>
      </c>
    </row>
    <row r="37" spans="1:4" x14ac:dyDescent="0.25">
      <c r="A37" s="7">
        <f t="shared" si="0"/>
        <v>28</v>
      </c>
      <c r="B37" s="2" t="s">
        <v>23</v>
      </c>
      <c r="C37" s="13">
        <f>'QIP 4 Balancing Adjustment'!G46</f>
        <v>3666334.7402429143</v>
      </c>
    </row>
    <row r="38" spans="1:4" x14ac:dyDescent="0.25">
      <c r="A38" s="7">
        <f t="shared" si="0"/>
        <v>29</v>
      </c>
    </row>
    <row r="39" spans="1:4" x14ac:dyDescent="0.25">
      <c r="A39" s="7">
        <f t="shared" si="0"/>
        <v>30</v>
      </c>
      <c r="B39" s="14" t="s">
        <v>24</v>
      </c>
      <c r="C39" s="113">
        <f>'QIP 1-5'!$H$41</f>
        <v>120635314</v>
      </c>
    </row>
    <row r="40" spans="1:4" x14ac:dyDescent="0.25">
      <c r="A40" s="7">
        <f t="shared" si="0"/>
        <v>31</v>
      </c>
    </row>
    <row r="41" spans="1:4" x14ac:dyDescent="0.25">
      <c r="A41" s="7">
        <f t="shared" si="0"/>
        <v>32</v>
      </c>
      <c r="B41" s="2" t="s">
        <v>25</v>
      </c>
      <c r="C41" s="8">
        <f t="shared" ref="C41:C43" si="8">C35/C$39</f>
        <v>6.4126994852940655E-2</v>
      </c>
    </row>
    <row r="42" spans="1:4" s="14" customFormat="1" x14ac:dyDescent="0.25">
      <c r="A42" s="7">
        <f t="shared" si="0"/>
        <v>33</v>
      </c>
      <c r="B42" s="2" t="s">
        <v>26</v>
      </c>
      <c r="C42" s="8">
        <f>C36/C$39</f>
        <v>1.835192161312545E-2</v>
      </c>
    </row>
    <row r="43" spans="1:4" s="14" customFormat="1" x14ac:dyDescent="0.25">
      <c r="A43" s="7">
        <f t="shared" si="0"/>
        <v>34</v>
      </c>
      <c r="B43" s="2" t="s">
        <v>27</v>
      </c>
      <c r="C43" s="8">
        <f t="shared" si="8"/>
        <v>3.0391886245207719E-2</v>
      </c>
    </row>
    <row r="44" spans="1:4" ht="15.75" thickBot="1" x14ac:dyDescent="0.3">
      <c r="A44" s="7">
        <f t="shared" si="0"/>
        <v>35</v>
      </c>
      <c r="B44" s="3" t="s">
        <v>28</v>
      </c>
      <c r="C44" s="15">
        <f t="shared" ref="C44" si="9">SUM(C41:C43)</f>
        <v>0.11287080271127382</v>
      </c>
      <c r="D44" s="133"/>
    </row>
    <row r="45" spans="1:4" ht="15.75" thickTop="1" x14ac:dyDescent="0.25">
      <c r="A45" s="7">
        <v>36</v>
      </c>
      <c r="B45"/>
      <c r="C45"/>
    </row>
  </sheetData>
  <pageMargins left="0.25" right="0.25" top="0.25" bottom="0.2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193D6-E343-47B6-822B-222EEE747DEF}">
  <sheetPr>
    <pageSetUpPr fitToPage="1"/>
  </sheetPr>
  <dimension ref="A1:L45"/>
  <sheetViews>
    <sheetView zoomScale="90" zoomScaleNormal="90" workbookViewId="0">
      <pane xSplit="2" ySplit="9" topLeftCell="C19" activePane="bottomRight" state="frozen"/>
      <selection activeCell="E11" sqref="E11"/>
      <selection pane="topRight" activeCell="E11" sqref="E11"/>
      <selection pane="bottomLeft" activeCell="E11" sqref="E11"/>
      <selection pane="bottomRight" activeCell="H39" sqref="H39"/>
    </sheetView>
  </sheetViews>
  <sheetFormatPr defaultColWidth="14.7109375" defaultRowHeight="15" x14ac:dyDescent="0.25"/>
  <cols>
    <col min="1" max="1" width="9.7109375" style="2" customWidth="1"/>
    <col min="2" max="2" width="47.140625" style="2" customWidth="1"/>
    <col min="3" max="6" width="19.5703125" style="2" bestFit="1" customWidth="1"/>
    <col min="7" max="7" width="19.85546875" style="2" bestFit="1" customWidth="1"/>
    <col min="8" max="8" width="13.85546875" style="2" bestFit="1" customWidth="1"/>
    <col min="9" max="16384" width="14.7109375" style="2"/>
  </cols>
  <sheetData>
    <row r="1" spans="1:12" x14ac:dyDescent="0.25">
      <c r="A1" s="17" t="s">
        <v>0</v>
      </c>
      <c r="C1"/>
      <c r="H1" s="16"/>
    </row>
    <row r="2" spans="1:12" x14ac:dyDescent="0.25">
      <c r="A2" s="17" t="s">
        <v>29</v>
      </c>
      <c r="B2" s="3"/>
      <c r="C2"/>
    </row>
    <row r="3" spans="1:12" x14ac:dyDescent="0.25">
      <c r="A3" s="17" t="s">
        <v>30</v>
      </c>
      <c r="C3"/>
    </row>
    <row r="4" spans="1:12" x14ac:dyDescent="0.25">
      <c r="A4" s="17" t="s">
        <v>31</v>
      </c>
      <c r="B4" s="3"/>
      <c r="C4"/>
      <c r="D4"/>
      <c r="E4" s="17"/>
      <c r="F4"/>
      <c r="G4"/>
      <c r="H4"/>
    </row>
    <row r="5" spans="1:12" x14ac:dyDescent="0.25">
      <c r="A5" s="1"/>
      <c r="B5" s="3"/>
      <c r="C5"/>
      <c r="D5"/>
      <c r="E5" s="17"/>
      <c r="F5"/>
      <c r="G5"/>
      <c r="H5"/>
    </row>
    <row r="6" spans="1:12" x14ac:dyDescent="0.25">
      <c r="B6" s="3"/>
      <c r="C6" s="4" t="s">
        <v>32</v>
      </c>
      <c r="D6" s="4" t="s">
        <v>33</v>
      </c>
      <c r="E6" s="4" t="s">
        <v>34</v>
      </c>
      <c r="F6" s="4" t="s">
        <v>35</v>
      </c>
      <c r="G6" s="4" t="str">
        <f>A2</f>
        <v>Case No. 2024-00173</v>
      </c>
      <c r="H6" s="18"/>
    </row>
    <row r="7" spans="1:12" x14ac:dyDescent="0.25">
      <c r="B7" s="3"/>
      <c r="C7" s="4" t="s">
        <v>36</v>
      </c>
      <c r="D7" s="4" t="s">
        <v>37</v>
      </c>
      <c r="E7" s="4" t="s">
        <v>38</v>
      </c>
      <c r="F7" s="4" t="s">
        <v>2</v>
      </c>
      <c r="G7" s="4" t="s">
        <v>39</v>
      </c>
      <c r="H7" s="18"/>
    </row>
    <row r="8" spans="1:12" ht="30" x14ac:dyDescent="0.25">
      <c r="C8" s="19" t="s">
        <v>40</v>
      </c>
      <c r="D8" s="19" t="s">
        <v>41</v>
      </c>
      <c r="E8" s="19" t="s">
        <v>42</v>
      </c>
      <c r="F8" s="19" t="s">
        <v>43</v>
      </c>
      <c r="G8" s="20" t="s">
        <v>44</v>
      </c>
      <c r="H8" s="4"/>
    </row>
    <row r="9" spans="1:12" ht="30" x14ac:dyDescent="0.25">
      <c r="A9" s="21" t="s">
        <v>3</v>
      </c>
      <c r="B9" s="22"/>
      <c r="C9" s="23" t="s">
        <v>45</v>
      </c>
      <c r="D9" s="23" t="s">
        <v>46</v>
      </c>
      <c r="E9" s="23" t="s">
        <v>47</v>
      </c>
      <c r="F9" s="23" t="s">
        <v>48</v>
      </c>
      <c r="G9" s="24" t="s">
        <v>49</v>
      </c>
      <c r="H9" s="23" t="s">
        <v>50</v>
      </c>
    </row>
    <row r="10" spans="1:12" x14ac:dyDescent="0.25">
      <c r="A10" s="7">
        <v>1</v>
      </c>
      <c r="B10" s="2" t="s">
        <v>51</v>
      </c>
      <c r="C10" s="25">
        <v>9328645</v>
      </c>
      <c r="D10" s="25">
        <v>19931458.859999999</v>
      </c>
      <c r="E10" s="26">
        <v>28150399.739999998</v>
      </c>
      <c r="F10" s="26">
        <v>9728609.2307692096</v>
      </c>
      <c r="G10" s="26">
        <v>0</v>
      </c>
      <c r="H10" s="26">
        <f>SUM(C10:G10)</f>
        <v>67139112.830769211</v>
      </c>
    </row>
    <row r="11" spans="1:12" x14ac:dyDescent="0.25">
      <c r="A11" s="7">
        <f t="shared" ref="A11:A42" si="0">A10+1</f>
        <v>2</v>
      </c>
      <c r="B11" s="2" t="s">
        <v>52</v>
      </c>
      <c r="C11" s="2">
        <v>-633049.26000000013</v>
      </c>
      <c r="D11" s="2">
        <v>-414147.64</v>
      </c>
      <c r="E11" s="2">
        <v>-524527.05000000005</v>
      </c>
      <c r="F11" s="2">
        <v>-219471.73523716713</v>
      </c>
      <c r="H11" s="2">
        <f>SUM(C11:G11)</f>
        <v>-1791195.6852371674</v>
      </c>
    </row>
    <row r="12" spans="1:12" x14ac:dyDescent="0.25">
      <c r="A12" s="7">
        <f t="shared" si="0"/>
        <v>3</v>
      </c>
      <c r="B12" s="27" t="s">
        <v>53</v>
      </c>
      <c r="C12" s="28">
        <f t="shared" ref="C12:H12" si="1">SUM(C10:C11)</f>
        <v>8695595.7400000002</v>
      </c>
      <c r="D12" s="28">
        <f t="shared" si="1"/>
        <v>19517311.219999999</v>
      </c>
      <c r="E12" s="28">
        <f t="shared" si="1"/>
        <v>27625872.689999998</v>
      </c>
      <c r="F12" s="28">
        <f t="shared" si="1"/>
        <v>9509137.4955320433</v>
      </c>
      <c r="G12" s="28">
        <f t="shared" si="1"/>
        <v>0</v>
      </c>
      <c r="H12" s="28">
        <f t="shared" si="1"/>
        <v>65347917.145532042</v>
      </c>
      <c r="L12" s="29"/>
    </row>
    <row r="13" spans="1:12" x14ac:dyDescent="0.25">
      <c r="A13" s="7">
        <f t="shared" si="0"/>
        <v>4</v>
      </c>
    </row>
    <row r="14" spans="1:12" x14ac:dyDescent="0.25">
      <c r="A14" s="7">
        <f t="shared" si="0"/>
        <v>5</v>
      </c>
      <c r="B14" s="2" t="s">
        <v>54</v>
      </c>
      <c r="C14" s="2">
        <v>549261.21</v>
      </c>
      <c r="D14" s="2">
        <v>2433438.5939999996</v>
      </c>
      <c r="E14" s="2">
        <v>-659176.73</v>
      </c>
      <c r="F14" s="14">
        <v>972860.92307692301</v>
      </c>
      <c r="G14" s="14"/>
      <c r="H14" s="2">
        <f t="shared" ref="H14:H19" si="2">SUM(C14:G14)</f>
        <v>3296383.9970769226</v>
      </c>
      <c r="L14" s="10"/>
    </row>
    <row r="15" spans="1:12" x14ac:dyDescent="0.25">
      <c r="A15" s="7">
        <f t="shared" si="0"/>
        <v>6</v>
      </c>
      <c r="B15" s="2" t="s">
        <v>52</v>
      </c>
      <c r="C15" s="2">
        <v>633049.26000000013</v>
      </c>
      <c r="D15" s="2">
        <v>414147.64</v>
      </c>
      <c r="E15" s="2">
        <f>-E11</f>
        <v>524527.05000000005</v>
      </c>
      <c r="F15" s="2">
        <f>-F11</f>
        <v>219471.73523716713</v>
      </c>
      <c r="H15" s="2">
        <f t="shared" si="2"/>
        <v>1791195.6852371674</v>
      </c>
      <c r="L15" s="29"/>
    </row>
    <row r="16" spans="1:12" x14ac:dyDescent="0.25">
      <c r="A16" s="7">
        <f t="shared" si="0"/>
        <v>7</v>
      </c>
      <c r="B16" s="2" t="s">
        <v>55</v>
      </c>
      <c r="C16" s="2">
        <v>-137516.30201400002</v>
      </c>
      <c r="D16" s="14"/>
      <c r="H16" s="2">
        <f t="shared" si="2"/>
        <v>-137516.30201400002</v>
      </c>
    </row>
    <row r="17" spans="1:8" x14ac:dyDescent="0.25">
      <c r="A17" s="7">
        <f t="shared" si="0"/>
        <v>8</v>
      </c>
      <c r="B17" s="2" t="s">
        <v>56</v>
      </c>
      <c r="D17" s="14">
        <v>-311545.17248900002</v>
      </c>
      <c r="H17" s="2">
        <f t="shared" si="2"/>
        <v>-311545.17248900002</v>
      </c>
    </row>
    <row r="18" spans="1:8" x14ac:dyDescent="0.25">
      <c r="A18" s="7">
        <f t="shared" si="0"/>
        <v>9</v>
      </c>
      <c r="B18" s="2" t="s">
        <v>57</v>
      </c>
      <c r="E18" s="2">
        <v>-422675.85215700004</v>
      </c>
      <c r="H18" s="2">
        <f t="shared" si="2"/>
        <v>-422675.85215700004</v>
      </c>
    </row>
    <row r="19" spans="1:8" x14ac:dyDescent="0.25">
      <c r="A19" s="7">
        <f t="shared" si="0"/>
        <v>10</v>
      </c>
      <c r="B19" s="2" t="s">
        <v>58</v>
      </c>
      <c r="F19" s="2">
        <v>-145489.80368164025</v>
      </c>
      <c r="H19" s="2">
        <f t="shared" si="2"/>
        <v>-145489.80368164025</v>
      </c>
    </row>
    <row r="20" spans="1:8" x14ac:dyDescent="0.25">
      <c r="A20" s="7">
        <f t="shared" si="0"/>
        <v>11</v>
      </c>
      <c r="B20" s="27" t="s">
        <v>59</v>
      </c>
      <c r="C20" s="28">
        <f>SUM(C14:C18)</f>
        <v>1044794.1679860002</v>
      </c>
      <c r="D20" s="28">
        <f>SUM(D14:D18)</f>
        <v>2536041.0615109997</v>
      </c>
      <c r="E20" s="28">
        <f>SUM(E14:E18)</f>
        <v>-557325.53215699992</v>
      </c>
      <c r="F20" s="28">
        <f>SUM(F14:F19)</f>
        <v>1046842.85463245</v>
      </c>
      <c r="G20" s="28">
        <f>SUM(G14:G19)</f>
        <v>0</v>
      </c>
      <c r="H20" s="28">
        <f>SUM(H14:H19)</f>
        <v>4070352.5519724502</v>
      </c>
    </row>
    <row r="21" spans="1:8" x14ac:dyDescent="0.25">
      <c r="A21" s="7">
        <f t="shared" si="0"/>
        <v>12</v>
      </c>
    </row>
    <row r="22" spans="1:8" x14ac:dyDescent="0.25">
      <c r="A22" s="7">
        <f t="shared" si="0"/>
        <v>13</v>
      </c>
      <c r="B22" s="3" t="s">
        <v>60</v>
      </c>
      <c r="C22" s="2">
        <f>C12+C20</f>
        <v>9740389.9079860002</v>
      </c>
      <c r="D22" s="2">
        <f>D12+D20</f>
        <v>22053352.281510998</v>
      </c>
      <c r="E22" s="2">
        <f>E12+E20</f>
        <v>27068547.157842997</v>
      </c>
      <c r="F22" s="2">
        <f>F12+F20</f>
        <v>10555980.350164494</v>
      </c>
      <c r="H22" s="2">
        <f>SUM(C22:G22)</f>
        <v>69418269.697504491</v>
      </c>
    </row>
    <row r="23" spans="1:8" x14ac:dyDescent="0.25">
      <c r="A23" s="7">
        <f t="shared" si="0"/>
        <v>14</v>
      </c>
      <c r="B23" s="2" t="s">
        <v>61</v>
      </c>
      <c r="C23" s="2">
        <v>-1550182.6106699761</v>
      </c>
      <c r="H23" s="2">
        <f>SUM(C23:G23)</f>
        <v>-1550182.6106699761</v>
      </c>
    </row>
    <row r="24" spans="1:8" x14ac:dyDescent="0.25">
      <c r="A24" s="7">
        <f t="shared" si="0"/>
        <v>15</v>
      </c>
      <c r="B24" s="2" t="s">
        <v>62</v>
      </c>
      <c r="D24" s="2">
        <v>-3674352.5118128452</v>
      </c>
      <c r="H24" s="2">
        <f>SUM(C24:G24)</f>
        <v>-3674352.5118128452</v>
      </c>
    </row>
    <row r="25" spans="1:8" x14ac:dyDescent="0.25">
      <c r="A25" s="7">
        <f t="shared" si="0"/>
        <v>16</v>
      </c>
      <c r="B25" s="2" t="s">
        <v>63</v>
      </c>
      <c r="E25" s="2">
        <v>-1663893.6856917422</v>
      </c>
      <c r="H25" s="2">
        <f>SUM(C25:G25)</f>
        <v>-1663893.6856917422</v>
      </c>
    </row>
    <row r="26" spans="1:8" x14ac:dyDescent="0.25">
      <c r="A26" s="7">
        <f t="shared" si="0"/>
        <v>17</v>
      </c>
      <c r="B26" s="2" t="s">
        <v>64</v>
      </c>
      <c r="C26" s="22"/>
      <c r="D26" s="22"/>
      <c r="E26" s="22"/>
      <c r="F26" s="22">
        <v>-1747671.2109211385</v>
      </c>
      <c r="G26" s="22"/>
      <c r="H26" s="2">
        <f>SUM(C26:G26)</f>
        <v>-1747671.2109211385</v>
      </c>
    </row>
    <row r="27" spans="1:8" x14ac:dyDescent="0.25">
      <c r="A27" s="7">
        <f t="shared" si="0"/>
        <v>18</v>
      </c>
      <c r="B27" s="27" t="s">
        <v>65</v>
      </c>
      <c r="C27" s="2">
        <f t="shared" ref="C27:H27" si="3">SUM(C22:C26)</f>
        <v>8190207.2973160241</v>
      </c>
      <c r="D27" s="2">
        <f t="shared" si="3"/>
        <v>18378999.76969815</v>
      </c>
      <c r="E27" s="2">
        <f t="shared" si="3"/>
        <v>25404653.472151257</v>
      </c>
      <c r="F27" s="2">
        <f t="shared" si="3"/>
        <v>8808309.139243355</v>
      </c>
      <c r="G27" s="2">
        <f t="shared" si="3"/>
        <v>0</v>
      </c>
      <c r="H27" s="30">
        <f t="shared" si="3"/>
        <v>60782169.678408794</v>
      </c>
    </row>
    <row r="28" spans="1:8" x14ac:dyDescent="0.25">
      <c r="A28" s="7">
        <f t="shared" si="0"/>
        <v>19</v>
      </c>
      <c r="B28" s="2" t="s">
        <v>66</v>
      </c>
      <c r="C28" s="31">
        <v>9.2821000000000001E-2</v>
      </c>
      <c r="D28" s="31">
        <f>C28</f>
        <v>9.2821000000000001E-2</v>
      </c>
      <c r="E28" s="31">
        <f>D28</f>
        <v>9.2821000000000001E-2</v>
      </c>
      <c r="F28" s="31">
        <f>C28</f>
        <v>9.2821000000000001E-2</v>
      </c>
      <c r="G28" s="31"/>
      <c r="H28" s="31">
        <f>C28</f>
        <v>9.2821000000000001E-2</v>
      </c>
    </row>
    <row r="29" spans="1:8" x14ac:dyDescent="0.25">
      <c r="A29" s="7">
        <f t="shared" si="0"/>
        <v>20</v>
      </c>
      <c r="B29" s="2" t="s">
        <v>67</v>
      </c>
      <c r="C29" s="2">
        <f t="shared" ref="C29:H29" si="4">C27*C28</f>
        <v>760223.23154417065</v>
      </c>
      <c r="D29" s="2">
        <f t="shared" si="4"/>
        <v>1705957.137623152</v>
      </c>
      <c r="E29" s="2">
        <f t="shared" si="4"/>
        <v>2358085.3399385517</v>
      </c>
      <c r="F29" s="2">
        <f t="shared" si="4"/>
        <v>817596.0626137075</v>
      </c>
      <c r="G29" s="2">
        <f t="shared" si="4"/>
        <v>0</v>
      </c>
      <c r="H29" s="2">
        <f t="shared" si="4"/>
        <v>5641861.7717195824</v>
      </c>
    </row>
    <row r="30" spans="1:8" x14ac:dyDescent="0.25">
      <c r="A30" s="7">
        <f t="shared" si="0"/>
        <v>21</v>
      </c>
      <c r="B30" s="2" t="s">
        <v>68</v>
      </c>
      <c r="C30" s="2">
        <v>137516.30201400002</v>
      </c>
      <c r="H30" s="2">
        <f t="shared" ref="H30:H37" si="5">SUM(C30:G30)</f>
        <v>137516.30201400002</v>
      </c>
    </row>
    <row r="31" spans="1:8" x14ac:dyDescent="0.25">
      <c r="A31" s="7">
        <f t="shared" si="0"/>
        <v>22</v>
      </c>
      <c r="B31" s="2" t="s">
        <v>69</v>
      </c>
      <c r="D31" s="2">
        <v>311545.17248900002</v>
      </c>
      <c r="H31" s="2">
        <f t="shared" si="5"/>
        <v>311545.17248900002</v>
      </c>
    </row>
    <row r="32" spans="1:8" x14ac:dyDescent="0.25">
      <c r="A32" s="7">
        <f t="shared" si="0"/>
        <v>23</v>
      </c>
      <c r="B32" s="2" t="s">
        <v>70</v>
      </c>
      <c r="E32" s="2">
        <v>422675.85215700004</v>
      </c>
      <c r="H32" s="2">
        <f t="shared" si="5"/>
        <v>422675.85215700004</v>
      </c>
    </row>
    <row r="33" spans="1:8" x14ac:dyDescent="0.25">
      <c r="A33" s="7">
        <f t="shared" si="0"/>
        <v>24</v>
      </c>
      <c r="B33" s="2" t="s">
        <v>71</v>
      </c>
      <c r="F33" s="2">
        <v>145489.80368164025</v>
      </c>
      <c r="H33" s="2">
        <f t="shared" si="5"/>
        <v>145489.80368164025</v>
      </c>
    </row>
    <row r="34" spans="1:8" x14ac:dyDescent="0.25">
      <c r="A34" s="7">
        <f t="shared" si="0"/>
        <v>25</v>
      </c>
      <c r="B34" s="2" t="s">
        <v>72</v>
      </c>
      <c r="C34" s="2">
        <v>120868.780786</v>
      </c>
      <c r="D34" s="2">
        <v>21360.756920402622</v>
      </c>
      <c r="E34" s="2">
        <v>-4347.7978699999949</v>
      </c>
      <c r="F34" s="2">
        <v>7826.0361659999908</v>
      </c>
      <c r="H34" s="2">
        <f t="shared" si="5"/>
        <v>145707.77600240265</v>
      </c>
    </row>
    <row r="35" spans="1:8" x14ac:dyDescent="0.25">
      <c r="A35" s="7">
        <f t="shared" si="0"/>
        <v>26</v>
      </c>
      <c r="B35" s="2" t="s">
        <v>73</v>
      </c>
      <c r="D35" s="2">
        <v>261531.970348</v>
      </c>
      <c r="E35" s="2">
        <v>-9758.655609999958</v>
      </c>
      <c r="F35" s="2">
        <v>17565.580098000006</v>
      </c>
      <c r="H35" s="2">
        <f t="shared" si="5"/>
        <v>269338.89483600005</v>
      </c>
    </row>
    <row r="36" spans="1:8" x14ac:dyDescent="0.25">
      <c r="A36" s="7">
        <f t="shared" si="0"/>
        <v>27</v>
      </c>
      <c r="B36" s="2" t="s">
        <v>74</v>
      </c>
      <c r="E36" s="2">
        <v>362929.0662110105</v>
      </c>
      <c r="F36" s="2">
        <v>24375.832805217127</v>
      </c>
      <c r="H36" s="2">
        <f t="shared" si="5"/>
        <v>387304.89901622763</v>
      </c>
    </row>
    <row r="37" spans="1:8" x14ac:dyDescent="0.25">
      <c r="A37" s="7">
        <f t="shared" si="0"/>
        <v>28</v>
      </c>
      <c r="B37" s="2" t="s">
        <v>75</v>
      </c>
      <c r="C37" s="22"/>
      <c r="D37" s="22"/>
      <c r="E37" s="22"/>
      <c r="F37" s="22">
        <v>274539.68804502767</v>
      </c>
      <c r="G37" s="22"/>
      <c r="H37" s="2">
        <f t="shared" si="5"/>
        <v>274539.68804502767</v>
      </c>
    </row>
    <row r="38" spans="1:8" x14ac:dyDescent="0.25">
      <c r="A38" s="7">
        <f t="shared" si="0"/>
        <v>29</v>
      </c>
      <c r="H38" s="30"/>
    </row>
    <row r="39" spans="1:8" ht="15.75" thickBot="1" x14ac:dyDescent="0.3">
      <c r="A39" s="7">
        <f t="shared" si="0"/>
        <v>30</v>
      </c>
      <c r="B39" s="3" t="s">
        <v>76</v>
      </c>
      <c r="C39" s="32">
        <f t="shared" ref="C39:H39" si="6">SUM(C29:C37)</f>
        <v>1018608.3143441706</v>
      </c>
      <c r="D39" s="32">
        <f t="shared" si="6"/>
        <v>2300395.0373805547</v>
      </c>
      <c r="E39" s="32">
        <f t="shared" si="6"/>
        <v>3129583.8048265623</v>
      </c>
      <c r="F39" s="32">
        <f t="shared" si="6"/>
        <v>1287393.0034095924</v>
      </c>
      <c r="G39" s="32">
        <f t="shared" si="6"/>
        <v>0</v>
      </c>
      <c r="H39" s="32">
        <f t="shared" si="6"/>
        <v>7735980.1599608799</v>
      </c>
    </row>
    <row r="40" spans="1:8" ht="15.75" thickTop="1" x14ac:dyDescent="0.25">
      <c r="A40" s="7">
        <f t="shared" si="0"/>
        <v>31</v>
      </c>
    </row>
    <row r="41" spans="1:8" s="14" customFormat="1" x14ac:dyDescent="0.25">
      <c r="A41" s="33">
        <f t="shared" si="0"/>
        <v>32</v>
      </c>
      <c r="B41" s="14" t="s">
        <v>24</v>
      </c>
      <c r="C41" s="34">
        <v>120635314</v>
      </c>
      <c r="D41" s="34">
        <f>$C41</f>
        <v>120635314</v>
      </c>
      <c r="E41" s="34">
        <f>$C41</f>
        <v>120635314</v>
      </c>
      <c r="F41" s="34">
        <f>$C41</f>
        <v>120635314</v>
      </c>
      <c r="G41" s="34">
        <f>$C41</f>
        <v>120635314</v>
      </c>
      <c r="H41" s="34">
        <f>$C41</f>
        <v>120635314</v>
      </c>
    </row>
    <row r="42" spans="1:8" ht="15.75" thickBot="1" x14ac:dyDescent="0.3">
      <c r="A42" s="7">
        <f t="shared" si="0"/>
        <v>33</v>
      </c>
      <c r="B42" s="2" t="s">
        <v>77</v>
      </c>
      <c r="C42" s="35">
        <f t="shared" ref="C42:H42" si="7">ROUND(C39/C41,4)</f>
        <v>8.3999999999999995E-3</v>
      </c>
      <c r="D42" s="35">
        <f t="shared" si="7"/>
        <v>1.9099999999999999E-2</v>
      </c>
      <c r="E42" s="35">
        <f t="shared" si="7"/>
        <v>2.5899999999999999E-2</v>
      </c>
      <c r="F42" s="35">
        <f t="shared" si="7"/>
        <v>1.0699999999999999E-2</v>
      </c>
      <c r="G42" s="35">
        <f t="shared" si="7"/>
        <v>0</v>
      </c>
      <c r="H42" s="35">
        <f t="shared" si="7"/>
        <v>6.4100000000000004E-2</v>
      </c>
    </row>
    <row r="43" spans="1:8" ht="15.75" thickTop="1" x14ac:dyDescent="0.25">
      <c r="A43" s="7">
        <v>34</v>
      </c>
      <c r="B43"/>
      <c r="C43"/>
      <c r="D43"/>
      <c r="E43"/>
      <c r="F43"/>
      <c r="G43"/>
      <c r="H43"/>
    </row>
    <row r="44" spans="1:8" x14ac:dyDescent="0.25">
      <c r="H44" s="37"/>
    </row>
    <row r="45" spans="1:8" x14ac:dyDescent="0.25">
      <c r="H45" s="37"/>
    </row>
  </sheetData>
  <printOptions horizontalCentered="1"/>
  <pageMargins left="0.25" right="0.25" top="0.25" bottom="0.25" header="0.3" footer="0.3"/>
  <pageSetup scale="6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00EB-1851-49C0-954C-BA24A7BBBA6E}">
  <sheetPr>
    <pageSetUpPr fitToPage="1"/>
  </sheetPr>
  <dimension ref="A1:M52"/>
  <sheetViews>
    <sheetView zoomScale="90" zoomScaleNormal="90" workbookViewId="0">
      <pane xSplit="2" ySplit="10" topLeftCell="F29" activePane="bottomRight" state="frozen"/>
      <selection activeCell="E11" sqref="E11"/>
      <selection pane="topRight" activeCell="E11" sqref="E11"/>
      <selection pane="bottomLeft" activeCell="E11" sqref="E11"/>
      <selection pane="bottomRight" activeCell="G42" sqref="G42"/>
    </sheetView>
  </sheetViews>
  <sheetFormatPr defaultColWidth="14.7109375" defaultRowHeight="15" x14ac:dyDescent="0.25"/>
  <cols>
    <col min="1" max="1" width="9.7109375" style="39" customWidth="1"/>
    <col min="2" max="2" width="49" style="39" bestFit="1" customWidth="1"/>
    <col min="3" max="3" width="18.7109375" style="39" customWidth="1"/>
    <col min="4" max="4" width="19.28515625" style="39" bestFit="1" customWidth="1"/>
    <col min="5" max="5" width="19.5703125" style="39" bestFit="1" customWidth="1"/>
    <col min="6" max="6" width="19.28515625" style="39" bestFit="1" customWidth="1"/>
    <col min="7" max="7" width="18.7109375" style="39" customWidth="1"/>
    <col min="8" max="8" width="18.7109375" style="42" customWidth="1"/>
    <col min="9" max="16384" width="14.7109375" style="39"/>
  </cols>
  <sheetData>
    <row r="1" spans="1:8" x14ac:dyDescent="0.25">
      <c r="A1" s="17" t="s">
        <v>0</v>
      </c>
      <c r="C1" s="40"/>
      <c r="H1" s="41"/>
    </row>
    <row r="2" spans="1:8" x14ac:dyDescent="0.25">
      <c r="A2" s="17" t="s">
        <v>159</v>
      </c>
      <c r="B2" s="38"/>
      <c r="C2" s="40"/>
    </row>
    <row r="3" spans="1:8" x14ac:dyDescent="0.25">
      <c r="A3" s="17" t="s">
        <v>163</v>
      </c>
      <c r="C3" s="40"/>
    </row>
    <row r="4" spans="1:8" x14ac:dyDescent="0.25">
      <c r="A4" s="17" t="s">
        <v>165</v>
      </c>
      <c r="B4" s="38"/>
      <c r="C4" s="40"/>
      <c r="D4" s="40"/>
      <c r="E4" s="43"/>
      <c r="F4" s="40"/>
      <c r="G4" s="40"/>
      <c r="H4" s="44"/>
    </row>
    <row r="5" spans="1:8" x14ac:dyDescent="0.25">
      <c r="B5" s="38"/>
      <c r="C5" s="40"/>
      <c r="D5" s="40"/>
      <c r="E5" s="43"/>
      <c r="F5" s="40"/>
      <c r="G5" s="40"/>
      <c r="H5" s="44"/>
    </row>
    <row r="6" spans="1:8" x14ac:dyDescent="0.25">
      <c r="B6" s="38"/>
      <c r="C6" s="40"/>
      <c r="D6" s="40"/>
      <c r="E6" s="43"/>
      <c r="F6" s="40"/>
      <c r="G6" s="40"/>
      <c r="H6" s="44"/>
    </row>
    <row r="7" spans="1:8" x14ac:dyDescent="0.25">
      <c r="B7" s="38"/>
      <c r="C7" s="45" t="s">
        <v>32</v>
      </c>
      <c r="D7" s="45" t="s">
        <v>33</v>
      </c>
      <c r="E7" s="45" t="s">
        <v>160</v>
      </c>
      <c r="F7" s="45" t="s">
        <v>159</v>
      </c>
      <c r="G7" s="46"/>
      <c r="H7" s="47"/>
    </row>
    <row r="8" spans="1:8" x14ac:dyDescent="0.25">
      <c r="B8" s="38"/>
      <c r="C8" s="45" t="s">
        <v>36</v>
      </c>
      <c r="D8" s="45" t="s">
        <v>37</v>
      </c>
      <c r="E8" s="45" t="s">
        <v>38</v>
      </c>
      <c r="F8" s="45" t="s">
        <v>2</v>
      </c>
      <c r="G8" s="46"/>
      <c r="H8" s="48"/>
    </row>
    <row r="9" spans="1:8" ht="30" x14ac:dyDescent="0.25">
      <c r="C9" s="49" t="s">
        <v>40</v>
      </c>
      <c r="D9" s="49" t="s">
        <v>41</v>
      </c>
      <c r="E9" s="49" t="s">
        <v>42</v>
      </c>
      <c r="F9" s="49" t="s">
        <v>43</v>
      </c>
      <c r="G9" s="45"/>
      <c r="H9" s="48"/>
    </row>
    <row r="10" spans="1:8" ht="30" x14ac:dyDescent="0.25">
      <c r="A10" s="50" t="s">
        <v>3</v>
      </c>
      <c r="B10" s="51"/>
      <c r="C10" s="52" t="s">
        <v>45</v>
      </c>
      <c r="D10" s="52" t="s">
        <v>46</v>
      </c>
      <c r="E10" s="52" t="s">
        <v>47</v>
      </c>
      <c r="F10" s="52" t="s">
        <v>48</v>
      </c>
      <c r="G10" s="52" t="s">
        <v>50</v>
      </c>
      <c r="H10" s="53"/>
    </row>
    <row r="11" spans="1:8" x14ac:dyDescent="0.25">
      <c r="A11" s="54">
        <v>1</v>
      </c>
      <c r="B11" s="39" t="s">
        <v>51</v>
      </c>
      <c r="C11" s="55">
        <v>9328645</v>
      </c>
      <c r="D11" s="55">
        <v>19931458.859999999</v>
      </c>
      <c r="E11" s="56">
        <v>28150399.739999998</v>
      </c>
      <c r="F11" s="56">
        <f>SUM('QIP Capital &amp; Expense'!E14:P14)/13</f>
        <v>13613866.715384612</v>
      </c>
      <c r="G11" s="56">
        <f>SUM(C11:F11)</f>
        <v>71024370.315384611</v>
      </c>
      <c r="H11" s="57"/>
    </row>
    <row r="12" spans="1:8" x14ac:dyDescent="0.25">
      <c r="A12" s="54">
        <f>A11+1</f>
        <v>2</v>
      </c>
      <c r="B12" s="39" t="s">
        <v>52</v>
      </c>
      <c r="C12" s="39">
        <v>-633049.26000000013</v>
      </c>
      <c r="D12" s="39">
        <v>-414147.64</v>
      </c>
      <c r="E12" s="39">
        <v>-524527.05000000005</v>
      </c>
      <c r="F12" s="39">
        <f>-SUM('QIP Capital &amp; Expense'!E25:P25)/13</f>
        <v>-617296.64923076914</v>
      </c>
      <c r="G12" s="39">
        <f>SUM(C12:F12)</f>
        <v>-2189020.5992307691</v>
      </c>
    </row>
    <row r="13" spans="1:8" x14ac:dyDescent="0.25">
      <c r="A13" s="54">
        <f t="shared" ref="A13:A49" si="0">A12+1</f>
        <v>3</v>
      </c>
      <c r="B13" s="58" t="s">
        <v>53</v>
      </c>
      <c r="C13" s="59">
        <f t="shared" ref="C13:F13" si="1">SUM(C11:C12)</f>
        <v>8695595.7400000002</v>
      </c>
      <c r="D13" s="59">
        <f t="shared" si="1"/>
        <v>19517311.219999999</v>
      </c>
      <c r="E13" s="59">
        <f t="shared" si="1"/>
        <v>27625872.689999998</v>
      </c>
      <c r="F13" s="59">
        <f t="shared" si="1"/>
        <v>12996570.066153843</v>
      </c>
      <c r="G13" s="59">
        <f>SUM(G11:G12)</f>
        <v>68835349.716153845</v>
      </c>
    </row>
    <row r="14" spans="1:8" x14ac:dyDescent="0.25">
      <c r="A14" s="54">
        <f t="shared" si="0"/>
        <v>4</v>
      </c>
    </row>
    <row r="15" spans="1:8" x14ac:dyDescent="0.25">
      <c r="A15" s="54">
        <f t="shared" si="0"/>
        <v>5</v>
      </c>
      <c r="B15" s="39" t="s">
        <v>54</v>
      </c>
      <c r="C15" s="39">
        <v>549261.21</v>
      </c>
      <c r="D15" s="39">
        <v>2433438.5939999996</v>
      </c>
      <c r="E15" s="39">
        <v>-659176.73</v>
      </c>
      <c r="F15" s="60">
        <f>SUM('QIP Capital &amp; Expense'!E36:P36)/13</f>
        <v>677954.92999999959</v>
      </c>
      <c r="G15" s="39">
        <f t="shared" ref="G15:G20" si="2">SUM(C15:F15)</f>
        <v>3001478.0039999993</v>
      </c>
    </row>
    <row r="16" spans="1:8" x14ac:dyDescent="0.25">
      <c r="A16" s="54">
        <f t="shared" si="0"/>
        <v>6</v>
      </c>
      <c r="B16" s="39" t="s">
        <v>52</v>
      </c>
      <c r="C16" s="39">
        <v>633049.26000000013</v>
      </c>
      <c r="D16" s="39">
        <v>414147.64</v>
      </c>
      <c r="E16" s="39">
        <v>524527.05000000005</v>
      </c>
      <c r="F16" s="39">
        <f>-F12</f>
        <v>617296.64923076914</v>
      </c>
      <c r="G16" s="39">
        <f t="shared" si="2"/>
        <v>2189020.5992307691</v>
      </c>
    </row>
    <row r="17" spans="1:8" x14ac:dyDescent="0.25">
      <c r="A17" s="54">
        <f t="shared" si="0"/>
        <v>7</v>
      </c>
      <c r="B17" s="39" t="s">
        <v>55</v>
      </c>
      <c r="C17" s="39">
        <v>-137516.30201400002</v>
      </c>
      <c r="D17" s="60"/>
      <c r="G17" s="39">
        <f t="shared" si="2"/>
        <v>-137516.30201400002</v>
      </c>
    </row>
    <row r="18" spans="1:8" x14ac:dyDescent="0.25">
      <c r="A18" s="54">
        <f t="shared" si="0"/>
        <v>8</v>
      </c>
      <c r="B18" s="39" t="s">
        <v>56</v>
      </c>
      <c r="D18" s="60">
        <v>-311545.17248900002</v>
      </c>
      <c r="G18" s="39">
        <f t="shared" si="2"/>
        <v>-311545.17248900002</v>
      </c>
    </row>
    <row r="19" spans="1:8" x14ac:dyDescent="0.25">
      <c r="A19" s="54">
        <f t="shared" si="0"/>
        <v>9</v>
      </c>
      <c r="B19" s="39" t="s">
        <v>57</v>
      </c>
      <c r="E19" s="39">
        <v>-422675.85215700004</v>
      </c>
      <c r="G19" s="39">
        <f t="shared" si="2"/>
        <v>-422675.85215700004</v>
      </c>
    </row>
    <row r="20" spans="1:8" x14ac:dyDescent="0.25">
      <c r="A20" s="54">
        <f t="shared" si="0"/>
        <v>10</v>
      </c>
      <c r="B20" s="39" t="s">
        <v>58</v>
      </c>
      <c r="F20" s="39">
        <f>-SUM('QIP Capital &amp; Expense'!E80:P80)/13</f>
        <v>-525646.84777830727</v>
      </c>
      <c r="G20" s="39">
        <f t="shared" si="2"/>
        <v>-525646.84777830727</v>
      </c>
    </row>
    <row r="21" spans="1:8" x14ac:dyDescent="0.25">
      <c r="A21" s="54">
        <f t="shared" si="0"/>
        <v>11</v>
      </c>
      <c r="B21" s="58" t="s">
        <v>59</v>
      </c>
      <c r="C21" s="59">
        <f t="shared" ref="C21" si="3">SUM(C15:C20)</f>
        <v>1044794.1679860002</v>
      </c>
      <c r="D21" s="59">
        <f t="shared" ref="D21" si="4">SUM(D15:D20)</f>
        <v>2536041.0615109997</v>
      </c>
      <c r="E21" s="59">
        <f t="shared" ref="E21" si="5">SUM(E15:E20)</f>
        <v>-557325.53215699992</v>
      </c>
      <c r="F21" s="59">
        <f t="shared" ref="F21" si="6">SUM(F15:F20)</f>
        <v>769604.73145246133</v>
      </c>
      <c r="G21" s="59">
        <f t="shared" ref="G21" si="7">SUM(G15:G20)</f>
        <v>3793114.4287924618</v>
      </c>
    </row>
    <row r="22" spans="1:8" x14ac:dyDescent="0.25">
      <c r="A22" s="54">
        <f t="shared" si="0"/>
        <v>12</v>
      </c>
    </row>
    <row r="23" spans="1:8" x14ac:dyDescent="0.25">
      <c r="A23" s="54">
        <f t="shared" si="0"/>
        <v>13</v>
      </c>
      <c r="B23" s="38" t="s">
        <v>60</v>
      </c>
      <c r="C23" s="39">
        <f t="shared" ref="C23:F23" si="8">C13+C21</f>
        <v>9740389.9079860002</v>
      </c>
      <c r="D23" s="39">
        <f t="shared" si="8"/>
        <v>22053352.281510998</v>
      </c>
      <c r="E23" s="39">
        <f t="shared" si="8"/>
        <v>27068547.157842997</v>
      </c>
      <c r="F23" s="39">
        <f t="shared" si="8"/>
        <v>13766174.797606304</v>
      </c>
      <c r="G23" s="39">
        <f t="shared" ref="G23:G27" si="9">SUM(C23:F23)</f>
        <v>72628464.144946307</v>
      </c>
    </row>
    <row r="24" spans="1:8" x14ac:dyDescent="0.25">
      <c r="A24" s="54">
        <f t="shared" si="0"/>
        <v>14</v>
      </c>
      <c r="B24" s="39" t="s">
        <v>61</v>
      </c>
      <c r="C24" s="39">
        <v>-1550182.6106699761</v>
      </c>
      <c r="G24" s="39">
        <f t="shared" si="9"/>
        <v>-1550182.6106699761</v>
      </c>
    </row>
    <row r="25" spans="1:8" x14ac:dyDescent="0.25">
      <c r="A25" s="54">
        <f t="shared" si="0"/>
        <v>15</v>
      </c>
      <c r="B25" s="39" t="s">
        <v>62</v>
      </c>
      <c r="D25" s="39">
        <v>-3674352.5118128452</v>
      </c>
      <c r="G25" s="39">
        <f t="shared" si="9"/>
        <v>-3674352.5118128452</v>
      </c>
    </row>
    <row r="26" spans="1:8" x14ac:dyDescent="0.25">
      <c r="A26" s="54">
        <f t="shared" si="0"/>
        <v>16</v>
      </c>
      <c r="B26" s="39" t="s">
        <v>63</v>
      </c>
      <c r="E26" s="39">
        <v>-1663893.6856917422</v>
      </c>
      <c r="G26" s="39">
        <f t="shared" si="9"/>
        <v>-1663893.6856917422</v>
      </c>
    </row>
    <row r="27" spans="1:8" x14ac:dyDescent="0.25">
      <c r="A27" s="54">
        <f t="shared" si="0"/>
        <v>17</v>
      </c>
      <c r="B27" s="39" t="s">
        <v>64</v>
      </c>
      <c r="C27" s="51"/>
      <c r="D27" s="51"/>
      <c r="E27" s="51"/>
      <c r="F27" s="51">
        <f>'QIP ADIT'!O42</f>
        <v>-1750394.7905974493</v>
      </c>
      <c r="G27" s="39">
        <f t="shared" si="9"/>
        <v>-1750394.7905974493</v>
      </c>
      <c r="H27" s="61"/>
    </row>
    <row r="28" spans="1:8" x14ac:dyDescent="0.25">
      <c r="A28" s="54">
        <f t="shared" si="0"/>
        <v>18</v>
      </c>
      <c r="B28" s="58" t="s">
        <v>65</v>
      </c>
      <c r="C28" s="39">
        <f>SUM(C23:C27)</f>
        <v>8190207.2973160241</v>
      </c>
      <c r="D28" s="39">
        <f t="shared" ref="D28:G28" si="10">SUM(D23:D27)</f>
        <v>18378999.76969815</v>
      </c>
      <c r="E28" s="39">
        <f t="shared" si="10"/>
        <v>25404653.472151257</v>
      </c>
      <c r="F28" s="39">
        <f t="shared" si="10"/>
        <v>12015780.007008854</v>
      </c>
      <c r="G28" s="62">
        <f t="shared" si="10"/>
        <v>63989640.546174295</v>
      </c>
    </row>
    <row r="29" spans="1:8" x14ac:dyDescent="0.25">
      <c r="A29" s="54">
        <f t="shared" si="0"/>
        <v>19</v>
      </c>
      <c r="B29" s="39" t="s">
        <v>66</v>
      </c>
      <c r="C29" s="63">
        <v>9.2821000000000001E-2</v>
      </c>
      <c r="D29" s="63">
        <v>9.2821000000000001E-2</v>
      </c>
      <c r="E29" s="63">
        <v>9.2821000000000001E-2</v>
      </c>
      <c r="F29" s="63">
        <v>9.2821000000000001E-2</v>
      </c>
      <c r="G29" s="63">
        <v>9.2821000000000001E-2</v>
      </c>
    </row>
    <row r="30" spans="1:8" x14ac:dyDescent="0.25">
      <c r="A30" s="54">
        <f t="shared" si="0"/>
        <v>20</v>
      </c>
      <c r="B30" s="39" t="s">
        <v>67</v>
      </c>
      <c r="C30" s="39">
        <f t="shared" ref="C30:F30" si="11">C28*C29</f>
        <v>760223.23154417065</v>
      </c>
      <c r="D30" s="39">
        <f t="shared" si="11"/>
        <v>1705957.137623152</v>
      </c>
      <c r="E30" s="39">
        <f t="shared" si="11"/>
        <v>2358085.3399385517</v>
      </c>
      <c r="F30" s="39">
        <f t="shared" si="11"/>
        <v>1115316.7160305688</v>
      </c>
      <c r="G30" s="39">
        <f>G28*G29</f>
        <v>5939582.4251364442</v>
      </c>
    </row>
    <row r="31" spans="1:8" x14ac:dyDescent="0.25">
      <c r="A31" s="54">
        <f t="shared" si="0"/>
        <v>21</v>
      </c>
      <c r="B31" s="39" t="s">
        <v>68</v>
      </c>
      <c r="C31" s="39">
        <v>137516.30201400002</v>
      </c>
      <c r="G31" s="39">
        <f t="shared" ref="G31:G38" si="12">SUM(C31:F31)</f>
        <v>137516.30201400002</v>
      </c>
    </row>
    <row r="32" spans="1:8" x14ac:dyDescent="0.25">
      <c r="A32" s="54">
        <f t="shared" si="0"/>
        <v>22</v>
      </c>
      <c r="B32" s="39" t="s">
        <v>69</v>
      </c>
      <c r="D32" s="39">
        <v>311545.17248900002</v>
      </c>
      <c r="G32" s="39">
        <f t="shared" si="12"/>
        <v>311545.17248900002</v>
      </c>
    </row>
    <row r="33" spans="1:13" x14ac:dyDescent="0.25">
      <c r="A33" s="54">
        <f t="shared" si="0"/>
        <v>23</v>
      </c>
      <c r="B33" s="39" t="s">
        <v>70</v>
      </c>
      <c r="E33" s="39">
        <v>422675.85215700004</v>
      </c>
      <c r="G33" s="39">
        <f t="shared" si="12"/>
        <v>422675.85215700004</v>
      </c>
    </row>
    <row r="34" spans="1:13" x14ac:dyDescent="0.25">
      <c r="A34" s="54">
        <f t="shared" si="0"/>
        <v>24</v>
      </c>
      <c r="B34" s="39" t="s">
        <v>71</v>
      </c>
      <c r="F34" s="39">
        <f>SUM('QIP Capital &amp; Expense'!E79:P79)-SUM(G31:G33)</f>
        <v>180504.86135586724</v>
      </c>
      <c r="G34" s="39">
        <f t="shared" si="12"/>
        <v>180504.86135586724</v>
      </c>
    </row>
    <row r="35" spans="1:13" x14ac:dyDescent="0.25">
      <c r="A35" s="54">
        <f t="shared" si="0"/>
        <v>25</v>
      </c>
      <c r="B35" s="39" t="s">
        <v>72</v>
      </c>
      <c r="C35" s="39">
        <v>120868.780786</v>
      </c>
      <c r="D35" s="39">
        <v>21360.756920402622</v>
      </c>
      <c r="E35" s="39">
        <v>-4347.7978699999949</v>
      </c>
      <c r="G35" s="39">
        <f t="shared" si="12"/>
        <v>137881.73983640264</v>
      </c>
    </row>
    <row r="36" spans="1:13" x14ac:dyDescent="0.25">
      <c r="A36" s="54">
        <f t="shared" si="0"/>
        <v>26</v>
      </c>
      <c r="B36" s="39" t="s">
        <v>73</v>
      </c>
      <c r="D36" s="39">
        <v>261531.970348</v>
      </c>
      <c r="E36" s="39">
        <v>-9758.655609999958</v>
      </c>
      <c r="G36" s="39">
        <f t="shared" si="12"/>
        <v>251773.31473800004</v>
      </c>
      <c r="H36" s="64"/>
      <c r="I36" s="175"/>
      <c r="J36" s="175"/>
      <c r="K36" s="175"/>
      <c r="L36" s="175"/>
      <c r="M36" s="175"/>
    </row>
    <row r="37" spans="1:13" x14ac:dyDescent="0.25">
      <c r="A37" s="54">
        <f t="shared" si="0"/>
        <v>27</v>
      </c>
      <c r="B37" s="39" t="s">
        <v>74</v>
      </c>
      <c r="E37" s="39">
        <v>362929.0662110105</v>
      </c>
      <c r="G37" s="39">
        <f t="shared" si="12"/>
        <v>362929.0662110105</v>
      </c>
      <c r="I37" s="175"/>
      <c r="J37" s="175"/>
      <c r="K37" s="175"/>
      <c r="L37" s="175"/>
      <c r="M37" s="175"/>
    </row>
    <row r="38" spans="1:13" x14ac:dyDescent="0.25">
      <c r="A38" s="54">
        <f t="shared" si="0"/>
        <v>28</v>
      </c>
      <c r="B38" s="39" t="s">
        <v>75</v>
      </c>
      <c r="C38" s="51"/>
      <c r="D38" s="51"/>
      <c r="E38" s="51"/>
      <c r="F38" s="51">
        <f>SUM('QIP Capital &amp; Expense'!E90:P90)-SUM(G35:G37)</f>
        <v>57227.266856938717</v>
      </c>
      <c r="G38" s="39">
        <f t="shared" si="12"/>
        <v>57227.266856938717</v>
      </c>
      <c r="H38" s="64"/>
      <c r="I38" s="175"/>
      <c r="J38" s="175"/>
      <c r="K38" s="175"/>
      <c r="L38" s="175"/>
      <c r="M38" s="175"/>
    </row>
    <row r="39" spans="1:13" x14ac:dyDescent="0.25">
      <c r="A39" s="54">
        <f t="shared" si="0"/>
        <v>29</v>
      </c>
      <c r="G39" s="62"/>
      <c r="H39" s="65"/>
      <c r="I39" s="175"/>
      <c r="J39" s="175"/>
      <c r="K39" s="175"/>
      <c r="L39" s="175"/>
      <c r="M39" s="175"/>
    </row>
    <row r="40" spans="1:13" ht="15.75" thickBot="1" x14ac:dyDescent="0.3">
      <c r="A40" s="54">
        <f t="shared" si="0"/>
        <v>30</v>
      </c>
      <c r="B40" s="38" t="s">
        <v>76</v>
      </c>
      <c r="C40" s="66">
        <f t="shared" ref="C40:F40" si="13">SUM(C30:C38)</f>
        <v>1018608.3143441706</v>
      </c>
      <c r="D40" s="66">
        <f t="shared" si="13"/>
        <v>2300395.0373805547</v>
      </c>
      <c r="E40" s="66">
        <f t="shared" si="13"/>
        <v>3129583.8048265623</v>
      </c>
      <c r="F40" s="66">
        <f t="shared" si="13"/>
        <v>1353048.8442433747</v>
      </c>
      <c r="G40" s="66">
        <f>SUM(G30:G38)</f>
        <v>7801636.0007946631</v>
      </c>
    </row>
    <row r="41" spans="1:13" ht="15.75" thickTop="1" x14ac:dyDescent="0.25">
      <c r="A41" s="54">
        <f t="shared" si="0"/>
        <v>31</v>
      </c>
      <c r="H41" s="67"/>
    </row>
    <row r="42" spans="1:13" x14ac:dyDescent="0.25">
      <c r="A42" s="54">
        <f t="shared" si="0"/>
        <v>32</v>
      </c>
      <c r="B42" s="68" t="s">
        <v>78</v>
      </c>
      <c r="C42" s="69"/>
      <c r="D42" s="69"/>
      <c r="E42" s="69"/>
      <c r="G42" s="68">
        <v>4250959.53</v>
      </c>
    </row>
    <row r="43" spans="1:13" x14ac:dyDescent="0.25">
      <c r="A43" s="54">
        <f t="shared" si="0"/>
        <v>33</v>
      </c>
      <c r="B43" s="68" t="s">
        <v>79</v>
      </c>
      <c r="C43" s="70"/>
      <c r="G43" s="68">
        <v>115658.26944825146</v>
      </c>
    </row>
    <row r="44" spans="1:13" x14ac:dyDescent="0.25">
      <c r="A44" s="54">
        <f t="shared" si="0"/>
        <v>34</v>
      </c>
      <c r="B44" s="68" t="s">
        <v>80</v>
      </c>
      <c r="G44" s="98">
        <f>G42-G43</f>
        <v>4135301.2605517488</v>
      </c>
    </row>
    <row r="45" spans="1:13" x14ac:dyDescent="0.25">
      <c r="A45" s="54">
        <f t="shared" si="0"/>
        <v>35</v>
      </c>
      <c r="B45" s="68"/>
      <c r="G45" s="68"/>
    </row>
    <row r="46" spans="1:13" x14ac:dyDescent="0.25">
      <c r="A46" s="54">
        <f t="shared" si="0"/>
        <v>36</v>
      </c>
      <c r="B46" s="68" t="s">
        <v>81</v>
      </c>
      <c r="G46" s="71">
        <f>G40-G44</f>
        <v>3666334.7402429143</v>
      </c>
    </row>
    <row r="47" spans="1:13" x14ac:dyDescent="0.25">
      <c r="A47" s="54">
        <f t="shared" si="0"/>
        <v>37</v>
      </c>
      <c r="B47" s="68"/>
      <c r="G47" s="68"/>
      <c r="I47" s="175"/>
      <c r="J47" s="175"/>
      <c r="K47" s="175"/>
      <c r="L47" s="175"/>
      <c r="M47" s="175"/>
    </row>
    <row r="48" spans="1:13" x14ac:dyDescent="0.25">
      <c r="A48" s="54">
        <f t="shared" si="0"/>
        <v>38</v>
      </c>
      <c r="B48" s="14" t="s">
        <v>24</v>
      </c>
      <c r="G48" s="72">
        <v>120635314</v>
      </c>
      <c r="I48" s="175"/>
      <c r="J48" s="175"/>
      <c r="K48" s="175"/>
      <c r="L48" s="175"/>
      <c r="M48" s="175"/>
    </row>
    <row r="49" spans="1:13" ht="15.75" thickBot="1" x14ac:dyDescent="0.3">
      <c r="A49" s="54">
        <f t="shared" si="0"/>
        <v>39</v>
      </c>
      <c r="B49" s="68" t="s">
        <v>82</v>
      </c>
      <c r="G49" s="73">
        <f>G46/G48</f>
        <v>3.0391886245207719E-2</v>
      </c>
      <c r="I49" s="175"/>
      <c r="J49" s="175"/>
      <c r="K49" s="175"/>
      <c r="L49" s="175"/>
      <c r="M49" s="175"/>
    </row>
    <row r="50" spans="1:13" ht="15.75" thickTop="1" x14ac:dyDescent="0.25">
      <c r="A50" s="54">
        <v>40</v>
      </c>
      <c r="B50"/>
      <c r="C50"/>
      <c r="D50"/>
      <c r="E50"/>
      <c r="F50"/>
      <c r="G50"/>
    </row>
    <row r="51" spans="1:13" x14ac:dyDescent="0.25">
      <c r="A51"/>
      <c r="B51"/>
      <c r="C51"/>
      <c r="D51"/>
      <c r="E51"/>
      <c r="F51"/>
      <c r="G51"/>
    </row>
    <row r="52" spans="1:13" x14ac:dyDescent="0.25">
      <c r="A52"/>
      <c r="B52"/>
      <c r="C52"/>
      <c r="D52"/>
      <c r="E52"/>
      <c r="F52"/>
      <c r="G52"/>
    </row>
  </sheetData>
  <pageMargins left="0.7" right="0.7" top="0.75" bottom="0.75" header="0.3" footer="0.3"/>
  <pageSetup scale="58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E8172-5C40-49A3-841E-E951F3862796}">
  <sheetPr>
    <pageSetUpPr fitToPage="1"/>
  </sheetPr>
  <dimension ref="A1:I133"/>
  <sheetViews>
    <sheetView zoomScale="90" zoomScaleNormal="90" zoomScaleSheetLayoutView="50" workbookViewId="0">
      <selection activeCell="G34" sqref="G34"/>
    </sheetView>
  </sheetViews>
  <sheetFormatPr defaultColWidth="8.85546875" defaultRowHeight="15" x14ac:dyDescent="0.25"/>
  <cols>
    <col min="1" max="1" width="5.5703125" style="134" customWidth="1"/>
    <col min="2" max="2" width="57.42578125" style="134" customWidth="1"/>
    <col min="3" max="3" width="9.7109375" style="134" bestFit="1" customWidth="1"/>
    <col min="4" max="4" width="12.140625" style="134" customWidth="1"/>
    <col min="5" max="5" width="17.140625" style="134" customWidth="1"/>
    <col min="6" max="6" width="10.85546875" style="134" customWidth="1"/>
    <col min="7" max="7" width="66" style="134" customWidth="1"/>
    <col min="8" max="16384" width="8.85546875" style="134"/>
  </cols>
  <sheetData>
    <row r="1" spans="1:7" x14ac:dyDescent="0.25">
      <c r="A1" s="174"/>
      <c r="B1" s="164"/>
      <c r="C1" s="164"/>
      <c r="D1" s="164"/>
      <c r="E1" s="164"/>
      <c r="F1" s="172"/>
      <c r="G1" s="171" t="s">
        <v>198</v>
      </c>
    </row>
    <row r="2" spans="1:7" x14ac:dyDescent="0.25">
      <c r="A2" s="174"/>
      <c r="B2" s="164"/>
      <c r="C2" s="164"/>
      <c r="D2" s="164"/>
      <c r="E2" s="173"/>
      <c r="F2" s="172"/>
      <c r="G2" s="171"/>
    </row>
    <row r="3" spans="1:7" x14ac:dyDescent="0.25">
      <c r="A3" s="148"/>
      <c r="B3" s="148"/>
      <c r="C3" s="148"/>
      <c r="D3" s="148"/>
      <c r="E3" s="172"/>
      <c r="F3" s="172"/>
      <c r="G3" s="171" t="s">
        <v>201</v>
      </c>
    </row>
    <row r="6" spans="1:7" x14ac:dyDescent="0.25">
      <c r="A6" s="176" t="s">
        <v>0</v>
      </c>
      <c r="B6" s="176"/>
      <c r="C6" s="176"/>
      <c r="D6" s="176"/>
      <c r="E6" s="176"/>
      <c r="F6" s="176"/>
      <c r="G6" s="176"/>
    </row>
    <row r="7" spans="1:7" x14ac:dyDescent="0.25">
      <c r="A7" s="176" t="s">
        <v>200</v>
      </c>
      <c r="B7" s="176"/>
      <c r="C7" s="176"/>
      <c r="D7" s="176"/>
      <c r="E7" s="176"/>
      <c r="F7" s="176"/>
      <c r="G7" s="176"/>
    </row>
    <row r="8" spans="1:7" x14ac:dyDescent="0.25">
      <c r="A8" s="176" t="s">
        <v>199</v>
      </c>
      <c r="B8" s="176"/>
      <c r="C8" s="176"/>
      <c r="D8" s="176"/>
      <c r="E8" s="176"/>
      <c r="F8" s="176"/>
      <c r="G8" s="176"/>
    </row>
    <row r="9" spans="1:7" x14ac:dyDescent="0.25">
      <c r="A9" s="168"/>
      <c r="B9" s="168"/>
      <c r="C9" s="168"/>
      <c r="D9" s="168"/>
      <c r="E9" s="168"/>
    </row>
    <row r="10" spans="1:7" x14ac:dyDescent="0.25">
      <c r="A10" s="168"/>
      <c r="B10" s="168"/>
      <c r="C10" s="168"/>
      <c r="D10" s="168"/>
      <c r="E10" s="168"/>
      <c r="G10" s="166" t="s">
        <v>198</v>
      </c>
    </row>
    <row r="11" spans="1:7" x14ac:dyDescent="0.25">
      <c r="A11" s="170" t="s">
        <v>197</v>
      </c>
      <c r="B11" s="168"/>
      <c r="C11" s="168"/>
      <c r="D11" s="168"/>
      <c r="E11" s="168"/>
      <c r="G11" s="166" t="s">
        <v>196</v>
      </c>
    </row>
    <row r="12" spans="1:7" x14ac:dyDescent="0.25">
      <c r="A12" s="169" t="s">
        <v>195</v>
      </c>
      <c r="B12" s="168"/>
      <c r="C12" s="168"/>
      <c r="D12" s="164"/>
      <c r="E12" s="168"/>
      <c r="G12" s="167"/>
    </row>
    <row r="13" spans="1:7" x14ac:dyDescent="0.25">
      <c r="A13" s="169"/>
      <c r="B13" s="168"/>
      <c r="C13" s="168"/>
      <c r="D13" s="164" t="s">
        <v>194</v>
      </c>
      <c r="E13" s="168"/>
      <c r="G13" s="167"/>
    </row>
    <row r="14" spans="1:7" x14ac:dyDescent="0.25">
      <c r="A14" s="148"/>
      <c r="B14" s="148"/>
      <c r="C14" s="148"/>
      <c r="D14" s="164" t="s">
        <v>193</v>
      </c>
      <c r="E14" s="164" t="s">
        <v>192</v>
      </c>
      <c r="G14" s="166"/>
    </row>
    <row r="15" spans="1:7" x14ac:dyDescent="0.25">
      <c r="A15" s="164" t="s">
        <v>191</v>
      </c>
      <c r="B15" s="148"/>
      <c r="C15" s="164" t="s">
        <v>130</v>
      </c>
      <c r="D15" s="164" t="s">
        <v>190</v>
      </c>
      <c r="E15" s="164" t="s">
        <v>130</v>
      </c>
      <c r="F15" s="164" t="s">
        <v>189</v>
      </c>
    </row>
    <row r="16" spans="1:7" x14ac:dyDescent="0.25">
      <c r="A16" s="165" t="s">
        <v>188</v>
      </c>
      <c r="B16" s="165" t="s">
        <v>187</v>
      </c>
      <c r="C16" s="165" t="s">
        <v>186</v>
      </c>
      <c r="D16" s="165" t="s">
        <v>185</v>
      </c>
      <c r="E16" s="165" t="s">
        <v>184</v>
      </c>
      <c r="F16" s="165" t="s">
        <v>183</v>
      </c>
      <c r="G16" s="165" t="s">
        <v>182</v>
      </c>
    </row>
    <row r="17" spans="1:7" x14ac:dyDescent="0.25">
      <c r="A17" s="164"/>
      <c r="B17" s="164"/>
      <c r="C17" s="164"/>
      <c r="D17" s="164"/>
      <c r="E17" s="164"/>
    </row>
    <row r="18" spans="1:7" x14ac:dyDescent="0.25">
      <c r="A18" s="142">
        <v>1</v>
      </c>
      <c r="B18" s="146" t="s">
        <v>181</v>
      </c>
      <c r="C18" s="145"/>
      <c r="D18" s="156">
        <v>1</v>
      </c>
      <c r="E18" s="156"/>
    </row>
    <row r="19" spans="1:7" x14ac:dyDescent="0.25">
      <c r="A19" s="142">
        <v>2</v>
      </c>
      <c r="B19" s="146" t="s">
        <v>180</v>
      </c>
      <c r="C19" s="163">
        <v>6.0399893567930725E-3</v>
      </c>
      <c r="D19" s="156">
        <f>C19</f>
        <v>6.0399893567930725E-3</v>
      </c>
      <c r="E19" s="143">
        <f>ROUND(D19/(D$18-D$29),8)</f>
        <v>2.3685290000000001E-2</v>
      </c>
      <c r="F19" s="161" t="s">
        <v>179</v>
      </c>
      <c r="G19" s="134" t="s">
        <v>178</v>
      </c>
    </row>
    <row r="20" spans="1:7" x14ac:dyDescent="0.25">
      <c r="A20" s="142">
        <v>3</v>
      </c>
      <c r="B20" s="153" t="s">
        <v>177</v>
      </c>
      <c r="C20" s="162">
        <v>1.3019999857777724E-3</v>
      </c>
      <c r="D20" s="156">
        <f>C20</f>
        <v>1.3019999857777724E-3</v>
      </c>
      <c r="E20" s="143">
        <f>ROUND(D20/(D$18-D$29),8)</f>
        <v>5.1056799999999996E-3</v>
      </c>
      <c r="F20" s="161" t="s">
        <v>176</v>
      </c>
      <c r="G20" s="134" t="s">
        <v>175</v>
      </c>
    </row>
    <row r="21" spans="1:7" x14ac:dyDescent="0.25">
      <c r="A21" s="142">
        <v>4</v>
      </c>
      <c r="B21" s="146" t="s">
        <v>174</v>
      </c>
      <c r="C21" s="160"/>
      <c r="D21" s="159">
        <f>D18-D19-D20</f>
        <v>0.9926580106574292</v>
      </c>
      <c r="E21" s="158"/>
    </row>
    <row r="22" spans="1:7" x14ac:dyDescent="0.25">
      <c r="A22" s="142">
        <v>5</v>
      </c>
      <c r="B22" s="148"/>
      <c r="C22" s="150"/>
      <c r="D22" s="158"/>
      <c r="E22" s="158"/>
    </row>
    <row r="23" spans="1:7" x14ac:dyDescent="0.25">
      <c r="A23" s="142">
        <v>6</v>
      </c>
      <c r="B23" s="148"/>
      <c r="C23" s="150"/>
      <c r="D23" s="148"/>
      <c r="E23" s="143"/>
    </row>
    <row r="24" spans="1:7" x14ac:dyDescent="0.25">
      <c r="A24" s="142">
        <v>7</v>
      </c>
      <c r="B24" s="153" t="s">
        <v>173</v>
      </c>
      <c r="C24" s="157">
        <v>0.05</v>
      </c>
      <c r="D24" s="156">
        <f>C24*D21</f>
        <v>4.9632900532871463E-2</v>
      </c>
      <c r="E24" s="143">
        <f>ROUND(D24/(D$18-D$29),8)</f>
        <v>0.19463106999999999</v>
      </c>
    </row>
    <row r="25" spans="1:7" x14ac:dyDescent="0.25">
      <c r="A25" s="142">
        <v>9</v>
      </c>
      <c r="B25" s="146" t="s">
        <v>172</v>
      </c>
      <c r="C25" s="155"/>
      <c r="D25" s="154">
        <f>D21-D24</f>
        <v>0.9430251101245577</v>
      </c>
      <c r="E25" s="143"/>
    </row>
    <row r="26" spans="1:7" x14ac:dyDescent="0.25">
      <c r="A26" s="142">
        <v>10</v>
      </c>
      <c r="B26" s="148"/>
      <c r="C26" s="150"/>
      <c r="D26" s="143"/>
      <c r="E26" s="143"/>
    </row>
    <row r="27" spans="1:7" x14ac:dyDescent="0.25">
      <c r="A27" s="142">
        <v>11</v>
      </c>
      <c r="B27" s="153" t="s">
        <v>171</v>
      </c>
      <c r="C27" s="152">
        <v>0.21</v>
      </c>
      <c r="D27" s="151">
        <f>C27*D25</f>
        <v>0.1980352731261571</v>
      </c>
      <c r="E27" s="151">
        <f>ROUND(D27/(D$18-D$29),8)</f>
        <v>0.77657796000000001</v>
      </c>
    </row>
    <row r="28" spans="1:7" x14ac:dyDescent="0.25">
      <c r="A28" s="142">
        <v>12</v>
      </c>
      <c r="B28" s="148"/>
      <c r="C28" s="150"/>
      <c r="D28" s="143"/>
      <c r="E28" s="143"/>
    </row>
    <row r="29" spans="1:7" ht="30.75" thickBot="1" x14ac:dyDescent="0.3">
      <c r="A29" s="142">
        <v>13</v>
      </c>
      <c r="B29" s="149" t="s">
        <v>170</v>
      </c>
      <c r="C29" s="145"/>
      <c r="D29" s="144">
        <f>D25-D27</f>
        <v>0.7449898369984006</v>
      </c>
      <c r="E29" s="144">
        <f>SUM(E19:E20,E24,E27)</f>
        <v>1</v>
      </c>
    </row>
    <row r="30" spans="1:7" ht="15.75" thickTop="1" x14ac:dyDescent="0.25">
      <c r="A30" s="142">
        <v>14</v>
      </c>
      <c r="B30" s="148"/>
      <c r="C30" s="147"/>
      <c r="D30" s="143"/>
      <c r="E30" s="143"/>
    </row>
    <row r="31" spans="1:7" ht="15.75" thickBot="1" x14ac:dyDescent="0.3">
      <c r="A31" s="142">
        <v>15</v>
      </c>
      <c r="B31" s="146" t="s">
        <v>169</v>
      </c>
      <c r="C31" s="145"/>
      <c r="D31" s="144">
        <f>1/D29</f>
        <v>1.3423001903342031</v>
      </c>
      <c r="E31" s="143"/>
    </row>
    <row r="32" spans="1:7" ht="15.75" thickTop="1" x14ac:dyDescent="0.25">
      <c r="A32" s="142">
        <v>16</v>
      </c>
    </row>
    <row r="34" spans="2:4" ht="15.75" thickBot="1" x14ac:dyDescent="0.3"/>
    <row r="35" spans="2:4" x14ac:dyDescent="0.25">
      <c r="B35" s="141" t="s">
        <v>168</v>
      </c>
      <c r="C35" s="140"/>
      <c r="D35" s="139">
        <f>D31</f>
        <v>1.3423001903342031</v>
      </c>
    </row>
    <row r="36" spans="2:4" ht="15.75" thickBot="1" x14ac:dyDescent="0.3">
      <c r="B36" s="138" t="s">
        <v>167</v>
      </c>
      <c r="C36" s="137"/>
      <c r="D36" s="136">
        <f>1/D21</f>
        <v>1.0073962928458193</v>
      </c>
    </row>
    <row r="133" spans="9:9" x14ac:dyDescent="0.25">
      <c r="I133" s="135"/>
    </row>
  </sheetData>
  <mergeCells count="3">
    <mergeCell ref="A6:G6"/>
    <mergeCell ref="A7:G7"/>
    <mergeCell ref="A8:G8"/>
  </mergeCells>
  <pageMargins left="0.32" right="0.28999999999999998" top="0.75" bottom="0.75" header="0.3" footer="0.3"/>
  <pageSetup scale="74" orientation="landscape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B6896-DE96-45A5-897C-CDDA242FBFDD}">
  <sheetPr>
    <pageSetUpPr fitToPage="1"/>
  </sheetPr>
  <dimension ref="A1:AH96"/>
  <sheetViews>
    <sheetView zoomScale="90" zoomScaleNormal="90" zoomScaleSheetLayoutView="100" workbookViewId="0">
      <pane xSplit="4" topLeftCell="E1" activePane="topRight" state="frozen"/>
      <selection activeCell="G13" sqref="G13"/>
      <selection pane="topRight" activeCell="H77" sqref="H77"/>
    </sheetView>
  </sheetViews>
  <sheetFormatPr defaultColWidth="12.5703125" defaultRowHeight="15" x14ac:dyDescent="0.25"/>
  <cols>
    <col min="1" max="1" width="39.140625" bestFit="1" customWidth="1"/>
    <col min="2" max="2" width="16.140625" style="74" bestFit="1" customWidth="1"/>
    <col min="3" max="3" width="12.5703125" style="74" customWidth="1"/>
    <col min="4" max="4" width="19.28515625" style="74" bestFit="1" customWidth="1"/>
    <col min="5" max="22" width="12.5703125" customWidth="1"/>
    <col min="23" max="23" width="12.140625" bestFit="1" customWidth="1"/>
    <col min="24" max="29" width="12.140625" bestFit="1" customWidth="1" collapsed="1"/>
    <col min="30" max="34" width="13.28515625" bestFit="1" customWidth="1" collapsed="1"/>
  </cols>
  <sheetData>
    <row r="1" spans="1:34" x14ac:dyDescent="0.25">
      <c r="A1" s="17" t="s">
        <v>0</v>
      </c>
    </row>
    <row r="2" spans="1:34" x14ac:dyDescent="0.25">
      <c r="A2" s="17" t="s">
        <v>159</v>
      </c>
    </row>
    <row r="3" spans="1:34" x14ac:dyDescent="0.25">
      <c r="A3" s="17" t="s">
        <v>83</v>
      </c>
    </row>
    <row r="5" spans="1:34" x14ac:dyDescent="0.25">
      <c r="A5" s="17" t="s">
        <v>92</v>
      </c>
      <c r="E5" s="74" t="s">
        <v>84</v>
      </c>
      <c r="F5" s="74" t="s">
        <v>84</v>
      </c>
      <c r="G5" s="74" t="s">
        <v>84</v>
      </c>
      <c r="H5" s="74" t="s">
        <v>84</v>
      </c>
      <c r="I5" s="74" t="s">
        <v>84</v>
      </c>
      <c r="J5" s="74" t="s">
        <v>84</v>
      </c>
      <c r="K5" s="74" t="s">
        <v>84</v>
      </c>
      <c r="L5" s="74" t="s">
        <v>84</v>
      </c>
      <c r="M5" s="74" t="s">
        <v>84</v>
      </c>
      <c r="N5" s="74" t="s">
        <v>84</v>
      </c>
      <c r="O5" s="74" t="s">
        <v>84</v>
      </c>
      <c r="P5" s="74" t="s">
        <v>84</v>
      </c>
      <c r="Q5" s="74" t="s">
        <v>85</v>
      </c>
      <c r="R5" s="74" t="s">
        <v>85</v>
      </c>
      <c r="S5" s="74" t="s">
        <v>85</v>
      </c>
      <c r="T5" s="74" t="s">
        <v>85</v>
      </c>
      <c r="U5" s="74" t="s">
        <v>85</v>
      </c>
      <c r="V5" s="74" t="s">
        <v>85</v>
      </c>
      <c r="W5" s="74" t="s">
        <v>85</v>
      </c>
      <c r="X5" s="74" t="s">
        <v>85</v>
      </c>
      <c r="Y5" s="74" t="s">
        <v>85</v>
      </c>
      <c r="Z5" s="74" t="s">
        <v>85</v>
      </c>
      <c r="AA5" s="74" t="s">
        <v>85</v>
      </c>
      <c r="AB5" s="74" t="s">
        <v>85</v>
      </c>
      <c r="AC5" s="74" t="s">
        <v>85</v>
      </c>
      <c r="AD5" s="74" t="s">
        <v>85</v>
      </c>
      <c r="AE5" s="74" t="s">
        <v>85</v>
      </c>
      <c r="AF5" s="74" t="s">
        <v>85</v>
      </c>
      <c r="AG5" s="74" t="s">
        <v>85</v>
      </c>
      <c r="AH5" s="74" t="s">
        <v>85</v>
      </c>
    </row>
    <row r="6" spans="1:34" x14ac:dyDescent="0.25">
      <c r="E6" s="99">
        <v>45138</v>
      </c>
      <c r="F6" s="99">
        <f>EOMONTH(E6,1)</f>
        <v>45169</v>
      </c>
      <c r="G6" s="99">
        <f t="shared" ref="G6:AH6" si="0">EOMONTH(F6,1)</f>
        <v>45199</v>
      </c>
      <c r="H6" s="99">
        <f t="shared" si="0"/>
        <v>45230</v>
      </c>
      <c r="I6" s="99">
        <f t="shared" si="0"/>
        <v>45260</v>
      </c>
      <c r="J6" s="99">
        <f t="shared" si="0"/>
        <v>45291</v>
      </c>
      <c r="K6" s="99">
        <f t="shared" si="0"/>
        <v>45322</v>
      </c>
      <c r="L6" s="99">
        <f t="shared" si="0"/>
        <v>45351</v>
      </c>
      <c r="M6" s="99">
        <f t="shared" si="0"/>
        <v>45382</v>
      </c>
      <c r="N6" s="99">
        <f t="shared" si="0"/>
        <v>45412</v>
      </c>
      <c r="O6" s="99">
        <f t="shared" si="0"/>
        <v>45443</v>
      </c>
      <c r="P6" s="99">
        <f t="shared" si="0"/>
        <v>45473</v>
      </c>
      <c r="Q6" s="99">
        <f t="shared" si="0"/>
        <v>45504</v>
      </c>
      <c r="R6" s="99">
        <f t="shared" si="0"/>
        <v>45535</v>
      </c>
      <c r="S6" s="99">
        <f t="shared" si="0"/>
        <v>45565</v>
      </c>
      <c r="T6" s="99">
        <f t="shared" si="0"/>
        <v>45596</v>
      </c>
      <c r="U6" s="99">
        <f t="shared" si="0"/>
        <v>45626</v>
      </c>
      <c r="V6" s="99">
        <f t="shared" si="0"/>
        <v>45657</v>
      </c>
      <c r="W6" s="99">
        <f t="shared" si="0"/>
        <v>45688</v>
      </c>
      <c r="X6" s="99">
        <f t="shared" si="0"/>
        <v>45716</v>
      </c>
      <c r="Y6" s="99">
        <f t="shared" si="0"/>
        <v>45747</v>
      </c>
      <c r="Z6" s="99">
        <f t="shared" si="0"/>
        <v>45777</v>
      </c>
      <c r="AA6" s="99">
        <f t="shared" si="0"/>
        <v>45808</v>
      </c>
      <c r="AB6" s="99">
        <f t="shared" si="0"/>
        <v>45838</v>
      </c>
      <c r="AC6" s="99">
        <f t="shared" si="0"/>
        <v>45869</v>
      </c>
      <c r="AD6" s="99">
        <f t="shared" si="0"/>
        <v>45900</v>
      </c>
      <c r="AE6" s="99">
        <f t="shared" si="0"/>
        <v>45930</v>
      </c>
      <c r="AF6" s="99">
        <f t="shared" si="0"/>
        <v>45961</v>
      </c>
      <c r="AG6" s="99">
        <f t="shared" si="0"/>
        <v>45991</v>
      </c>
      <c r="AH6" s="99">
        <f t="shared" si="0"/>
        <v>46022</v>
      </c>
    </row>
    <row r="7" spans="1:34" x14ac:dyDescent="0.25">
      <c r="A7" s="75" t="s">
        <v>86</v>
      </c>
      <c r="E7" s="116">
        <v>1669266.5899999999</v>
      </c>
      <c r="F7" s="116">
        <v>1364291.1199999976</v>
      </c>
      <c r="G7" s="116">
        <v>1949128.5500000005</v>
      </c>
      <c r="H7" s="116">
        <v>1976993.5999999996</v>
      </c>
      <c r="I7" s="116">
        <v>2034144.28</v>
      </c>
      <c r="J7" s="116">
        <v>2079928.0699999998</v>
      </c>
      <c r="K7" s="116">
        <v>1347326.0299999986</v>
      </c>
      <c r="L7" s="116">
        <v>281663.63999999902</v>
      </c>
      <c r="M7" s="116">
        <v>-172174.57999999967</v>
      </c>
      <c r="N7" s="116">
        <v>2272608.4500000007</v>
      </c>
      <c r="O7" s="116">
        <v>2405889.44</v>
      </c>
      <c r="P7" s="116">
        <v>7933384.5500000007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185439.87</v>
      </c>
      <c r="Y7" s="116">
        <v>744085.21499999997</v>
      </c>
      <c r="Z7" s="116">
        <v>703222.55999999994</v>
      </c>
      <c r="AA7" s="116">
        <v>889747.245</v>
      </c>
      <c r="AB7" s="116">
        <v>3780786.87</v>
      </c>
      <c r="AC7" s="116">
        <v>2033272.8585000001</v>
      </c>
      <c r="AD7" s="116">
        <v>3616027.2</v>
      </c>
      <c r="AE7" s="116">
        <v>1535965.0650000002</v>
      </c>
      <c r="AF7" s="116">
        <v>10072612.395000001</v>
      </c>
      <c r="AG7" s="116">
        <v>1702716.2099999997</v>
      </c>
      <c r="AH7" s="116">
        <v>0</v>
      </c>
    </row>
    <row r="8" spans="1:34" x14ac:dyDescent="0.25">
      <c r="A8" s="75" t="s">
        <v>87</v>
      </c>
      <c r="E8" s="129">
        <v>185290.16</v>
      </c>
      <c r="F8" s="129">
        <v>556672.94999999984</v>
      </c>
      <c r="G8" s="129">
        <v>196980.59999999998</v>
      </c>
      <c r="H8" s="129">
        <v>129079.39999999986</v>
      </c>
      <c r="I8" s="129">
        <v>160776.71000000014</v>
      </c>
      <c r="J8" s="129">
        <v>313418.87000000017</v>
      </c>
      <c r="K8" s="129">
        <v>379890.7799999998</v>
      </c>
      <c r="L8" s="129">
        <v>306007.33000000019</v>
      </c>
      <c r="M8" s="129">
        <v>142658.84</v>
      </c>
      <c r="N8" s="129">
        <v>112447.58000000002</v>
      </c>
      <c r="O8" s="129">
        <v>53708.829999999965</v>
      </c>
      <c r="P8" s="129">
        <v>348315.32000000007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0</v>
      </c>
      <c r="W8" s="129">
        <v>0</v>
      </c>
      <c r="X8" s="129">
        <v>0</v>
      </c>
      <c r="Y8" s="129">
        <v>0</v>
      </c>
      <c r="Z8" s="129">
        <v>0</v>
      </c>
      <c r="AA8" s="129">
        <v>0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</row>
    <row r="9" spans="1:34" x14ac:dyDescent="0.25">
      <c r="A9" s="75" t="s">
        <v>88</v>
      </c>
      <c r="E9" s="129">
        <v>1423.2499999999995</v>
      </c>
      <c r="F9" s="129">
        <v>42906.900000000009</v>
      </c>
      <c r="G9" s="129">
        <v>68529.400000000009</v>
      </c>
      <c r="H9" s="129">
        <v>19374.10999999999</v>
      </c>
      <c r="I9" s="129">
        <v>25272.049999999992</v>
      </c>
      <c r="J9" s="129">
        <v>43454.649999999987</v>
      </c>
      <c r="K9" s="129">
        <v>68589.959999999992</v>
      </c>
      <c r="L9" s="129">
        <v>78904.150000000038</v>
      </c>
      <c r="M9" s="129">
        <v>26163.82</v>
      </c>
      <c r="N9" s="129">
        <v>5260.81</v>
      </c>
      <c r="O9" s="129">
        <v>25546.19</v>
      </c>
      <c r="P9" s="129">
        <v>49481.02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129">
        <v>0</v>
      </c>
      <c r="X9" s="129">
        <v>0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</row>
    <row r="10" spans="1:34" x14ac:dyDescent="0.25">
      <c r="A10" s="75" t="s">
        <v>89</v>
      </c>
      <c r="E10" s="129">
        <v>1683.6600000000003</v>
      </c>
      <c r="F10" s="129">
        <v>280070.85999999969</v>
      </c>
      <c r="G10" s="129">
        <v>99107.89999999998</v>
      </c>
      <c r="H10" s="129">
        <v>25581.640000000003</v>
      </c>
      <c r="I10" s="129">
        <v>47783.960000000014</v>
      </c>
      <c r="J10" s="129">
        <v>103698.03999999998</v>
      </c>
      <c r="K10" s="129">
        <v>100611.39000000003</v>
      </c>
      <c r="L10" s="129">
        <v>91766.219999999987</v>
      </c>
      <c r="M10" s="129">
        <v>36252.07</v>
      </c>
      <c r="N10" s="129">
        <v>9683.9400000000041</v>
      </c>
      <c r="O10" s="129">
        <v>34184.43</v>
      </c>
      <c r="P10" s="129">
        <v>73187.389999999985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</row>
    <row r="11" spans="1:34" x14ac:dyDescent="0.25">
      <c r="A11" s="75" t="s">
        <v>90</v>
      </c>
      <c r="E11" s="129">
        <v>-4.8199999999999914</v>
      </c>
      <c r="F11" s="129">
        <v>5655.83</v>
      </c>
      <c r="G11" s="129">
        <v>1428.9900000000007</v>
      </c>
      <c r="H11" s="129">
        <v>1011.5799999999997</v>
      </c>
      <c r="I11" s="129">
        <v>5363.95</v>
      </c>
      <c r="J11" s="129">
        <v>9256.74</v>
      </c>
      <c r="K11" s="129">
        <v>-1813.1800000000003</v>
      </c>
      <c r="L11" s="129">
        <v>23574.53</v>
      </c>
      <c r="M11" s="129">
        <v>1452.8200000000002</v>
      </c>
      <c r="N11" s="129">
        <v>2383.9499999999998</v>
      </c>
      <c r="O11" s="129">
        <v>256.25</v>
      </c>
      <c r="P11" s="129">
        <v>5363.49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</row>
    <row r="12" spans="1:34" x14ac:dyDescent="0.25">
      <c r="A12" s="75" t="s">
        <v>91</v>
      </c>
      <c r="E12" s="129">
        <v>123672.19000000006</v>
      </c>
      <c r="F12" s="129">
        <v>228337.45999999996</v>
      </c>
      <c r="G12" s="129">
        <v>271248.9200000001</v>
      </c>
      <c r="H12" s="129">
        <v>148242.56</v>
      </c>
      <c r="I12" s="129">
        <v>186590.06</v>
      </c>
      <c r="J12" s="129">
        <v>306291.39999999991</v>
      </c>
      <c r="K12" s="129">
        <v>315037.37999999971</v>
      </c>
      <c r="L12" s="129">
        <v>208999.58999999985</v>
      </c>
      <c r="M12" s="129">
        <v>95375.579999999973</v>
      </c>
      <c r="N12" s="129">
        <v>10501.000000000047</v>
      </c>
      <c r="O12" s="129">
        <v>42334.29</v>
      </c>
      <c r="P12" s="129">
        <v>204863.06000000003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</row>
    <row r="13" spans="1:34" x14ac:dyDescent="0.25">
      <c r="A13" s="75"/>
      <c r="E13" s="114">
        <f t="shared" ref="E13:AH13" si="1">SUM(E7:E12)</f>
        <v>1981331.0299999998</v>
      </c>
      <c r="F13" s="114">
        <f t="shared" si="1"/>
        <v>2477935.1199999973</v>
      </c>
      <c r="G13" s="114">
        <f t="shared" si="1"/>
        <v>2586424.3600000003</v>
      </c>
      <c r="H13" s="114">
        <f t="shared" si="1"/>
        <v>2300282.8899999997</v>
      </c>
      <c r="I13" s="114">
        <f t="shared" si="1"/>
        <v>2459931.0100000002</v>
      </c>
      <c r="J13" s="114">
        <f t="shared" si="1"/>
        <v>2856047.77</v>
      </c>
      <c r="K13" s="114">
        <f t="shared" si="1"/>
        <v>2209642.3599999985</v>
      </c>
      <c r="L13" s="114">
        <f t="shared" si="1"/>
        <v>990915.45999999915</v>
      </c>
      <c r="M13" s="114">
        <f t="shared" si="1"/>
        <v>129728.55000000031</v>
      </c>
      <c r="N13" s="114">
        <f t="shared" si="1"/>
        <v>2412885.7300000009</v>
      </c>
      <c r="O13" s="114">
        <f t="shared" si="1"/>
        <v>2561919.4300000002</v>
      </c>
      <c r="P13" s="114">
        <f t="shared" si="1"/>
        <v>8614594.8300000019</v>
      </c>
      <c r="Q13" s="114">
        <f t="shared" si="1"/>
        <v>0</v>
      </c>
      <c r="R13" s="114">
        <f t="shared" si="1"/>
        <v>0</v>
      </c>
      <c r="S13" s="114">
        <f t="shared" si="1"/>
        <v>0</v>
      </c>
      <c r="T13" s="114">
        <f t="shared" si="1"/>
        <v>0</v>
      </c>
      <c r="U13" s="114">
        <f t="shared" si="1"/>
        <v>0</v>
      </c>
      <c r="V13" s="114">
        <f t="shared" si="1"/>
        <v>0</v>
      </c>
      <c r="W13" s="114">
        <f t="shared" si="1"/>
        <v>0</v>
      </c>
      <c r="X13" s="114">
        <f t="shared" si="1"/>
        <v>185439.87</v>
      </c>
      <c r="Y13" s="114">
        <f t="shared" si="1"/>
        <v>744085.21499999997</v>
      </c>
      <c r="Z13" s="114">
        <f t="shared" si="1"/>
        <v>703222.55999999994</v>
      </c>
      <c r="AA13" s="114">
        <f t="shared" si="1"/>
        <v>889747.245</v>
      </c>
      <c r="AB13" s="114">
        <f t="shared" si="1"/>
        <v>3780786.87</v>
      </c>
      <c r="AC13" s="114">
        <f t="shared" si="1"/>
        <v>2033272.8585000001</v>
      </c>
      <c r="AD13" s="114">
        <f t="shared" si="1"/>
        <v>3616027.2</v>
      </c>
      <c r="AE13" s="114">
        <f t="shared" si="1"/>
        <v>1535965.0650000002</v>
      </c>
      <c r="AF13" s="114">
        <f t="shared" si="1"/>
        <v>10072612.395000001</v>
      </c>
      <c r="AG13" s="114">
        <f t="shared" si="1"/>
        <v>1702716.2099999997</v>
      </c>
      <c r="AH13" s="114">
        <f t="shared" si="1"/>
        <v>0</v>
      </c>
    </row>
    <row r="14" spans="1:34" x14ac:dyDescent="0.25">
      <c r="A14" s="75" t="s">
        <v>202</v>
      </c>
      <c r="D14" s="78"/>
      <c r="E14" s="115">
        <f>SUM($E13:E13)</f>
        <v>1981331.0299999998</v>
      </c>
      <c r="F14" s="115">
        <f>SUM($E13:F13)</f>
        <v>4459266.1499999966</v>
      </c>
      <c r="G14" s="115">
        <f>SUM($E13:G13)</f>
        <v>7045690.509999997</v>
      </c>
      <c r="H14" s="115">
        <f>SUM($E13:H13)</f>
        <v>9345973.3999999966</v>
      </c>
      <c r="I14" s="115">
        <f>SUM($E13:I13)</f>
        <v>11805904.409999996</v>
      </c>
      <c r="J14" s="115">
        <f>SUM($E13:J13)</f>
        <v>14661952.179999996</v>
      </c>
      <c r="K14" s="115">
        <f>SUM($E13:K13)</f>
        <v>16871594.539999995</v>
      </c>
      <c r="L14" s="115">
        <f>SUM($E13:L13)</f>
        <v>17862509.999999996</v>
      </c>
      <c r="M14" s="115">
        <f>SUM($E13:M13)</f>
        <v>17992238.549999997</v>
      </c>
      <c r="N14" s="115">
        <f>SUM($E13:N13)</f>
        <v>20405124.279999997</v>
      </c>
      <c r="O14" s="115">
        <f>SUM($E13:O13)</f>
        <v>22967043.709999997</v>
      </c>
      <c r="P14" s="115">
        <f>SUM($E13:P13)</f>
        <v>31581638.539999999</v>
      </c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</row>
    <row r="15" spans="1:34" x14ac:dyDescent="0.25"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</row>
    <row r="16" spans="1:34" x14ac:dyDescent="0.25">
      <c r="A16" s="17" t="s">
        <v>93</v>
      </c>
      <c r="B16" s="177" t="s">
        <v>94</v>
      </c>
      <c r="C16" s="177"/>
      <c r="D16" s="177"/>
      <c r="E16" s="74" t="str">
        <f t="shared" ref="E16:AH16" si="2">E$5</f>
        <v>Actual</v>
      </c>
      <c r="F16" s="74" t="str">
        <f t="shared" si="2"/>
        <v>Actual</v>
      </c>
      <c r="G16" s="74" t="str">
        <f t="shared" si="2"/>
        <v>Actual</v>
      </c>
      <c r="H16" s="74" t="str">
        <f t="shared" si="2"/>
        <v>Actual</v>
      </c>
      <c r="I16" s="74" t="str">
        <f t="shared" si="2"/>
        <v>Actual</v>
      </c>
      <c r="J16" s="74" t="str">
        <f t="shared" si="2"/>
        <v>Actual</v>
      </c>
      <c r="K16" s="74" t="str">
        <f t="shared" si="2"/>
        <v>Actual</v>
      </c>
      <c r="L16" s="74" t="str">
        <f t="shared" si="2"/>
        <v>Actual</v>
      </c>
      <c r="M16" s="74" t="str">
        <f t="shared" si="2"/>
        <v>Actual</v>
      </c>
      <c r="N16" s="74" t="str">
        <f t="shared" si="2"/>
        <v>Actual</v>
      </c>
      <c r="O16" s="74" t="str">
        <f t="shared" si="2"/>
        <v>Actual</v>
      </c>
      <c r="P16" s="74" t="str">
        <f t="shared" si="2"/>
        <v>Actual</v>
      </c>
      <c r="Q16" s="74" t="str">
        <f t="shared" si="2"/>
        <v>Forecasted</v>
      </c>
      <c r="R16" s="74" t="str">
        <f t="shared" si="2"/>
        <v>Forecasted</v>
      </c>
      <c r="S16" s="74" t="str">
        <f t="shared" si="2"/>
        <v>Forecasted</v>
      </c>
      <c r="T16" s="74" t="str">
        <f t="shared" si="2"/>
        <v>Forecasted</v>
      </c>
      <c r="U16" s="74" t="str">
        <f t="shared" si="2"/>
        <v>Forecasted</v>
      </c>
      <c r="V16" s="74" t="str">
        <f t="shared" si="2"/>
        <v>Forecasted</v>
      </c>
      <c r="W16" s="74" t="str">
        <f t="shared" si="2"/>
        <v>Forecasted</v>
      </c>
      <c r="X16" s="74" t="str">
        <f t="shared" si="2"/>
        <v>Forecasted</v>
      </c>
      <c r="Y16" s="74" t="str">
        <f t="shared" si="2"/>
        <v>Forecasted</v>
      </c>
      <c r="Z16" s="74" t="str">
        <f t="shared" si="2"/>
        <v>Forecasted</v>
      </c>
      <c r="AA16" s="74" t="str">
        <f t="shared" si="2"/>
        <v>Forecasted</v>
      </c>
      <c r="AB16" s="74" t="str">
        <f t="shared" si="2"/>
        <v>Forecasted</v>
      </c>
      <c r="AC16" s="74" t="str">
        <f t="shared" si="2"/>
        <v>Forecasted</v>
      </c>
      <c r="AD16" s="74" t="str">
        <f t="shared" si="2"/>
        <v>Forecasted</v>
      </c>
      <c r="AE16" s="74" t="str">
        <f t="shared" si="2"/>
        <v>Forecasted</v>
      </c>
      <c r="AF16" s="74" t="str">
        <f t="shared" si="2"/>
        <v>Forecasted</v>
      </c>
      <c r="AG16" s="74" t="str">
        <f t="shared" si="2"/>
        <v>Forecasted</v>
      </c>
      <c r="AH16" s="74" t="str">
        <f t="shared" si="2"/>
        <v>Forecasted</v>
      </c>
    </row>
    <row r="17" spans="1:34" x14ac:dyDescent="0.25">
      <c r="B17" s="74" t="s">
        <v>2</v>
      </c>
      <c r="C17" s="74" t="s">
        <v>95</v>
      </c>
      <c r="D17" s="74" t="s">
        <v>96</v>
      </c>
      <c r="E17" s="99">
        <f t="shared" ref="E17:AH17" si="3">E$6</f>
        <v>45138</v>
      </c>
      <c r="F17" s="99">
        <f t="shared" si="3"/>
        <v>45169</v>
      </c>
      <c r="G17" s="99">
        <f t="shared" si="3"/>
        <v>45199</v>
      </c>
      <c r="H17" s="99">
        <f t="shared" si="3"/>
        <v>45230</v>
      </c>
      <c r="I17" s="99">
        <f t="shared" si="3"/>
        <v>45260</v>
      </c>
      <c r="J17" s="99">
        <f t="shared" si="3"/>
        <v>45291</v>
      </c>
      <c r="K17" s="99">
        <f t="shared" si="3"/>
        <v>45322</v>
      </c>
      <c r="L17" s="99">
        <f t="shared" si="3"/>
        <v>45351</v>
      </c>
      <c r="M17" s="99">
        <f t="shared" si="3"/>
        <v>45382</v>
      </c>
      <c r="N17" s="99">
        <f t="shared" si="3"/>
        <v>45412</v>
      </c>
      <c r="O17" s="99">
        <f t="shared" si="3"/>
        <v>45443</v>
      </c>
      <c r="P17" s="99">
        <f t="shared" si="3"/>
        <v>45473</v>
      </c>
      <c r="Q17" s="99">
        <f t="shared" si="3"/>
        <v>45504</v>
      </c>
      <c r="R17" s="99">
        <f t="shared" si="3"/>
        <v>45535</v>
      </c>
      <c r="S17" s="99">
        <f t="shared" si="3"/>
        <v>45565</v>
      </c>
      <c r="T17" s="99">
        <f t="shared" si="3"/>
        <v>45596</v>
      </c>
      <c r="U17" s="99">
        <f t="shared" si="3"/>
        <v>45626</v>
      </c>
      <c r="V17" s="99">
        <f t="shared" si="3"/>
        <v>45657</v>
      </c>
      <c r="W17" s="99">
        <f t="shared" si="3"/>
        <v>45688</v>
      </c>
      <c r="X17" s="99">
        <f t="shared" si="3"/>
        <v>45716</v>
      </c>
      <c r="Y17" s="99">
        <f t="shared" si="3"/>
        <v>45747</v>
      </c>
      <c r="Z17" s="99">
        <f t="shared" si="3"/>
        <v>45777</v>
      </c>
      <c r="AA17" s="99">
        <f t="shared" si="3"/>
        <v>45808</v>
      </c>
      <c r="AB17" s="99">
        <f t="shared" si="3"/>
        <v>45838</v>
      </c>
      <c r="AC17" s="99">
        <f t="shared" si="3"/>
        <v>45869</v>
      </c>
      <c r="AD17" s="99">
        <f t="shared" si="3"/>
        <v>45900</v>
      </c>
      <c r="AE17" s="99">
        <f t="shared" si="3"/>
        <v>45930</v>
      </c>
      <c r="AF17" s="99">
        <f t="shared" si="3"/>
        <v>45961</v>
      </c>
      <c r="AG17" s="99">
        <f t="shared" si="3"/>
        <v>45991</v>
      </c>
      <c r="AH17" s="99">
        <f t="shared" si="3"/>
        <v>46022</v>
      </c>
    </row>
    <row r="18" spans="1:34" x14ac:dyDescent="0.25">
      <c r="A18" s="75" t="s">
        <v>86</v>
      </c>
      <c r="B18" s="100">
        <v>2.2599999999999999E-2</v>
      </c>
      <c r="C18" s="100">
        <v>2.2599999999999999E-2</v>
      </c>
      <c r="D18" s="100">
        <f>C18</f>
        <v>2.2599999999999999E-2</v>
      </c>
      <c r="E18" s="116">
        <v>0</v>
      </c>
      <c r="F18" s="116">
        <v>514.19000000000005</v>
      </c>
      <c r="G18" s="116">
        <v>16062.770000000002</v>
      </c>
      <c r="H18" s="116">
        <v>34123.620000000003</v>
      </c>
      <c r="I18" s="116">
        <v>373561.53</v>
      </c>
      <c r="J18" s="116">
        <v>6673.07</v>
      </c>
      <c r="K18" s="116">
        <v>125114.78</v>
      </c>
      <c r="L18" s="116">
        <v>249679.65999999992</v>
      </c>
      <c r="M18" s="116">
        <v>0</v>
      </c>
      <c r="N18" s="116">
        <v>183509.83999999994</v>
      </c>
      <c r="O18" s="116">
        <v>87219.839999999997</v>
      </c>
      <c r="P18" s="116">
        <v>106650.33999999997</v>
      </c>
      <c r="Q18" s="116">
        <f t="shared" ref="Q18:Q23" si="4">Q7*$C18</f>
        <v>0</v>
      </c>
      <c r="R18" s="116">
        <f t="shared" ref="R18:AH18" si="5">R7*$C18</f>
        <v>0</v>
      </c>
      <c r="S18" s="116">
        <f t="shared" si="5"/>
        <v>0</v>
      </c>
      <c r="T18" s="116">
        <f t="shared" si="5"/>
        <v>0</v>
      </c>
      <c r="U18" s="116">
        <f t="shared" si="5"/>
        <v>0</v>
      </c>
      <c r="V18" s="116">
        <f t="shared" si="5"/>
        <v>0</v>
      </c>
      <c r="W18" s="116">
        <f t="shared" si="5"/>
        <v>0</v>
      </c>
      <c r="X18" s="116">
        <f t="shared" si="5"/>
        <v>4190.9410619999999</v>
      </c>
      <c r="Y18" s="116">
        <f t="shared" si="5"/>
        <v>16816.325858999997</v>
      </c>
      <c r="Z18" s="116">
        <f t="shared" si="5"/>
        <v>15892.829855999998</v>
      </c>
      <c r="AA18" s="116">
        <f t="shared" si="5"/>
        <v>20108.287736999999</v>
      </c>
      <c r="AB18" s="116">
        <f t="shared" si="5"/>
        <v>85445.783261999997</v>
      </c>
      <c r="AC18" s="116">
        <f t="shared" si="5"/>
        <v>45951.966602100001</v>
      </c>
      <c r="AD18" s="116">
        <f t="shared" si="5"/>
        <v>81722.214720000004</v>
      </c>
      <c r="AE18" s="116">
        <f t="shared" si="5"/>
        <v>34712.810469000004</v>
      </c>
      <c r="AF18" s="116">
        <f t="shared" si="5"/>
        <v>227641.04012700001</v>
      </c>
      <c r="AG18" s="116">
        <f t="shared" si="5"/>
        <v>38481.386345999992</v>
      </c>
      <c r="AH18" s="116">
        <f t="shared" si="5"/>
        <v>0</v>
      </c>
    </row>
    <row r="19" spans="1:34" x14ac:dyDescent="0.25">
      <c r="A19" s="75" t="s">
        <v>87</v>
      </c>
      <c r="B19" s="101">
        <v>0</v>
      </c>
      <c r="C19" s="101">
        <v>0</v>
      </c>
      <c r="D19" s="101">
        <v>0</v>
      </c>
      <c r="E19" s="129">
        <v>0</v>
      </c>
      <c r="F19" s="129">
        <v>0</v>
      </c>
      <c r="G19" s="129">
        <v>496.16999999999996</v>
      </c>
      <c r="H19" s="129">
        <v>0</v>
      </c>
      <c r="I19" s="129">
        <v>64221.179999999986</v>
      </c>
      <c r="J19" s="129">
        <v>2093.1</v>
      </c>
      <c r="K19" s="129">
        <v>52397.789999999986</v>
      </c>
      <c r="L19" s="129">
        <v>33030.759999999995</v>
      </c>
      <c r="M19" s="129">
        <v>0</v>
      </c>
      <c r="N19" s="129">
        <v>920.81</v>
      </c>
      <c r="O19" s="129">
        <v>5166.9399999999996</v>
      </c>
      <c r="P19" s="129">
        <v>100610.50999999998</v>
      </c>
      <c r="Q19" s="129">
        <f t="shared" si="4"/>
        <v>0</v>
      </c>
      <c r="R19" s="129">
        <f t="shared" ref="R19:AH19" si="6">R8*$C19</f>
        <v>0</v>
      </c>
      <c r="S19" s="129">
        <f t="shared" si="6"/>
        <v>0</v>
      </c>
      <c r="T19" s="129">
        <f t="shared" si="6"/>
        <v>0</v>
      </c>
      <c r="U19" s="129">
        <f t="shared" si="6"/>
        <v>0</v>
      </c>
      <c r="V19" s="129">
        <f t="shared" si="6"/>
        <v>0</v>
      </c>
      <c r="W19" s="129">
        <f t="shared" si="6"/>
        <v>0</v>
      </c>
      <c r="X19" s="129">
        <f t="shared" si="6"/>
        <v>0</v>
      </c>
      <c r="Y19" s="129">
        <f t="shared" si="6"/>
        <v>0</v>
      </c>
      <c r="Z19" s="129">
        <f t="shared" si="6"/>
        <v>0</v>
      </c>
      <c r="AA19" s="129">
        <f t="shared" si="6"/>
        <v>0</v>
      </c>
      <c r="AB19" s="129">
        <f t="shared" si="6"/>
        <v>0</v>
      </c>
      <c r="AC19" s="129">
        <f t="shared" si="6"/>
        <v>0</v>
      </c>
      <c r="AD19" s="129">
        <f t="shared" si="6"/>
        <v>0</v>
      </c>
      <c r="AE19" s="129">
        <f t="shared" si="6"/>
        <v>0</v>
      </c>
      <c r="AF19" s="129">
        <f t="shared" si="6"/>
        <v>0</v>
      </c>
      <c r="AG19" s="129">
        <f t="shared" si="6"/>
        <v>0</v>
      </c>
      <c r="AH19" s="129">
        <f t="shared" si="6"/>
        <v>0</v>
      </c>
    </row>
    <row r="20" spans="1:34" x14ac:dyDescent="0.25">
      <c r="A20" s="75" t="s">
        <v>88</v>
      </c>
      <c r="B20" s="101">
        <v>0</v>
      </c>
      <c r="C20" s="101">
        <v>0</v>
      </c>
      <c r="D20" s="101">
        <v>0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2277.62</v>
      </c>
      <c r="K20" s="129">
        <v>6101.13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f t="shared" si="4"/>
        <v>0</v>
      </c>
      <c r="R20" s="129">
        <f t="shared" ref="R20:AH20" si="7">R9*$C20</f>
        <v>0</v>
      </c>
      <c r="S20" s="129">
        <f t="shared" si="7"/>
        <v>0</v>
      </c>
      <c r="T20" s="129">
        <f t="shared" si="7"/>
        <v>0</v>
      </c>
      <c r="U20" s="129">
        <f t="shared" si="7"/>
        <v>0</v>
      </c>
      <c r="V20" s="129">
        <f t="shared" si="7"/>
        <v>0</v>
      </c>
      <c r="W20" s="129">
        <f t="shared" si="7"/>
        <v>0</v>
      </c>
      <c r="X20" s="129">
        <f t="shared" si="7"/>
        <v>0</v>
      </c>
      <c r="Y20" s="129">
        <f t="shared" si="7"/>
        <v>0</v>
      </c>
      <c r="Z20" s="129">
        <f t="shared" si="7"/>
        <v>0</v>
      </c>
      <c r="AA20" s="129">
        <f t="shared" si="7"/>
        <v>0</v>
      </c>
      <c r="AB20" s="129">
        <f t="shared" si="7"/>
        <v>0</v>
      </c>
      <c r="AC20" s="129">
        <f t="shared" si="7"/>
        <v>0</v>
      </c>
      <c r="AD20" s="129">
        <f t="shared" si="7"/>
        <v>0</v>
      </c>
      <c r="AE20" s="129">
        <f t="shared" si="7"/>
        <v>0</v>
      </c>
      <c r="AF20" s="129">
        <f t="shared" si="7"/>
        <v>0</v>
      </c>
      <c r="AG20" s="129">
        <f t="shared" si="7"/>
        <v>0</v>
      </c>
      <c r="AH20" s="129">
        <f t="shared" si="7"/>
        <v>0</v>
      </c>
    </row>
    <row r="21" spans="1:34" x14ac:dyDescent="0.25">
      <c r="A21" s="75" t="s">
        <v>89</v>
      </c>
      <c r="B21" s="101">
        <v>0</v>
      </c>
      <c r="C21" s="101">
        <v>0</v>
      </c>
      <c r="D21" s="101">
        <v>0</v>
      </c>
      <c r="E21" s="129">
        <v>0</v>
      </c>
      <c r="F21" s="129">
        <v>0</v>
      </c>
      <c r="G21" s="129">
        <v>777.29</v>
      </c>
      <c r="H21" s="129">
        <v>0</v>
      </c>
      <c r="I21" s="129">
        <v>1709.83</v>
      </c>
      <c r="J21" s="129">
        <v>0</v>
      </c>
      <c r="K21" s="129">
        <v>8899.0999999999967</v>
      </c>
      <c r="L21" s="129">
        <v>0</v>
      </c>
      <c r="M21" s="129">
        <v>0</v>
      </c>
      <c r="N21" s="129">
        <v>0</v>
      </c>
      <c r="O21" s="129">
        <v>1512.4499999999998</v>
      </c>
      <c r="P21" s="129">
        <v>13045.220000000001</v>
      </c>
      <c r="Q21" s="129">
        <f t="shared" si="4"/>
        <v>0</v>
      </c>
      <c r="R21" s="129">
        <f t="shared" ref="R21:AH21" si="8">R10*$C21</f>
        <v>0</v>
      </c>
      <c r="S21" s="129">
        <f t="shared" si="8"/>
        <v>0</v>
      </c>
      <c r="T21" s="129">
        <f t="shared" si="8"/>
        <v>0</v>
      </c>
      <c r="U21" s="129">
        <f t="shared" si="8"/>
        <v>0</v>
      </c>
      <c r="V21" s="129">
        <f t="shared" si="8"/>
        <v>0</v>
      </c>
      <c r="W21" s="129">
        <f t="shared" si="8"/>
        <v>0</v>
      </c>
      <c r="X21" s="129">
        <f t="shared" si="8"/>
        <v>0</v>
      </c>
      <c r="Y21" s="129">
        <f t="shared" si="8"/>
        <v>0</v>
      </c>
      <c r="Z21" s="129">
        <f t="shared" si="8"/>
        <v>0</v>
      </c>
      <c r="AA21" s="129">
        <f t="shared" si="8"/>
        <v>0</v>
      </c>
      <c r="AB21" s="129">
        <f t="shared" si="8"/>
        <v>0</v>
      </c>
      <c r="AC21" s="129">
        <f t="shared" si="8"/>
        <v>0</v>
      </c>
      <c r="AD21" s="129">
        <f t="shared" si="8"/>
        <v>0</v>
      </c>
      <c r="AE21" s="129">
        <f t="shared" si="8"/>
        <v>0</v>
      </c>
      <c r="AF21" s="129">
        <f t="shared" si="8"/>
        <v>0</v>
      </c>
      <c r="AG21" s="129">
        <f t="shared" si="8"/>
        <v>0</v>
      </c>
      <c r="AH21" s="129">
        <f t="shared" si="8"/>
        <v>0</v>
      </c>
    </row>
    <row r="22" spans="1:34" x14ac:dyDescent="0.25">
      <c r="A22" s="75" t="s">
        <v>90</v>
      </c>
      <c r="B22" s="101">
        <v>0</v>
      </c>
      <c r="C22" s="101">
        <v>0</v>
      </c>
      <c r="D22" s="101">
        <v>0</v>
      </c>
      <c r="E22" s="129">
        <v>0</v>
      </c>
      <c r="F22" s="129">
        <v>0</v>
      </c>
      <c r="G22" s="129">
        <v>0</v>
      </c>
      <c r="H22" s="129">
        <v>393.29</v>
      </c>
      <c r="I22" s="129">
        <v>0</v>
      </c>
      <c r="J22" s="129">
        <v>0</v>
      </c>
      <c r="K22" s="129">
        <v>0</v>
      </c>
      <c r="L22" s="129">
        <v>12691.48</v>
      </c>
      <c r="M22" s="129">
        <v>0</v>
      </c>
      <c r="N22" s="129">
        <v>0</v>
      </c>
      <c r="O22" s="129">
        <v>0</v>
      </c>
      <c r="P22" s="129">
        <v>1754.7000000000003</v>
      </c>
      <c r="Q22" s="129">
        <f t="shared" si="4"/>
        <v>0</v>
      </c>
      <c r="R22" s="129">
        <f t="shared" ref="R22:AH22" si="9">R11*$C22</f>
        <v>0</v>
      </c>
      <c r="S22" s="129">
        <f t="shared" si="9"/>
        <v>0</v>
      </c>
      <c r="T22" s="129">
        <f t="shared" si="9"/>
        <v>0</v>
      </c>
      <c r="U22" s="129">
        <f t="shared" si="9"/>
        <v>0</v>
      </c>
      <c r="V22" s="129">
        <f t="shared" si="9"/>
        <v>0</v>
      </c>
      <c r="W22" s="129">
        <f t="shared" si="9"/>
        <v>0</v>
      </c>
      <c r="X22" s="129">
        <f t="shared" si="9"/>
        <v>0</v>
      </c>
      <c r="Y22" s="129">
        <f t="shared" si="9"/>
        <v>0</v>
      </c>
      <c r="Z22" s="129">
        <f t="shared" si="9"/>
        <v>0</v>
      </c>
      <c r="AA22" s="129">
        <f t="shared" si="9"/>
        <v>0</v>
      </c>
      <c r="AB22" s="129">
        <f t="shared" si="9"/>
        <v>0</v>
      </c>
      <c r="AC22" s="129">
        <f t="shared" si="9"/>
        <v>0</v>
      </c>
      <c r="AD22" s="129">
        <f t="shared" si="9"/>
        <v>0</v>
      </c>
      <c r="AE22" s="129">
        <f t="shared" si="9"/>
        <v>0</v>
      </c>
      <c r="AF22" s="129">
        <f t="shared" si="9"/>
        <v>0</v>
      </c>
      <c r="AG22" s="129">
        <f t="shared" si="9"/>
        <v>0</v>
      </c>
      <c r="AH22" s="129">
        <f t="shared" si="9"/>
        <v>0</v>
      </c>
    </row>
    <row r="23" spans="1:34" x14ac:dyDescent="0.25">
      <c r="A23" s="75" t="s">
        <v>91</v>
      </c>
      <c r="B23" s="101">
        <v>0</v>
      </c>
      <c r="C23" s="101">
        <v>0</v>
      </c>
      <c r="D23" s="101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17448.060000000001</v>
      </c>
      <c r="J23" s="129">
        <v>0</v>
      </c>
      <c r="K23" s="129">
        <v>24408.520000000004</v>
      </c>
      <c r="L23" s="129">
        <v>4204.1400000000003</v>
      </c>
      <c r="M23" s="129">
        <v>0</v>
      </c>
      <c r="N23" s="129">
        <v>783.5</v>
      </c>
      <c r="O23" s="129">
        <v>9750.2200000000012</v>
      </c>
      <c r="P23" s="129">
        <v>17794.29</v>
      </c>
      <c r="Q23" s="129">
        <f t="shared" si="4"/>
        <v>0</v>
      </c>
      <c r="R23" s="129">
        <f t="shared" ref="R23:AH23" si="10">R12*$C23</f>
        <v>0</v>
      </c>
      <c r="S23" s="129">
        <f t="shared" si="10"/>
        <v>0</v>
      </c>
      <c r="T23" s="129">
        <f t="shared" si="10"/>
        <v>0</v>
      </c>
      <c r="U23" s="129">
        <f t="shared" si="10"/>
        <v>0</v>
      </c>
      <c r="V23" s="129">
        <f t="shared" si="10"/>
        <v>0</v>
      </c>
      <c r="W23" s="129">
        <f t="shared" si="10"/>
        <v>0</v>
      </c>
      <c r="X23" s="129">
        <f t="shared" si="10"/>
        <v>0</v>
      </c>
      <c r="Y23" s="129">
        <f t="shared" si="10"/>
        <v>0</v>
      </c>
      <c r="Z23" s="129">
        <f t="shared" si="10"/>
        <v>0</v>
      </c>
      <c r="AA23" s="129">
        <f t="shared" si="10"/>
        <v>0</v>
      </c>
      <c r="AB23" s="129">
        <f t="shared" si="10"/>
        <v>0</v>
      </c>
      <c r="AC23" s="129">
        <f t="shared" si="10"/>
        <v>0</v>
      </c>
      <c r="AD23" s="129">
        <f t="shared" si="10"/>
        <v>0</v>
      </c>
      <c r="AE23" s="129">
        <f t="shared" si="10"/>
        <v>0</v>
      </c>
      <c r="AF23" s="129">
        <f t="shared" si="10"/>
        <v>0</v>
      </c>
      <c r="AG23" s="129">
        <f t="shared" si="10"/>
        <v>0</v>
      </c>
      <c r="AH23" s="129">
        <f t="shared" si="10"/>
        <v>0</v>
      </c>
    </row>
    <row r="24" spans="1:34" x14ac:dyDescent="0.25">
      <c r="A24" s="75"/>
      <c r="E24" s="114">
        <f t="shared" ref="E24:Q24" si="11">SUM(E18:E23)</f>
        <v>0</v>
      </c>
      <c r="F24" s="114">
        <f t="shared" si="11"/>
        <v>514.19000000000005</v>
      </c>
      <c r="G24" s="114">
        <f t="shared" si="11"/>
        <v>17336.230000000003</v>
      </c>
      <c r="H24" s="114">
        <f t="shared" si="11"/>
        <v>34516.910000000003</v>
      </c>
      <c r="I24" s="114">
        <f t="shared" si="11"/>
        <v>456940.60000000003</v>
      </c>
      <c r="J24" s="114">
        <f t="shared" si="11"/>
        <v>11043.79</v>
      </c>
      <c r="K24" s="114">
        <f t="shared" si="11"/>
        <v>216921.32</v>
      </c>
      <c r="L24" s="114">
        <f t="shared" si="11"/>
        <v>299606.03999999992</v>
      </c>
      <c r="M24" s="114">
        <f t="shared" si="11"/>
        <v>0</v>
      </c>
      <c r="N24" s="114">
        <f t="shared" si="11"/>
        <v>185214.14999999994</v>
      </c>
      <c r="O24" s="114">
        <f t="shared" si="11"/>
        <v>103649.45</v>
      </c>
      <c r="P24" s="114">
        <f t="shared" si="11"/>
        <v>239855.05999999997</v>
      </c>
      <c r="Q24" s="114">
        <f t="shared" si="11"/>
        <v>0</v>
      </c>
      <c r="R24" s="114">
        <f t="shared" ref="R24:AH24" si="12">SUM(R18:R23)</f>
        <v>0</v>
      </c>
      <c r="S24" s="114">
        <f t="shared" si="12"/>
        <v>0</v>
      </c>
      <c r="T24" s="114">
        <f t="shared" si="12"/>
        <v>0</v>
      </c>
      <c r="U24" s="114">
        <f t="shared" si="12"/>
        <v>0</v>
      </c>
      <c r="V24" s="114">
        <f t="shared" si="12"/>
        <v>0</v>
      </c>
      <c r="W24" s="114">
        <f t="shared" si="12"/>
        <v>0</v>
      </c>
      <c r="X24" s="114">
        <f t="shared" si="12"/>
        <v>4190.9410619999999</v>
      </c>
      <c r="Y24" s="114">
        <f t="shared" si="12"/>
        <v>16816.325858999997</v>
      </c>
      <c r="Z24" s="114">
        <f t="shared" si="12"/>
        <v>15892.829855999998</v>
      </c>
      <c r="AA24" s="114">
        <f t="shared" si="12"/>
        <v>20108.287736999999</v>
      </c>
      <c r="AB24" s="114">
        <f t="shared" si="12"/>
        <v>85445.783261999997</v>
      </c>
      <c r="AC24" s="114">
        <f t="shared" si="12"/>
        <v>45951.966602100001</v>
      </c>
      <c r="AD24" s="114">
        <f t="shared" si="12"/>
        <v>81722.214720000004</v>
      </c>
      <c r="AE24" s="114">
        <f t="shared" si="12"/>
        <v>34712.810469000004</v>
      </c>
      <c r="AF24" s="114">
        <f t="shared" si="12"/>
        <v>227641.04012700001</v>
      </c>
      <c r="AG24" s="114">
        <f t="shared" si="12"/>
        <v>38481.386345999992</v>
      </c>
      <c r="AH24" s="114">
        <f t="shared" si="12"/>
        <v>0</v>
      </c>
    </row>
    <row r="25" spans="1:34" x14ac:dyDescent="0.25">
      <c r="A25" s="75" t="s">
        <v>203</v>
      </c>
      <c r="D25" s="78"/>
      <c r="E25" s="115">
        <f>SUM($E24:E24)</f>
        <v>0</v>
      </c>
      <c r="F25" s="115">
        <f>SUM($E24:F24)</f>
        <v>514.19000000000005</v>
      </c>
      <c r="G25" s="115">
        <f>SUM($E24:G24)</f>
        <v>17850.420000000002</v>
      </c>
      <c r="H25" s="115">
        <f>SUM($E24:H24)</f>
        <v>52367.33</v>
      </c>
      <c r="I25" s="115">
        <f>SUM($E24:I24)</f>
        <v>509307.93000000005</v>
      </c>
      <c r="J25" s="115">
        <f>SUM($E24:J24)</f>
        <v>520351.72000000003</v>
      </c>
      <c r="K25" s="115">
        <f>SUM($E24:K24)</f>
        <v>737273.04</v>
      </c>
      <c r="L25" s="115">
        <f>SUM($E24:L24)</f>
        <v>1036879.08</v>
      </c>
      <c r="M25" s="115">
        <f>SUM($E24:M24)</f>
        <v>1036879.08</v>
      </c>
      <c r="N25" s="115">
        <f>SUM($E24:N24)</f>
        <v>1222093.23</v>
      </c>
      <c r="O25" s="115">
        <f>SUM($E24:O24)</f>
        <v>1325742.68</v>
      </c>
      <c r="P25" s="115">
        <f>SUM($E24:P24)</f>
        <v>1565597.74</v>
      </c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</row>
    <row r="26" spans="1:34" x14ac:dyDescent="0.25">
      <c r="E26" s="74"/>
      <c r="F26" s="74"/>
      <c r="G26" s="74"/>
      <c r="H26" s="74"/>
      <c r="I26" s="74"/>
      <c r="J26" s="74"/>
      <c r="K26" s="74"/>
    </row>
    <row r="27" spans="1:34" x14ac:dyDescent="0.25">
      <c r="A27" s="17" t="s">
        <v>97</v>
      </c>
      <c r="E27" s="74" t="str">
        <f t="shared" ref="E27:AH27" si="13">E$5</f>
        <v>Actual</v>
      </c>
      <c r="F27" s="74" t="str">
        <f t="shared" si="13"/>
        <v>Actual</v>
      </c>
      <c r="G27" s="74" t="str">
        <f t="shared" si="13"/>
        <v>Actual</v>
      </c>
      <c r="H27" s="74" t="str">
        <f t="shared" si="13"/>
        <v>Actual</v>
      </c>
      <c r="I27" s="74" t="str">
        <f t="shared" si="13"/>
        <v>Actual</v>
      </c>
      <c r="J27" s="74" t="str">
        <f t="shared" si="13"/>
        <v>Actual</v>
      </c>
      <c r="K27" s="74" t="str">
        <f t="shared" si="13"/>
        <v>Actual</v>
      </c>
      <c r="L27" s="74" t="str">
        <f t="shared" si="13"/>
        <v>Actual</v>
      </c>
      <c r="M27" s="74" t="str">
        <f t="shared" si="13"/>
        <v>Actual</v>
      </c>
      <c r="N27" s="74" t="str">
        <f t="shared" si="13"/>
        <v>Actual</v>
      </c>
      <c r="O27" s="74" t="str">
        <f t="shared" si="13"/>
        <v>Actual</v>
      </c>
      <c r="P27" s="74" t="str">
        <f t="shared" si="13"/>
        <v>Actual</v>
      </c>
      <c r="Q27" s="74" t="str">
        <f t="shared" si="13"/>
        <v>Forecasted</v>
      </c>
      <c r="R27" s="74" t="str">
        <f t="shared" si="13"/>
        <v>Forecasted</v>
      </c>
      <c r="S27" s="74" t="str">
        <f t="shared" si="13"/>
        <v>Forecasted</v>
      </c>
      <c r="T27" s="74" t="str">
        <f t="shared" si="13"/>
        <v>Forecasted</v>
      </c>
      <c r="U27" s="74" t="str">
        <f t="shared" si="13"/>
        <v>Forecasted</v>
      </c>
      <c r="V27" s="74" t="str">
        <f t="shared" si="13"/>
        <v>Forecasted</v>
      </c>
      <c r="W27" s="74" t="str">
        <f t="shared" si="13"/>
        <v>Forecasted</v>
      </c>
      <c r="X27" s="74" t="str">
        <f t="shared" si="13"/>
        <v>Forecasted</v>
      </c>
      <c r="Y27" s="74" t="str">
        <f t="shared" si="13"/>
        <v>Forecasted</v>
      </c>
      <c r="Z27" s="74" t="str">
        <f t="shared" si="13"/>
        <v>Forecasted</v>
      </c>
      <c r="AA27" s="74" t="str">
        <f t="shared" si="13"/>
        <v>Forecasted</v>
      </c>
      <c r="AB27" s="74" t="str">
        <f t="shared" si="13"/>
        <v>Forecasted</v>
      </c>
      <c r="AC27" s="74" t="str">
        <f t="shared" si="13"/>
        <v>Forecasted</v>
      </c>
      <c r="AD27" s="74" t="str">
        <f t="shared" si="13"/>
        <v>Forecasted</v>
      </c>
      <c r="AE27" s="74" t="str">
        <f t="shared" si="13"/>
        <v>Forecasted</v>
      </c>
      <c r="AF27" s="74" t="str">
        <f t="shared" si="13"/>
        <v>Forecasted</v>
      </c>
      <c r="AG27" s="74" t="str">
        <f t="shared" si="13"/>
        <v>Forecasted</v>
      </c>
      <c r="AH27" s="74" t="str">
        <f t="shared" si="13"/>
        <v>Forecasted</v>
      </c>
    </row>
    <row r="28" spans="1:34" x14ac:dyDescent="0.25">
      <c r="E28" s="99">
        <f t="shared" ref="E28:AH28" si="14">E$6</f>
        <v>45138</v>
      </c>
      <c r="F28" s="99">
        <f t="shared" si="14"/>
        <v>45169</v>
      </c>
      <c r="G28" s="99">
        <f t="shared" si="14"/>
        <v>45199</v>
      </c>
      <c r="H28" s="99">
        <f t="shared" si="14"/>
        <v>45230</v>
      </c>
      <c r="I28" s="99">
        <f t="shared" si="14"/>
        <v>45260</v>
      </c>
      <c r="J28" s="99">
        <f t="shared" si="14"/>
        <v>45291</v>
      </c>
      <c r="K28" s="99">
        <f t="shared" si="14"/>
        <v>45322</v>
      </c>
      <c r="L28" s="99">
        <f t="shared" si="14"/>
        <v>45351</v>
      </c>
      <c r="M28" s="99">
        <f t="shared" si="14"/>
        <v>45382</v>
      </c>
      <c r="N28" s="99">
        <f t="shared" si="14"/>
        <v>45412</v>
      </c>
      <c r="O28" s="99">
        <f t="shared" si="14"/>
        <v>45443</v>
      </c>
      <c r="P28" s="99">
        <f t="shared" si="14"/>
        <v>45473</v>
      </c>
      <c r="Q28" s="99">
        <f t="shared" si="14"/>
        <v>45504</v>
      </c>
      <c r="R28" s="99">
        <f t="shared" si="14"/>
        <v>45535</v>
      </c>
      <c r="S28" s="99">
        <f t="shared" si="14"/>
        <v>45565</v>
      </c>
      <c r="T28" s="99">
        <f t="shared" si="14"/>
        <v>45596</v>
      </c>
      <c r="U28" s="99">
        <f t="shared" si="14"/>
        <v>45626</v>
      </c>
      <c r="V28" s="99">
        <f t="shared" si="14"/>
        <v>45657</v>
      </c>
      <c r="W28" s="99">
        <f t="shared" si="14"/>
        <v>45688</v>
      </c>
      <c r="X28" s="99">
        <f t="shared" si="14"/>
        <v>45716</v>
      </c>
      <c r="Y28" s="99">
        <f t="shared" si="14"/>
        <v>45747</v>
      </c>
      <c r="Z28" s="99">
        <f t="shared" si="14"/>
        <v>45777</v>
      </c>
      <c r="AA28" s="99">
        <f t="shared" si="14"/>
        <v>45808</v>
      </c>
      <c r="AB28" s="99">
        <f t="shared" si="14"/>
        <v>45838</v>
      </c>
      <c r="AC28" s="99">
        <f t="shared" si="14"/>
        <v>45869</v>
      </c>
      <c r="AD28" s="99">
        <f t="shared" si="14"/>
        <v>45900</v>
      </c>
      <c r="AE28" s="99">
        <f t="shared" si="14"/>
        <v>45930</v>
      </c>
      <c r="AF28" s="99">
        <f t="shared" si="14"/>
        <v>45961</v>
      </c>
      <c r="AG28" s="99">
        <f t="shared" si="14"/>
        <v>45991</v>
      </c>
      <c r="AH28" s="99">
        <f t="shared" si="14"/>
        <v>46022</v>
      </c>
    </row>
    <row r="29" spans="1:34" x14ac:dyDescent="0.25">
      <c r="A29" s="75" t="s">
        <v>86</v>
      </c>
      <c r="E29" s="116">
        <v>58434.149999999936</v>
      </c>
      <c r="F29" s="116">
        <v>222045.71999999986</v>
      </c>
      <c r="G29" s="116">
        <v>174073.78999999995</v>
      </c>
      <c r="H29" s="116">
        <v>115681.77999999998</v>
      </c>
      <c r="I29" s="116">
        <v>100362.89999999997</v>
      </c>
      <c r="J29" s="116">
        <v>236812.74999999988</v>
      </c>
      <c r="K29" s="116">
        <v>4181.299999999881</v>
      </c>
      <c r="L29" s="116">
        <v>48503.570000000072</v>
      </c>
      <c r="M29" s="116">
        <v>38359.120000000024</v>
      </c>
      <c r="N29" s="116">
        <v>-1042.3100000000034</v>
      </c>
      <c r="O29" s="116">
        <v>444.00000000000114</v>
      </c>
      <c r="P29" s="116">
        <v>8431.8000000000138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20604.43</v>
      </c>
      <c r="Y29" s="116">
        <v>82676.135000000009</v>
      </c>
      <c r="Z29" s="116">
        <v>78135.839999999997</v>
      </c>
      <c r="AA29" s="116">
        <v>98860.804999999993</v>
      </c>
      <c r="AB29" s="116">
        <v>420087.43</v>
      </c>
      <c r="AC29" s="116">
        <v>225919.2065</v>
      </c>
      <c r="AD29" s="116">
        <v>401780.80000000005</v>
      </c>
      <c r="AE29" s="116">
        <v>170662.78500000003</v>
      </c>
      <c r="AF29" s="116">
        <v>1119179.155</v>
      </c>
      <c r="AG29" s="116">
        <v>189190.68999999997</v>
      </c>
      <c r="AH29" s="116">
        <f t="shared" ref="AH29" si="15">AH7*0.1</f>
        <v>0</v>
      </c>
    </row>
    <row r="30" spans="1:34" x14ac:dyDescent="0.25">
      <c r="A30" s="75" t="s">
        <v>87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</row>
    <row r="31" spans="1:34" x14ac:dyDescent="0.25">
      <c r="A31" s="75" t="s">
        <v>88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0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9">
        <v>0</v>
      </c>
    </row>
    <row r="32" spans="1:34" x14ac:dyDescent="0.25">
      <c r="A32" s="75" t="s">
        <v>89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129">
        <v>0</v>
      </c>
      <c r="AH32" s="129">
        <v>0</v>
      </c>
    </row>
    <row r="33" spans="1:34" x14ac:dyDescent="0.25">
      <c r="A33" s="75" t="s">
        <v>90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29">
        <v>0</v>
      </c>
      <c r="K33" s="129">
        <v>0</v>
      </c>
      <c r="L33" s="129">
        <v>0</v>
      </c>
      <c r="M33" s="129">
        <v>0</v>
      </c>
      <c r="N33" s="129">
        <v>0</v>
      </c>
      <c r="O33" s="129">
        <v>0</v>
      </c>
      <c r="P33" s="129">
        <v>0</v>
      </c>
      <c r="Q33" s="129">
        <v>0</v>
      </c>
      <c r="R33" s="129">
        <v>0</v>
      </c>
      <c r="S33" s="129">
        <v>0</v>
      </c>
      <c r="T33" s="129">
        <v>0</v>
      </c>
      <c r="U33" s="129">
        <v>0</v>
      </c>
      <c r="V33" s="129">
        <v>0</v>
      </c>
      <c r="W33" s="129">
        <v>0</v>
      </c>
      <c r="X33" s="129">
        <v>0</v>
      </c>
      <c r="Y33" s="129">
        <v>0</v>
      </c>
      <c r="Z33" s="129">
        <v>0</v>
      </c>
      <c r="AA33" s="129">
        <v>0</v>
      </c>
      <c r="AB33" s="129">
        <v>0</v>
      </c>
      <c r="AC33" s="129">
        <v>0</v>
      </c>
      <c r="AD33" s="129">
        <v>0</v>
      </c>
      <c r="AE33" s="129">
        <v>0</v>
      </c>
      <c r="AF33" s="129">
        <v>0</v>
      </c>
      <c r="AG33" s="129">
        <v>0</v>
      </c>
      <c r="AH33" s="129">
        <v>0</v>
      </c>
    </row>
    <row r="34" spans="1:34" x14ac:dyDescent="0.25">
      <c r="A34" s="75" t="s">
        <v>91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0</v>
      </c>
      <c r="R34" s="129">
        <v>0</v>
      </c>
      <c r="S34" s="129">
        <v>0</v>
      </c>
      <c r="T34" s="129">
        <v>0</v>
      </c>
      <c r="U34" s="129">
        <v>0</v>
      </c>
      <c r="V34" s="129">
        <v>0</v>
      </c>
      <c r="W34" s="129">
        <v>0</v>
      </c>
      <c r="X34" s="129">
        <v>0</v>
      </c>
      <c r="Y34" s="129">
        <v>0</v>
      </c>
      <c r="Z34" s="129">
        <v>0</v>
      </c>
      <c r="AA34" s="129">
        <v>0</v>
      </c>
      <c r="AB34" s="129">
        <v>0</v>
      </c>
      <c r="AC34" s="129">
        <v>0</v>
      </c>
      <c r="AD34" s="129">
        <v>0</v>
      </c>
      <c r="AE34" s="129">
        <v>0</v>
      </c>
      <c r="AF34" s="129">
        <v>0</v>
      </c>
      <c r="AG34" s="129">
        <v>0</v>
      </c>
      <c r="AH34" s="129">
        <v>0</v>
      </c>
    </row>
    <row r="35" spans="1:34" x14ac:dyDescent="0.25">
      <c r="A35" s="75"/>
      <c r="E35" s="114">
        <f t="shared" ref="E35:W35" si="16">SUM(E29:E34)</f>
        <v>58434.149999999936</v>
      </c>
      <c r="F35" s="114">
        <f t="shared" si="16"/>
        <v>222045.71999999986</v>
      </c>
      <c r="G35" s="114">
        <f t="shared" si="16"/>
        <v>174073.78999999995</v>
      </c>
      <c r="H35" s="114">
        <f t="shared" si="16"/>
        <v>115681.77999999998</v>
      </c>
      <c r="I35" s="114">
        <f t="shared" si="16"/>
        <v>100362.89999999997</v>
      </c>
      <c r="J35" s="114">
        <f t="shared" si="16"/>
        <v>236812.74999999988</v>
      </c>
      <c r="K35" s="114">
        <f t="shared" si="16"/>
        <v>4181.299999999881</v>
      </c>
      <c r="L35" s="114">
        <f t="shared" si="16"/>
        <v>48503.570000000072</v>
      </c>
      <c r="M35" s="114">
        <f t="shared" si="16"/>
        <v>38359.120000000024</v>
      </c>
      <c r="N35" s="114">
        <f t="shared" si="16"/>
        <v>-1042.3100000000034</v>
      </c>
      <c r="O35" s="114">
        <f t="shared" si="16"/>
        <v>444.00000000000114</v>
      </c>
      <c r="P35" s="114">
        <f t="shared" si="16"/>
        <v>8431.8000000000138</v>
      </c>
      <c r="Q35" s="114">
        <f t="shared" si="16"/>
        <v>0</v>
      </c>
      <c r="R35" s="114">
        <f t="shared" si="16"/>
        <v>0</v>
      </c>
      <c r="S35" s="114">
        <f t="shared" si="16"/>
        <v>0</v>
      </c>
      <c r="T35" s="114">
        <f t="shared" si="16"/>
        <v>0</v>
      </c>
      <c r="U35" s="114">
        <f t="shared" si="16"/>
        <v>0</v>
      </c>
      <c r="V35" s="114">
        <f t="shared" si="16"/>
        <v>0</v>
      </c>
      <c r="W35" s="114">
        <f t="shared" si="16"/>
        <v>0</v>
      </c>
      <c r="X35" s="114">
        <f t="shared" ref="X35:AH35" si="17">SUM(X29:X34)</f>
        <v>20604.43</v>
      </c>
      <c r="Y35" s="114">
        <f t="shared" si="17"/>
        <v>82676.135000000009</v>
      </c>
      <c r="Z35" s="114">
        <f t="shared" si="17"/>
        <v>78135.839999999997</v>
      </c>
      <c r="AA35" s="114">
        <f t="shared" si="17"/>
        <v>98860.804999999993</v>
      </c>
      <c r="AB35" s="114">
        <f t="shared" si="17"/>
        <v>420087.43</v>
      </c>
      <c r="AC35" s="114">
        <f t="shared" si="17"/>
        <v>225919.2065</v>
      </c>
      <c r="AD35" s="114">
        <f t="shared" si="17"/>
        <v>401780.80000000005</v>
      </c>
      <c r="AE35" s="114">
        <f t="shared" si="17"/>
        <v>170662.78500000003</v>
      </c>
      <c r="AF35" s="114">
        <f t="shared" si="17"/>
        <v>1119179.155</v>
      </c>
      <c r="AG35" s="114">
        <f t="shared" si="17"/>
        <v>189190.68999999997</v>
      </c>
      <c r="AH35" s="114">
        <f t="shared" si="17"/>
        <v>0</v>
      </c>
    </row>
    <row r="36" spans="1:34" x14ac:dyDescent="0.25">
      <c r="A36" s="75" t="s">
        <v>204</v>
      </c>
      <c r="D36" s="78"/>
      <c r="E36" s="115">
        <f>SUM($E35:E35)</f>
        <v>58434.149999999936</v>
      </c>
      <c r="F36" s="115">
        <f>SUM($E35:F35)</f>
        <v>280479.86999999976</v>
      </c>
      <c r="G36" s="115">
        <f>SUM($E35:G35)</f>
        <v>454553.65999999968</v>
      </c>
      <c r="H36" s="115">
        <f>SUM($E35:H35)</f>
        <v>570235.43999999971</v>
      </c>
      <c r="I36" s="115">
        <f>SUM($E35:I35)</f>
        <v>670598.33999999962</v>
      </c>
      <c r="J36" s="115">
        <f>SUM($E35:J35)</f>
        <v>907411.0899999995</v>
      </c>
      <c r="K36" s="115">
        <f>SUM($E35:K35)</f>
        <v>911592.38999999943</v>
      </c>
      <c r="L36" s="115">
        <f>SUM($E35:L35)</f>
        <v>960095.9599999995</v>
      </c>
      <c r="M36" s="115">
        <f>SUM($E35:M35)</f>
        <v>998455.07999999949</v>
      </c>
      <c r="N36" s="115">
        <f>SUM($E35:N35)</f>
        <v>997412.76999999944</v>
      </c>
      <c r="O36" s="115">
        <f>SUM($E35:O35)</f>
        <v>997856.76999999944</v>
      </c>
      <c r="P36" s="115">
        <f>SUM($E35:P35)</f>
        <v>1006288.5699999995</v>
      </c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</row>
    <row r="37" spans="1:34" x14ac:dyDescent="0.25"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34" x14ac:dyDescent="0.25">
      <c r="A38" s="17" t="s">
        <v>98</v>
      </c>
      <c r="B38" s="74" t="s">
        <v>84</v>
      </c>
      <c r="D38" s="74" t="s">
        <v>84</v>
      </c>
      <c r="E38" s="74" t="str">
        <f t="shared" ref="E38:AH38" si="18">E$5</f>
        <v>Actual</v>
      </c>
      <c r="F38" s="74" t="str">
        <f t="shared" si="18"/>
        <v>Actual</v>
      </c>
      <c r="G38" s="74" t="str">
        <f t="shared" si="18"/>
        <v>Actual</v>
      </c>
      <c r="H38" s="74" t="str">
        <f t="shared" si="18"/>
        <v>Actual</v>
      </c>
      <c r="I38" s="74" t="str">
        <f t="shared" si="18"/>
        <v>Actual</v>
      </c>
      <c r="J38" s="74" t="str">
        <f t="shared" si="18"/>
        <v>Actual</v>
      </c>
      <c r="K38" s="74" t="str">
        <f t="shared" si="18"/>
        <v>Actual</v>
      </c>
      <c r="L38" s="74" t="str">
        <f t="shared" si="18"/>
        <v>Actual</v>
      </c>
      <c r="M38" s="74" t="str">
        <f t="shared" si="18"/>
        <v>Actual</v>
      </c>
      <c r="N38" s="74" t="str">
        <f t="shared" si="18"/>
        <v>Actual</v>
      </c>
      <c r="O38" s="74" t="str">
        <f t="shared" si="18"/>
        <v>Actual</v>
      </c>
      <c r="P38" s="74" t="str">
        <f t="shared" si="18"/>
        <v>Actual</v>
      </c>
      <c r="Q38" s="74" t="str">
        <f t="shared" si="18"/>
        <v>Forecasted</v>
      </c>
      <c r="R38" s="74" t="str">
        <f t="shared" si="18"/>
        <v>Forecasted</v>
      </c>
      <c r="S38" s="74" t="str">
        <f t="shared" si="18"/>
        <v>Forecasted</v>
      </c>
      <c r="T38" s="74" t="str">
        <f t="shared" si="18"/>
        <v>Forecasted</v>
      </c>
      <c r="U38" s="74" t="str">
        <f t="shared" si="18"/>
        <v>Forecasted</v>
      </c>
      <c r="V38" s="74" t="str">
        <f t="shared" si="18"/>
        <v>Forecasted</v>
      </c>
      <c r="W38" s="74" t="str">
        <f t="shared" si="18"/>
        <v>Forecasted</v>
      </c>
      <c r="X38" s="74" t="str">
        <f t="shared" si="18"/>
        <v>Forecasted</v>
      </c>
      <c r="Y38" s="74" t="str">
        <f t="shared" si="18"/>
        <v>Forecasted</v>
      </c>
      <c r="Z38" s="74" t="str">
        <f t="shared" si="18"/>
        <v>Forecasted</v>
      </c>
      <c r="AA38" s="74" t="str">
        <f t="shared" si="18"/>
        <v>Forecasted</v>
      </c>
      <c r="AB38" s="74" t="str">
        <f t="shared" si="18"/>
        <v>Forecasted</v>
      </c>
      <c r="AC38" s="74" t="str">
        <f t="shared" si="18"/>
        <v>Forecasted</v>
      </c>
      <c r="AD38" s="74" t="str">
        <f t="shared" si="18"/>
        <v>Forecasted</v>
      </c>
      <c r="AE38" s="74" t="str">
        <f t="shared" si="18"/>
        <v>Forecasted</v>
      </c>
      <c r="AF38" s="74" t="str">
        <f t="shared" si="18"/>
        <v>Forecasted</v>
      </c>
      <c r="AG38" s="74" t="str">
        <f t="shared" si="18"/>
        <v>Forecasted</v>
      </c>
      <c r="AH38" s="74" t="str">
        <f t="shared" si="18"/>
        <v>Forecasted</v>
      </c>
    </row>
    <row r="39" spans="1:34" x14ac:dyDescent="0.25">
      <c r="B39" s="99">
        <v>44926</v>
      </c>
      <c r="D39" s="99">
        <v>45107</v>
      </c>
      <c r="E39" s="99">
        <f t="shared" ref="E39:AH39" si="19">E$6</f>
        <v>45138</v>
      </c>
      <c r="F39" s="99">
        <f t="shared" si="19"/>
        <v>45169</v>
      </c>
      <c r="G39" s="99">
        <f t="shared" si="19"/>
        <v>45199</v>
      </c>
      <c r="H39" s="99">
        <f t="shared" si="19"/>
        <v>45230</v>
      </c>
      <c r="I39" s="99">
        <f t="shared" si="19"/>
        <v>45260</v>
      </c>
      <c r="J39" s="99">
        <f t="shared" si="19"/>
        <v>45291</v>
      </c>
      <c r="K39" s="99">
        <f t="shared" si="19"/>
        <v>45322</v>
      </c>
      <c r="L39" s="99">
        <f t="shared" si="19"/>
        <v>45351</v>
      </c>
      <c r="M39" s="99">
        <f t="shared" si="19"/>
        <v>45382</v>
      </c>
      <c r="N39" s="99">
        <f t="shared" si="19"/>
        <v>45412</v>
      </c>
      <c r="O39" s="99">
        <f t="shared" si="19"/>
        <v>45443</v>
      </c>
      <c r="P39" s="99">
        <f t="shared" si="19"/>
        <v>45473</v>
      </c>
      <c r="Q39" s="99">
        <f t="shared" si="19"/>
        <v>45504</v>
      </c>
      <c r="R39" s="99">
        <f t="shared" si="19"/>
        <v>45535</v>
      </c>
      <c r="S39" s="99">
        <f t="shared" si="19"/>
        <v>45565</v>
      </c>
      <c r="T39" s="99">
        <f t="shared" si="19"/>
        <v>45596</v>
      </c>
      <c r="U39" s="99">
        <f t="shared" si="19"/>
        <v>45626</v>
      </c>
      <c r="V39" s="99">
        <f t="shared" si="19"/>
        <v>45657</v>
      </c>
      <c r="W39" s="99">
        <f t="shared" si="19"/>
        <v>45688</v>
      </c>
      <c r="X39" s="99">
        <f t="shared" si="19"/>
        <v>45716</v>
      </c>
      <c r="Y39" s="99">
        <f t="shared" si="19"/>
        <v>45747</v>
      </c>
      <c r="Z39" s="99">
        <f t="shared" si="19"/>
        <v>45777</v>
      </c>
      <c r="AA39" s="99">
        <f t="shared" si="19"/>
        <v>45808</v>
      </c>
      <c r="AB39" s="99">
        <f t="shared" si="19"/>
        <v>45838</v>
      </c>
      <c r="AC39" s="99">
        <f t="shared" si="19"/>
        <v>45869</v>
      </c>
      <c r="AD39" s="99">
        <f t="shared" si="19"/>
        <v>45900</v>
      </c>
      <c r="AE39" s="99">
        <f t="shared" si="19"/>
        <v>45930</v>
      </c>
      <c r="AF39" s="99">
        <f t="shared" si="19"/>
        <v>45961</v>
      </c>
      <c r="AG39" s="99">
        <f t="shared" si="19"/>
        <v>45991</v>
      </c>
      <c r="AH39" s="99">
        <f t="shared" si="19"/>
        <v>46022</v>
      </c>
    </row>
    <row r="40" spans="1:34" x14ac:dyDescent="0.25">
      <c r="A40" s="75" t="s">
        <v>86</v>
      </c>
      <c r="B40" s="118">
        <v>37679202.769999996</v>
      </c>
      <c r="C40" s="115"/>
      <c r="D40" s="116">
        <v>46610995.799999982</v>
      </c>
      <c r="E40" s="116">
        <f>D40+E7-E18</f>
        <v>48280262.389999986</v>
      </c>
      <c r="F40" s="116">
        <f t="shared" ref="E40:W45" si="20">E40+F7-F18</f>
        <v>49644039.319999985</v>
      </c>
      <c r="G40" s="116">
        <f t="shared" si="20"/>
        <v>51577105.099999979</v>
      </c>
      <c r="H40" s="116">
        <f t="shared" si="20"/>
        <v>53519975.079999983</v>
      </c>
      <c r="I40" s="116">
        <f t="shared" si="20"/>
        <v>55180557.829999983</v>
      </c>
      <c r="J40" s="116">
        <f t="shared" si="20"/>
        <v>57253812.829999983</v>
      </c>
      <c r="K40" s="116">
        <f t="shared" si="20"/>
        <v>58476024.079999983</v>
      </c>
      <c r="L40" s="116">
        <f t="shared" si="20"/>
        <v>58508008.059999987</v>
      </c>
      <c r="M40" s="116">
        <f t="shared" si="20"/>
        <v>58335833.479999989</v>
      </c>
      <c r="N40" s="116">
        <f t="shared" si="20"/>
        <v>60424932.089999989</v>
      </c>
      <c r="O40" s="116">
        <f t="shared" si="20"/>
        <v>62743601.689999983</v>
      </c>
      <c r="P40" s="116">
        <f t="shared" si="20"/>
        <v>70570335.899999976</v>
      </c>
      <c r="Q40" s="116">
        <f t="shared" si="20"/>
        <v>70570335.899999976</v>
      </c>
      <c r="R40" s="116">
        <f t="shared" si="20"/>
        <v>70570335.899999976</v>
      </c>
      <c r="S40" s="116">
        <f t="shared" si="20"/>
        <v>70570335.899999976</v>
      </c>
      <c r="T40" s="116">
        <f t="shared" si="20"/>
        <v>70570335.899999976</v>
      </c>
      <c r="U40" s="116">
        <f t="shared" si="20"/>
        <v>70570335.899999976</v>
      </c>
      <c r="V40" s="116">
        <f t="shared" si="20"/>
        <v>70570335.899999976</v>
      </c>
      <c r="W40" s="116">
        <f t="shared" si="20"/>
        <v>70570335.899999976</v>
      </c>
      <c r="X40" s="116">
        <f>W40+X7-X18</f>
        <v>70751584.828937978</v>
      </c>
      <c r="Y40" s="116">
        <f t="shared" ref="Y40:AH43" si="21">X40+Y7-Y18</f>
        <v>71478853.718078986</v>
      </c>
      <c r="Z40" s="116">
        <f t="shared" si="21"/>
        <v>72166183.448222995</v>
      </c>
      <c r="AA40" s="116">
        <f t="shared" si="21"/>
        <v>73035822.405486003</v>
      </c>
      <c r="AB40" s="116">
        <f t="shared" si="21"/>
        <v>76731163.492224008</v>
      </c>
      <c r="AC40" s="116">
        <f t="shared" si="21"/>
        <v>78718484.38412191</v>
      </c>
      <c r="AD40" s="116">
        <f t="shared" si="21"/>
        <v>82252789.369401917</v>
      </c>
      <c r="AE40" s="116">
        <f t="shared" si="21"/>
        <v>83754041.623932913</v>
      </c>
      <c r="AF40" s="116">
        <f t="shared" si="21"/>
        <v>93599012.978805915</v>
      </c>
      <c r="AG40" s="116">
        <f t="shared" si="21"/>
        <v>95263247.802459911</v>
      </c>
      <c r="AH40" s="116">
        <f t="shared" si="21"/>
        <v>95263247.802459911</v>
      </c>
    </row>
    <row r="41" spans="1:34" x14ac:dyDescent="0.25">
      <c r="A41" s="75" t="s">
        <v>87</v>
      </c>
      <c r="B41" s="130">
        <v>819773.39</v>
      </c>
      <c r="C41" s="81"/>
      <c r="D41" s="129">
        <v>3089331.26</v>
      </c>
      <c r="E41" s="129">
        <f t="shared" si="20"/>
        <v>3274621.42</v>
      </c>
      <c r="F41" s="129">
        <f t="shared" si="20"/>
        <v>3831294.3699999996</v>
      </c>
      <c r="G41" s="129">
        <f t="shared" si="20"/>
        <v>4027778.8</v>
      </c>
      <c r="H41" s="129">
        <f t="shared" si="20"/>
        <v>4156858.1999999997</v>
      </c>
      <c r="I41" s="129">
        <f t="shared" si="20"/>
        <v>4253413.7300000004</v>
      </c>
      <c r="J41" s="129">
        <f t="shared" si="20"/>
        <v>4564739.5000000009</v>
      </c>
      <c r="K41" s="129">
        <f t="shared" si="20"/>
        <v>4892232.4900000012</v>
      </c>
      <c r="L41" s="129">
        <f t="shared" si="20"/>
        <v>5165209.0600000015</v>
      </c>
      <c r="M41" s="129">
        <f t="shared" si="20"/>
        <v>5307867.9000000013</v>
      </c>
      <c r="N41" s="129">
        <f t="shared" si="20"/>
        <v>5419394.6700000018</v>
      </c>
      <c r="O41" s="129">
        <f t="shared" si="20"/>
        <v>5467936.5600000015</v>
      </c>
      <c r="P41" s="129">
        <f t="shared" si="20"/>
        <v>5715641.370000002</v>
      </c>
      <c r="Q41" s="129">
        <f t="shared" si="20"/>
        <v>5715641.370000002</v>
      </c>
      <c r="R41" s="129">
        <f t="shared" si="20"/>
        <v>5715641.370000002</v>
      </c>
      <c r="S41" s="129">
        <f t="shared" si="20"/>
        <v>5715641.370000002</v>
      </c>
      <c r="T41" s="129">
        <f t="shared" si="20"/>
        <v>5715641.370000002</v>
      </c>
      <c r="U41" s="129">
        <f t="shared" si="20"/>
        <v>5715641.370000002</v>
      </c>
      <c r="V41" s="129">
        <f t="shared" si="20"/>
        <v>5715641.370000002</v>
      </c>
      <c r="W41" s="129">
        <f t="shared" si="20"/>
        <v>5715641.370000002</v>
      </c>
      <c r="X41" s="129">
        <f t="shared" ref="X41:AH45" si="22">W41+X8-X19</f>
        <v>5715641.370000002</v>
      </c>
      <c r="Y41" s="129">
        <f t="shared" si="21"/>
        <v>5715641.370000002</v>
      </c>
      <c r="Z41" s="129">
        <f t="shared" si="21"/>
        <v>5715641.370000002</v>
      </c>
      <c r="AA41" s="129">
        <f t="shared" si="21"/>
        <v>5715641.370000002</v>
      </c>
      <c r="AB41" s="129">
        <f t="shared" si="21"/>
        <v>5715641.370000002</v>
      </c>
      <c r="AC41" s="129">
        <f t="shared" si="21"/>
        <v>5715641.370000002</v>
      </c>
      <c r="AD41" s="129">
        <f t="shared" si="21"/>
        <v>5715641.370000002</v>
      </c>
      <c r="AE41" s="129">
        <f t="shared" si="21"/>
        <v>5715641.370000002</v>
      </c>
      <c r="AF41" s="129">
        <f t="shared" si="21"/>
        <v>5715641.370000002</v>
      </c>
      <c r="AG41" s="129">
        <f t="shared" si="21"/>
        <v>5715641.370000002</v>
      </c>
      <c r="AH41" s="129">
        <f t="shared" si="21"/>
        <v>5715641.370000002</v>
      </c>
    </row>
    <row r="42" spans="1:34" x14ac:dyDescent="0.25">
      <c r="A42" s="75" t="s">
        <v>88</v>
      </c>
      <c r="B42" s="130">
        <v>124038.74000000002</v>
      </c>
      <c r="C42" s="81"/>
      <c r="D42" s="129">
        <v>189328.29</v>
      </c>
      <c r="E42" s="129">
        <f t="shared" si="20"/>
        <v>190751.54</v>
      </c>
      <c r="F42" s="129">
        <f t="shared" si="20"/>
        <v>233658.44</v>
      </c>
      <c r="G42" s="129">
        <f t="shared" si="20"/>
        <v>302187.84000000003</v>
      </c>
      <c r="H42" s="129">
        <f t="shared" si="20"/>
        <v>321561.95</v>
      </c>
      <c r="I42" s="129">
        <f t="shared" si="20"/>
        <v>346834</v>
      </c>
      <c r="J42" s="129">
        <f t="shared" si="20"/>
        <v>388011.02999999997</v>
      </c>
      <c r="K42" s="129">
        <f t="shared" si="20"/>
        <v>450499.86</v>
      </c>
      <c r="L42" s="129">
        <f t="shared" si="20"/>
        <v>529404.01</v>
      </c>
      <c r="M42" s="129">
        <f t="shared" si="20"/>
        <v>555567.82999999996</v>
      </c>
      <c r="N42" s="129">
        <f t="shared" si="20"/>
        <v>560828.64</v>
      </c>
      <c r="O42" s="129">
        <f t="shared" si="20"/>
        <v>586374.82999999996</v>
      </c>
      <c r="P42" s="129">
        <f t="shared" si="20"/>
        <v>635855.85</v>
      </c>
      <c r="Q42" s="129">
        <f t="shared" si="20"/>
        <v>635855.85</v>
      </c>
      <c r="R42" s="129">
        <f t="shared" si="20"/>
        <v>635855.85</v>
      </c>
      <c r="S42" s="129">
        <f t="shared" si="20"/>
        <v>635855.85</v>
      </c>
      <c r="T42" s="129">
        <f t="shared" si="20"/>
        <v>635855.85</v>
      </c>
      <c r="U42" s="129">
        <f t="shared" si="20"/>
        <v>635855.85</v>
      </c>
      <c r="V42" s="129">
        <f t="shared" si="20"/>
        <v>635855.85</v>
      </c>
      <c r="W42" s="129">
        <f t="shared" si="20"/>
        <v>635855.85</v>
      </c>
      <c r="X42" s="129">
        <f t="shared" si="22"/>
        <v>635855.85</v>
      </c>
      <c r="Y42" s="129">
        <f t="shared" si="21"/>
        <v>635855.85</v>
      </c>
      <c r="Z42" s="129">
        <f t="shared" si="21"/>
        <v>635855.85</v>
      </c>
      <c r="AA42" s="129">
        <f t="shared" si="21"/>
        <v>635855.85</v>
      </c>
      <c r="AB42" s="129">
        <f t="shared" si="21"/>
        <v>635855.85</v>
      </c>
      <c r="AC42" s="129">
        <f t="shared" si="21"/>
        <v>635855.85</v>
      </c>
      <c r="AD42" s="129">
        <f t="shared" si="21"/>
        <v>635855.85</v>
      </c>
      <c r="AE42" s="129">
        <f t="shared" si="21"/>
        <v>635855.85</v>
      </c>
      <c r="AF42" s="129">
        <f t="shared" si="21"/>
        <v>635855.85</v>
      </c>
      <c r="AG42" s="129">
        <f t="shared" si="21"/>
        <v>635855.85</v>
      </c>
      <c r="AH42" s="129">
        <f t="shared" si="21"/>
        <v>635855.85</v>
      </c>
    </row>
    <row r="43" spans="1:34" x14ac:dyDescent="0.25">
      <c r="A43" s="75" t="s">
        <v>89</v>
      </c>
      <c r="B43" s="130">
        <v>265654.31</v>
      </c>
      <c r="C43" s="81"/>
      <c r="D43" s="129">
        <v>869144.72000000009</v>
      </c>
      <c r="E43" s="129">
        <f t="shared" si="20"/>
        <v>870828.38000000012</v>
      </c>
      <c r="F43" s="129">
        <f t="shared" si="20"/>
        <v>1150899.2399999998</v>
      </c>
      <c r="G43" s="129">
        <f t="shared" si="20"/>
        <v>1249229.8499999996</v>
      </c>
      <c r="H43" s="129">
        <f t="shared" si="20"/>
        <v>1274811.4899999995</v>
      </c>
      <c r="I43" s="129">
        <f t="shared" si="20"/>
        <v>1320885.6199999994</v>
      </c>
      <c r="J43" s="129">
        <f t="shared" si="20"/>
        <v>1424583.6599999995</v>
      </c>
      <c r="K43" s="129">
        <f t="shared" si="20"/>
        <v>1516295.9499999995</v>
      </c>
      <c r="L43" s="129">
        <f t="shared" si="20"/>
        <v>1608062.1699999995</v>
      </c>
      <c r="M43" s="129">
        <f t="shared" si="20"/>
        <v>1644314.2399999995</v>
      </c>
      <c r="N43" s="129">
        <f t="shared" si="20"/>
        <v>1653998.1799999995</v>
      </c>
      <c r="O43" s="129">
        <f t="shared" si="20"/>
        <v>1686670.1599999995</v>
      </c>
      <c r="P43" s="129">
        <f t="shared" si="20"/>
        <v>1746812.3299999994</v>
      </c>
      <c r="Q43" s="129">
        <f t="shared" si="20"/>
        <v>1746812.3299999994</v>
      </c>
      <c r="R43" s="129">
        <f t="shared" si="20"/>
        <v>1746812.3299999994</v>
      </c>
      <c r="S43" s="129">
        <f t="shared" si="20"/>
        <v>1746812.3299999994</v>
      </c>
      <c r="T43" s="129">
        <f t="shared" si="20"/>
        <v>1746812.3299999994</v>
      </c>
      <c r="U43" s="129">
        <f t="shared" si="20"/>
        <v>1746812.3299999994</v>
      </c>
      <c r="V43" s="129">
        <f t="shared" si="20"/>
        <v>1746812.3299999994</v>
      </c>
      <c r="W43" s="129">
        <f t="shared" si="20"/>
        <v>1746812.3299999994</v>
      </c>
      <c r="X43" s="129">
        <f t="shared" si="22"/>
        <v>1746812.3299999994</v>
      </c>
      <c r="Y43" s="129">
        <f t="shared" si="21"/>
        <v>1746812.3299999994</v>
      </c>
      <c r="Z43" s="129">
        <f t="shared" si="21"/>
        <v>1746812.3299999994</v>
      </c>
      <c r="AA43" s="129">
        <f t="shared" si="21"/>
        <v>1746812.3299999994</v>
      </c>
      <c r="AB43" s="129">
        <f t="shared" si="21"/>
        <v>1746812.3299999994</v>
      </c>
      <c r="AC43" s="129">
        <f t="shared" si="21"/>
        <v>1746812.3299999994</v>
      </c>
      <c r="AD43" s="129">
        <f t="shared" si="21"/>
        <v>1746812.3299999994</v>
      </c>
      <c r="AE43" s="129">
        <f t="shared" si="21"/>
        <v>1746812.3299999994</v>
      </c>
      <c r="AF43" s="129">
        <f t="shared" si="21"/>
        <v>1746812.3299999994</v>
      </c>
      <c r="AG43" s="129">
        <f t="shared" si="21"/>
        <v>1746812.3299999994</v>
      </c>
      <c r="AH43" s="129">
        <f t="shared" si="21"/>
        <v>1746812.3299999994</v>
      </c>
    </row>
    <row r="44" spans="1:34" x14ac:dyDescent="0.25">
      <c r="A44" s="75" t="s">
        <v>90</v>
      </c>
      <c r="B44" s="130">
        <v>87166.07</v>
      </c>
      <c r="C44" s="81"/>
      <c r="D44" s="129">
        <v>88342.36</v>
      </c>
      <c r="E44" s="129">
        <f t="shared" si="20"/>
        <v>88337.54</v>
      </c>
      <c r="F44" s="129">
        <f t="shared" si="20"/>
        <v>93993.37</v>
      </c>
      <c r="G44" s="129">
        <f t="shared" si="20"/>
        <v>95422.36</v>
      </c>
      <c r="H44" s="129">
        <f t="shared" si="20"/>
        <v>96040.650000000009</v>
      </c>
      <c r="I44" s="129">
        <f t="shared" si="20"/>
        <v>101404.6</v>
      </c>
      <c r="J44" s="129">
        <f t="shared" si="20"/>
        <v>110661.34000000001</v>
      </c>
      <c r="K44" s="129">
        <f t="shared" si="20"/>
        <v>108848.16</v>
      </c>
      <c r="L44" s="129">
        <f t="shared" si="20"/>
        <v>119731.21</v>
      </c>
      <c r="M44" s="129">
        <f t="shared" si="20"/>
        <v>121184.03000000001</v>
      </c>
      <c r="N44" s="129">
        <f t="shared" si="20"/>
        <v>123567.98000000001</v>
      </c>
      <c r="O44" s="129">
        <f t="shared" si="20"/>
        <v>123824.23000000001</v>
      </c>
      <c r="P44" s="129">
        <f t="shared" si="20"/>
        <v>127433.02000000002</v>
      </c>
      <c r="Q44" s="129">
        <f t="shared" si="20"/>
        <v>127433.02000000002</v>
      </c>
      <c r="R44" s="129">
        <f t="shared" si="20"/>
        <v>127433.02000000002</v>
      </c>
      <c r="S44" s="129">
        <f t="shared" si="20"/>
        <v>127433.02000000002</v>
      </c>
      <c r="T44" s="129">
        <f t="shared" si="20"/>
        <v>127433.02000000002</v>
      </c>
      <c r="U44" s="129">
        <f t="shared" si="20"/>
        <v>127433.02000000002</v>
      </c>
      <c r="V44" s="129">
        <f t="shared" si="20"/>
        <v>127433.02000000002</v>
      </c>
      <c r="W44" s="129">
        <f t="shared" si="20"/>
        <v>127433.02000000002</v>
      </c>
      <c r="X44" s="129">
        <f t="shared" si="22"/>
        <v>127433.02000000002</v>
      </c>
      <c r="Y44" s="129">
        <f t="shared" si="22"/>
        <v>127433.02000000002</v>
      </c>
      <c r="Z44" s="129">
        <f t="shared" si="22"/>
        <v>127433.02000000002</v>
      </c>
      <c r="AA44" s="129">
        <f t="shared" si="22"/>
        <v>127433.02000000002</v>
      </c>
      <c r="AB44" s="129">
        <f t="shared" si="22"/>
        <v>127433.02000000002</v>
      </c>
      <c r="AC44" s="129">
        <f t="shared" si="22"/>
        <v>127433.02000000002</v>
      </c>
      <c r="AD44" s="129">
        <f t="shared" si="22"/>
        <v>127433.02000000002</v>
      </c>
      <c r="AE44" s="129">
        <f t="shared" si="22"/>
        <v>127433.02000000002</v>
      </c>
      <c r="AF44" s="129">
        <f t="shared" si="22"/>
        <v>127433.02000000002</v>
      </c>
      <c r="AG44" s="129">
        <f t="shared" si="22"/>
        <v>127433.02000000002</v>
      </c>
      <c r="AH44" s="129">
        <f t="shared" si="22"/>
        <v>127433.02000000002</v>
      </c>
    </row>
    <row r="45" spans="1:34" x14ac:dyDescent="0.25">
      <c r="A45" s="75" t="s">
        <v>91</v>
      </c>
      <c r="B45" s="130">
        <v>3358913.4</v>
      </c>
      <c r="C45" s="81"/>
      <c r="D45" s="129">
        <v>4991637.7000000011</v>
      </c>
      <c r="E45" s="129">
        <f t="shared" si="20"/>
        <v>5115309.8900000015</v>
      </c>
      <c r="F45" s="129">
        <f t="shared" si="20"/>
        <v>5343647.3500000015</v>
      </c>
      <c r="G45" s="129">
        <f t="shared" si="20"/>
        <v>5614896.2700000014</v>
      </c>
      <c r="H45" s="129">
        <f t="shared" si="20"/>
        <v>5763138.830000001</v>
      </c>
      <c r="I45" s="129">
        <f t="shared" si="20"/>
        <v>5932280.830000001</v>
      </c>
      <c r="J45" s="129">
        <f t="shared" si="20"/>
        <v>6238572.2300000004</v>
      </c>
      <c r="K45" s="129">
        <f t="shared" si="20"/>
        <v>6529201.0900000008</v>
      </c>
      <c r="L45" s="129">
        <f t="shared" si="20"/>
        <v>6733996.540000001</v>
      </c>
      <c r="M45" s="129">
        <f t="shared" si="20"/>
        <v>6829372.120000001</v>
      </c>
      <c r="N45" s="129">
        <f t="shared" si="20"/>
        <v>6839089.620000001</v>
      </c>
      <c r="O45" s="129">
        <f t="shared" si="20"/>
        <v>6871673.6900000013</v>
      </c>
      <c r="P45" s="129">
        <f t="shared" si="20"/>
        <v>7058742.4600000009</v>
      </c>
      <c r="Q45" s="129">
        <f t="shared" si="20"/>
        <v>7058742.4600000009</v>
      </c>
      <c r="R45" s="129">
        <f t="shared" si="20"/>
        <v>7058742.4600000009</v>
      </c>
      <c r="S45" s="129">
        <f t="shared" si="20"/>
        <v>7058742.4600000009</v>
      </c>
      <c r="T45" s="129">
        <f t="shared" si="20"/>
        <v>7058742.4600000009</v>
      </c>
      <c r="U45" s="129">
        <f t="shared" si="20"/>
        <v>7058742.4600000009</v>
      </c>
      <c r="V45" s="129">
        <f t="shared" si="20"/>
        <v>7058742.4600000009</v>
      </c>
      <c r="W45" s="129">
        <f t="shared" si="20"/>
        <v>7058742.4600000009</v>
      </c>
      <c r="X45" s="129">
        <f t="shared" si="22"/>
        <v>7058742.4600000009</v>
      </c>
      <c r="Y45" s="129">
        <f t="shared" si="22"/>
        <v>7058742.4600000009</v>
      </c>
      <c r="Z45" s="129">
        <f t="shared" si="22"/>
        <v>7058742.4600000009</v>
      </c>
      <c r="AA45" s="129">
        <f t="shared" si="22"/>
        <v>7058742.4600000009</v>
      </c>
      <c r="AB45" s="129">
        <f t="shared" si="22"/>
        <v>7058742.4600000009</v>
      </c>
      <c r="AC45" s="129">
        <f t="shared" si="22"/>
        <v>7058742.4600000009</v>
      </c>
      <c r="AD45" s="129">
        <f t="shared" si="22"/>
        <v>7058742.4600000009</v>
      </c>
      <c r="AE45" s="129">
        <f t="shared" si="22"/>
        <v>7058742.4600000009</v>
      </c>
      <c r="AF45" s="129">
        <f t="shared" si="22"/>
        <v>7058742.4600000009</v>
      </c>
      <c r="AG45" s="129">
        <f t="shared" si="22"/>
        <v>7058742.4600000009</v>
      </c>
      <c r="AH45" s="129">
        <f t="shared" si="22"/>
        <v>7058742.4600000009</v>
      </c>
    </row>
    <row r="46" spans="1:34" x14ac:dyDescent="0.25">
      <c r="A46" s="75"/>
      <c r="B46" s="114">
        <f t="shared" ref="B46" si="23">SUM(B40:B45)</f>
        <v>42334748.68</v>
      </c>
      <c r="C46" s="115"/>
      <c r="D46" s="114">
        <f t="shared" ref="D46:W46" si="24">SUM(D40:D45)</f>
        <v>55838780.12999998</v>
      </c>
      <c r="E46" s="114">
        <f t="shared" si="24"/>
        <v>57820111.159999989</v>
      </c>
      <c r="F46" s="114">
        <f t="shared" si="24"/>
        <v>60297532.089999981</v>
      </c>
      <c r="G46" s="114">
        <f t="shared" si="24"/>
        <v>62866620.219999984</v>
      </c>
      <c r="H46" s="114">
        <f t="shared" si="24"/>
        <v>65132386.199999988</v>
      </c>
      <c r="I46" s="114">
        <f t="shared" si="24"/>
        <v>67135376.609999985</v>
      </c>
      <c r="J46" s="114">
        <f t="shared" si="24"/>
        <v>69980380.589999989</v>
      </c>
      <c r="K46" s="114">
        <f t="shared" si="24"/>
        <v>71973101.62999998</v>
      </c>
      <c r="L46" s="114">
        <f t="shared" si="24"/>
        <v>72664411.049999997</v>
      </c>
      <c r="M46" s="114">
        <f t="shared" si="24"/>
        <v>72794139.599999994</v>
      </c>
      <c r="N46" s="114">
        <f t="shared" si="24"/>
        <v>75021811.179999992</v>
      </c>
      <c r="O46" s="114">
        <f t="shared" si="24"/>
        <v>77480081.159999982</v>
      </c>
      <c r="P46" s="114">
        <f t="shared" si="24"/>
        <v>85854820.929999977</v>
      </c>
      <c r="Q46" s="114">
        <f t="shared" si="24"/>
        <v>85854820.929999977</v>
      </c>
      <c r="R46" s="114">
        <f t="shared" si="24"/>
        <v>85854820.929999977</v>
      </c>
      <c r="S46" s="114">
        <f t="shared" si="24"/>
        <v>85854820.929999977</v>
      </c>
      <c r="T46" s="114">
        <f t="shared" si="24"/>
        <v>85854820.929999977</v>
      </c>
      <c r="U46" s="114">
        <f t="shared" si="24"/>
        <v>85854820.929999977</v>
      </c>
      <c r="V46" s="114">
        <f t="shared" si="24"/>
        <v>85854820.929999977</v>
      </c>
      <c r="W46" s="114">
        <f t="shared" si="24"/>
        <v>85854820.929999977</v>
      </c>
      <c r="X46" s="114">
        <f t="shared" ref="X46:AH46" si="25">SUM(X40:X45)</f>
        <v>86036069.858937979</v>
      </c>
      <c r="Y46" s="114">
        <f t="shared" si="25"/>
        <v>86763338.748078972</v>
      </c>
      <c r="Z46" s="114">
        <f t="shared" si="25"/>
        <v>87450668.478222996</v>
      </c>
      <c r="AA46" s="114">
        <f t="shared" si="25"/>
        <v>88320307.435485989</v>
      </c>
      <c r="AB46" s="114">
        <f t="shared" si="25"/>
        <v>92015648.522224009</v>
      </c>
      <c r="AC46" s="114">
        <f t="shared" si="25"/>
        <v>94002969.414121896</v>
      </c>
      <c r="AD46" s="114">
        <f t="shared" si="25"/>
        <v>97537274.399401903</v>
      </c>
      <c r="AE46" s="114">
        <f t="shared" si="25"/>
        <v>99038526.653932899</v>
      </c>
      <c r="AF46" s="114">
        <f t="shared" si="25"/>
        <v>108883498.0088059</v>
      </c>
      <c r="AG46" s="114">
        <f t="shared" si="25"/>
        <v>110547732.8324599</v>
      </c>
      <c r="AH46" s="114">
        <f t="shared" si="25"/>
        <v>110547732.8324599</v>
      </c>
    </row>
    <row r="47" spans="1:34" x14ac:dyDescent="0.25">
      <c r="B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</row>
    <row r="49" spans="1:34" x14ac:dyDescent="0.25">
      <c r="A49" s="17" t="s">
        <v>166</v>
      </c>
      <c r="B49" s="74" t="s">
        <v>84</v>
      </c>
      <c r="D49" s="74" t="s">
        <v>84</v>
      </c>
      <c r="E49" s="74" t="str">
        <f t="shared" ref="E49:AH49" si="26">E$5</f>
        <v>Actual</v>
      </c>
      <c r="F49" s="74" t="str">
        <f t="shared" si="26"/>
        <v>Actual</v>
      </c>
      <c r="G49" s="74" t="str">
        <f t="shared" si="26"/>
        <v>Actual</v>
      </c>
      <c r="H49" s="74" t="str">
        <f t="shared" si="26"/>
        <v>Actual</v>
      </c>
      <c r="I49" s="74" t="str">
        <f t="shared" si="26"/>
        <v>Actual</v>
      </c>
      <c r="J49" s="74" t="str">
        <f t="shared" si="26"/>
        <v>Actual</v>
      </c>
      <c r="K49" s="74" t="str">
        <f t="shared" si="26"/>
        <v>Actual</v>
      </c>
      <c r="L49" s="74" t="str">
        <f t="shared" si="26"/>
        <v>Actual</v>
      </c>
      <c r="M49" s="74" t="str">
        <f t="shared" si="26"/>
        <v>Actual</v>
      </c>
      <c r="N49" s="74" t="str">
        <f t="shared" si="26"/>
        <v>Actual</v>
      </c>
      <c r="O49" s="74" t="str">
        <f t="shared" si="26"/>
        <v>Actual</v>
      </c>
      <c r="P49" s="74" t="str">
        <f t="shared" si="26"/>
        <v>Actual</v>
      </c>
      <c r="Q49" s="74" t="str">
        <f t="shared" si="26"/>
        <v>Forecasted</v>
      </c>
      <c r="R49" s="74" t="str">
        <f t="shared" si="26"/>
        <v>Forecasted</v>
      </c>
      <c r="S49" s="74" t="str">
        <f t="shared" si="26"/>
        <v>Forecasted</v>
      </c>
      <c r="T49" s="74" t="str">
        <f t="shared" si="26"/>
        <v>Forecasted</v>
      </c>
      <c r="U49" s="74" t="str">
        <f t="shared" si="26"/>
        <v>Forecasted</v>
      </c>
      <c r="V49" s="74" t="str">
        <f t="shared" si="26"/>
        <v>Forecasted</v>
      </c>
      <c r="W49" s="74" t="str">
        <f t="shared" si="26"/>
        <v>Forecasted</v>
      </c>
      <c r="X49" s="74" t="str">
        <f t="shared" si="26"/>
        <v>Forecasted</v>
      </c>
      <c r="Y49" s="74" t="str">
        <f t="shared" si="26"/>
        <v>Forecasted</v>
      </c>
      <c r="Z49" s="74" t="str">
        <f t="shared" si="26"/>
        <v>Forecasted</v>
      </c>
      <c r="AA49" s="74" t="str">
        <f t="shared" si="26"/>
        <v>Forecasted</v>
      </c>
      <c r="AB49" s="74" t="str">
        <f t="shared" si="26"/>
        <v>Forecasted</v>
      </c>
      <c r="AC49" s="74" t="str">
        <f t="shared" si="26"/>
        <v>Forecasted</v>
      </c>
      <c r="AD49" s="74" t="str">
        <f t="shared" si="26"/>
        <v>Forecasted</v>
      </c>
      <c r="AE49" s="74" t="str">
        <f t="shared" si="26"/>
        <v>Forecasted</v>
      </c>
      <c r="AF49" s="74" t="str">
        <f t="shared" si="26"/>
        <v>Forecasted</v>
      </c>
      <c r="AG49" s="74" t="str">
        <f t="shared" si="26"/>
        <v>Forecasted</v>
      </c>
      <c r="AH49" s="74" t="str">
        <f t="shared" si="26"/>
        <v>Forecasted</v>
      </c>
    </row>
    <row r="50" spans="1:34" x14ac:dyDescent="0.25">
      <c r="B50" s="99">
        <v>44926</v>
      </c>
      <c r="D50" s="99">
        <v>45107</v>
      </c>
      <c r="E50" s="99">
        <f t="shared" ref="E50:AH50" si="27">E$6</f>
        <v>45138</v>
      </c>
      <c r="F50" s="99">
        <f t="shared" si="27"/>
        <v>45169</v>
      </c>
      <c r="G50" s="99">
        <f t="shared" si="27"/>
        <v>45199</v>
      </c>
      <c r="H50" s="99">
        <f t="shared" si="27"/>
        <v>45230</v>
      </c>
      <c r="I50" s="99">
        <f t="shared" si="27"/>
        <v>45260</v>
      </c>
      <c r="J50" s="99">
        <f t="shared" si="27"/>
        <v>45291</v>
      </c>
      <c r="K50" s="99">
        <f t="shared" si="27"/>
        <v>45322</v>
      </c>
      <c r="L50" s="99">
        <f t="shared" si="27"/>
        <v>45351</v>
      </c>
      <c r="M50" s="99">
        <f t="shared" si="27"/>
        <v>45382</v>
      </c>
      <c r="N50" s="99">
        <f t="shared" si="27"/>
        <v>45412</v>
      </c>
      <c r="O50" s="99">
        <f t="shared" si="27"/>
        <v>45443</v>
      </c>
      <c r="P50" s="99">
        <f t="shared" si="27"/>
        <v>45473</v>
      </c>
      <c r="Q50" s="99">
        <f t="shared" si="27"/>
        <v>45504</v>
      </c>
      <c r="R50" s="99">
        <f t="shared" si="27"/>
        <v>45535</v>
      </c>
      <c r="S50" s="99">
        <f t="shared" si="27"/>
        <v>45565</v>
      </c>
      <c r="T50" s="99">
        <f t="shared" si="27"/>
        <v>45596</v>
      </c>
      <c r="U50" s="99">
        <f t="shared" si="27"/>
        <v>45626</v>
      </c>
      <c r="V50" s="99">
        <f t="shared" si="27"/>
        <v>45657</v>
      </c>
      <c r="W50" s="99">
        <f t="shared" si="27"/>
        <v>45688</v>
      </c>
      <c r="X50" s="99">
        <f t="shared" si="27"/>
        <v>45716</v>
      </c>
      <c r="Y50" s="99">
        <f t="shared" si="27"/>
        <v>45747</v>
      </c>
      <c r="Z50" s="99">
        <f t="shared" si="27"/>
        <v>45777</v>
      </c>
      <c r="AA50" s="99">
        <f t="shared" si="27"/>
        <v>45808</v>
      </c>
      <c r="AB50" s="99">
        <f t="shared" si="27"/>
        <v>45838</v>
      </c>
      <c r="AC50" s="99">
        <f t="shared" si="27"/>
        <v>45869</v>
      </c>
      <c r="AD50" s="99">
        <f t="shared" si="27"/>
        <v>45900</v>
      </c>
      <c r="AE50" s="99">
        <f t="shared" si="27"/>
        <v>45930</v>
      </c>
      <c r="AF50" s="99">
        <f t="shared" si="27"/>
        <v>45961</v>
      </c>
      <c r="AG50" s="99">
        <f t="shared" si="27"/>
        <v>45991</v>
      </c>
      <c r="AH50" s="99">
        <f t="shared" si="27"/>
        <v>46022</v>
      </c>
    </row>
    <row r="51" spans="1:34" x14ac:dyDescent="0.25">
      <c r="A51" t="s">
        <v>86</v>
      </c>
      <c r="B51" s="115">
        <v>806878.70383050002</v>
      </c>
      <c r="C51" s="115"/>
      <c r="D51" s="115">
        <v>1231222.52412</v>
      </c>
      <c r="E51" s="115">
        <f>D51-E73+E18+E29</f>
        <v>1230227.654475</v>
      </c>
      <c r="F51" s="115">
        <f>E51-F73+F18+F29</f>
        <v>1391230.2299277498</v>
      </c>
      <c r="G51" s="115">
        <f>F51-G73+G18+G29</f>
        <v>1518070.6397947499</v>
      </c>
      <c r="H51" s="115">
        <f t="shared" ref="H51:AH55" si="28">G51-H73+H18+H29</f>
        <v>1602115.23079225</v>
      </c>
      <c r="I51" s="115">
        <f t="shared" si="28"/>
        <v>2007801.69256525</v>
      </c>
      <c r="J51" s="115">
        <f t="shared" si="28"/>
        <v>2180932.3013320002</v>
      </c>
      <c r="K51" s="115">
        <f t="shared" si="28"/>
        <v>2237229.7699737498</v>
      </c>
      <c r="L51" s="115">
        <f t="shared" si="28"/>
        <v>2469017.6580808265</v>
      </c>
      <c r="M51" s="115">
        <f t="shared" si="28"/>
        <v>2440945.1206667884</v>
      </c>
      <c r="N51" s="115">
        <f t="shared" si="28"/>
        <v>2557176.4851707495</v>
      </c>
      <c r="O51" s="115">
        <f t="shared" si="28"/>
        <v>2576232.1376598552</v>
      </c>
      <c r="P51" s="115">
        <f t="shared" si="28"/>
        <v>2620073.4066987638</v>
      </c>
      <c r="Q51" s="115">
        <f t="shared" si="28"/>
        <v>2539945.8389768424</v>
      </c>
      <c r="R51" s="115">
        <f t="shared" si="28"/>
        <v>2459818.2712549209</v>
      </c>
      <c r="S51" s="115">
        <f t="shared" si="28"/>
        <v>2379690.7035329994</v>
      </c>
      <c r="T51" s="115">
        <f t="shared" si="28"/>
        <v>2299563.1358110779</v>
      </c>
      <c r="U51" s="115">
        <f t="shared" si="28"/>
        <v>2219435.5680891564</v>
      </c>
      <c r="V51" s="115">
        <f t="shared" si="28"/>
        <v>2139308.0003672349</v>
      </c>
      <c r="W51" s="115">
        <f t="shared" si="28"/>
        <v>2059180.4326453132</v>
      </c>
      <c r="X51" s="115">
        <f t="shared" si="28"/>
        <v>2003848.2359853915</v>
      </c>
      <c r="Y51" s="115">
        <f t="shared" si="28"/>
        <v>2023007.3339304421</v>
      </c>
      <c r="Z51" s="115">
        <f t="shared" si="28"/>
        <v>2035876.8790786241</v>
      </c>
      <c r="AA51" s="115">
        <f t="shared" si="28"/>
        <v>2072906.4333716796</v>
      </c>
      <c r="AB51" s="115">
        <f t="shared" si="28"/>
        <v>2495512.695368852</v>
      </c>
      <c r="AC51" s="115">
        <f>AB51-AC73+AC18+AC29</f>
        <v>2680261.1217715838</v>
      </c>
      <c r="AD51" s="115">
        <f t="shared" si="28"/>
        <v>3074384.9290949563</v>
      </c>
      <c r="AE51" s="115">
        <f t="shared" si="28"/>
        <v>3186368.3667052644</v>
      </c>
      <c r="AF51" s="115">
        <f t="shared" si="28"/>
        <v>4438091.8394400682</v>
      </c>
      <c r="AG51" s="115">
        <f t="shared" si="28"/>
        <v>4559488.9327423181</v>
      </c>
      <c r="AH51" s="115">
        <f t="shared" si="28"/>
        <v>4451324.3301178068</v>
      </c>
    </row>
    <row r="52" spans="1:34" x14ac:dyDescent="0.25">
      <c r="A52" t="s">
        <v>87</v>
      </c>
      <c r="B52" s="81">
        <v>21786.234174000005</v>
      </c>
      <c r="C52" s="81"/>
      <c r="D52" s="81">
        <v>109726.51068000001</v>
      </c>
      <c r="E52" s="81">
        <f>D52-E74+E19+E30</f>
        <v>101385.31627800001</v>
      </c>
      <c r="F52" s="81">
        <f t="shared" ref="E52:W56" si="29">E52-F74+F19+F30</f>
        <v>92543.838444000008</v>
      </c>
      <c r="G52" s="81">
        <f t="shared" si="29"/>
        <v>82695.513644999999</v>
      </c>
      <c r="H52" s="81">
        <f t="shared" si="29"/>
        <v>71820.510884999996</v>
      </c>
      <c r="I52" s="81">
        <f t="shared" si="29"/>
        <v>124818.17374499998</v>
      </c>
      <c r="J52" s="81">
        <f t="shared" si="29"/>
        <v>115427.05667399998</v>
      </c>
      <c r="K52" s="81">
        <f t="shared" si="29"/>
        <v>155500.05002399997</v>
      </c>
      <c r="L52" s="81">
        <f t="shared" si="29"/>
        <v>182976.03002820484</v>
      </c>
      <c r="M52" s="81">
        <f t="shared" si="29"/>
        <v>177111.3046662694</v>
      </c>
      <c r="N52" s="81">
        <f t="shared" si="29"/>
        <v>172005.41039751071</v>
      </c>
      <c r="O52" s="81">
        <f t="shared" si="29"/>
        <v>171019.0154601855</v>
      </c>
      <c r="P52" s="81">
        <f t="shared" si="29"/>
        <v>265421.07467951445</v>
      </c>
      <c r="Q52" s="81">
        <f t="shared" si="29"/>
        <v>258931.37280820889</v>
      </c>
      <c r="R52" s="81">
        <f t="shared" si="29"/>
        <v>252441.67093690333</v>
      </c>
      <c r="S52" s="81">
        <f t="shared" si="29"/>
        <v>245951.96906559778</v>
      </c>
      <c r="T52" s="81">
        <f t="shared" si="29"/>
        <v>239462.26719429222</v>
      </c>
      <c r="U52" s="81">
        <f t="shared" si="29"/>
        <v>232972.56532298666</v>
      </c>
      <c r="V52" s="81">
        <f t="shared" si="29"/>
        <v>226482.8634516811</v>
      </c>
      <c r="W52" s="81">
        <f t="shared" si="29"/>
        <v>219993.16158037554</v>
      </c>
      <c r="X52" s="81">
        <f t="shared" si="28"/>
        <v>213503.45970906998</v>
      </c>
      <c r="Y52" s="81">
        <f t="shared" si="28"/>
        <v>207013.75783776442</v>
      </c>
      <c r="Z52" s="81">
        <f t="shared" si="28"/>
        <v>200524.05596645887</v>
      </c>
      <c r="AA52" s="81">
        <f t="shared" si="28"/>
        <v>194034.35409515331</v>
      </c>
      <c r="AB52" s="81">
        <f t="shared" si="28"/>
        <v>187544.65222384775</v>
      </c>
      <c r="AC52" s="81">
        <f t="shared" si="28"/>
        <v>181054.95035254219</v>
      </c>
      <c r="AD52" s="81">
        <f t="shared" si="28"/>
        <v>174565.24848123663</v>
      </c>
      <c r="AE52" s="81">
        <f t="shared" si="28"/>
        <v>168075.54660993107</v>
      </c>
      <c r="AF52" s="81">
        <f t="shared" si="28"/>
        <v>161585.84473862551</v>
      </c>
      <c r="AG52" s="81">
        <f t="shared" si="28"/>
        <v>155096.14286731996</v>
      </c>
      <c r="AH52" s="81">
        <f t="shared" si="28"/>
        <v>148606.4409960144</v>
      </c>
    </row>
    <row r="53" spans="1:34" x14ac:dyDescent="0.25">
      <c r="A53" t="s">
        <v>88</v>
      </c>
      <c r="B53" s="81">
        <v>2362.0653000000002</v>
      </c>
      <c r="C53" s="81"/>
      <c r="D53" s="81">
        <v>6817.8775000000014</v>
      </c>
      <c r="E53" s="81">
        <f t="shared" si="29"/>
        <v>6265.6699875000013</v>
      </c>
      <c r="F53" s="81">
        <f t="shared" si="29"/>
        <v>5709.3113291666677</v>
      </c>
      <c r="G53" s="81">
        <f t="shared" si="29"/>
        <v>5027.8075458333342</v>
      </c>
      <c r="H53" s="81">
        <f t="shared" si="29"/>
        <v>4146.4263458333344</v>
      </c>
      <c r="I53" s="81">
        <f t="shared" si="29"/>
        <v>3208.5373250000011</v>
      </c>
      <c r="J53" s="81">
        <f t="shared" si="29"/>
        <v>4474.5581583333342</v>
      </c>
      <c r="K53" s="81">
        <f t="shared" si="29"/>
        <v>9443.9893208333342</v>
      </c>
      <c r="L53" s="81">
        <f t="shared" si="29"/>
        <v>8932.4789591423068</v>
      </c>
      <c r="M53" s="81">
        <f t="shared" si="29"/>
        <v>8331.3785800305795</v>
      </c>
      <c r="N53" s="81">
        <f t="shared" si="29"/>
        <v>7700.5710551021612</v>
      </c>
      <c r="O53" s="81">
        <f t="shared" si="29"/>
        <v>7063.7902567838519</v>
      </c>
      <c r="P53" s="81">
        <f t="shared" si="29"/>
        <v>6398.0035873278075</v>
      </c>
      <c r="Q53" s="81">
        <f t="shared" si="29"/>
        <v>5676.0347595975272</v>
      </c>
      <c r="R53" s="81">
        <f t="shared" si="29"/>
        <v>4954.0659318672469</v>
      </c>
      <c r="S53" s="81">
        <f t="shared" si="29"/>
        <v>4232.0971041369667</v>
      </c>
      <c r="T53" s="81">
        <f t="shared" si="29"/>
        <v>3510.1282764066868</v>
      </c>
      <c r="U53" s="81">
        <f t="shared" si="29"/>
        <v>2788.159448676407</v>
      </c>
      <c r="V53" s="81">
        <f t="shared" si="29"/>
        <v>2066.1906209461272</v>
      </c>
      <c r="W53" s="81">
        <f t="shared" si="29"/>
        <v>1344.2217932158474</v>
      </c>
      <c r="X53" s="81">
        <f t="shared" si="28"/>
        <v>622.25296548556742</v>
      </c>
      <c r="Y53" s="81">
        <f t="shared" si="28"/>
        <v>-99.715862244712525</v>
      </c>
      <c r="Z53" s="81">
        <f t="shared" si="28"/>
        <v>-821.68468997499247</v>
      </c>
      <c r="AA53" s="81">
        <f t="shared" si="28"/>
        <v>-1543.6535177052724</v>
      </c>
      <c r="AB53" s="81">
        <f t="shared" si="28"/>
        <v>-2265.6223454355522</v>
      </c>
      <c r="AC53" s="81">
        <f t="shared" si="28"/>
        <v>-2987.5911731658321</v>
      </c>
      <c r="AD53" s="81">
        <f t="shared" si="28"/>
        <v>-3709.5600008961119</v>
      </c>
      <c r="AE53" s="81">
        <f t="shared" si="28"/>
        <v>-4431.5288286263922</v>
      </c>
      <c r="AF53" s="81">
        <f t="shared" si="28"/>
        <v>-5153.4976563566725</v>
      </c>
      <c r="AG53" s="81">
        <f t="shared" si="28"/>
        <v>-5875.4664840869527</v>
      </c>
      <c r="AH53" s="81">
        <f t="shared" si="28"/>
        <v>-6597.435311817233</v>
      </c>
    </row>
    <row r="54" spans="1:34" x14ac:dyDescent="0.25">
      <c r="A54" t="s">
        <v>89</v>
      </c>
      <c r="B54" s="81">
        <v>3555.4162864999998</v>
      </c>
      <c r="C54" s="81"/>
      <c r="D54" s="81">
        <v>24834.993915000006</v>
      </c>
      <c r="E54" s="81">
        <f t="shared" si="29"/>
        <v>22741.803714333339</v>
      </c>
      <c r="F54" s="81">
        <f t="shared" si="29"/>
        <v>20644.558699166671</v>
      </c>
      <c r="G54" s="81">
        <f t="shared" si="29"/>
        <v>18650.099696166671</v>
      </c>
      <c r="H54" s="81">
        <f t="shared" si="29"/>
        <v>15641.537807416673</v>
      </c>
      <c r="I54" s="81">
        <f t="shared" si="29"/>
        <v>14281.196802333341</v>
      </c>
      <c r="J54" s="81">
        <f t="shared" si="29"/>
        <v>11100.063934166676</v>
      </c>
      <c r="K54" s="81">
        <f t="shared" si="29"/>
        <v>16568.291619666674</v>
      </c>
      <c r="L54" s="81">
        <f t="shared" si="29"/>
        <v>14846.646046202703</v>
      </c>
      <c r="M54" s="81">
        <f t="shared" si="29"/>
        <v>13020.806495002049</v>
      </c>
      <c r="N54" s="81">
        <f t="shared" si="29"/>
        <v>11153.805311836075</v>
      </c>
      <c r="O54" s="81">
        <f t="shared" si="29"/>
        <v>10788.258707601613</v>
      </c>
      <c r="P54" s="81">
        <f t="shared" si="29"/>
        <v>21918.385407472593</v>
      </c>
      <c r="Q54" s="81">
        <f t="shared" si="29"/>
        <v>19935.004975956712</v>
      </c>
      <c r="R54" s="81">
        <f t="shared" si="29"/>
        <v>17951.624544440831</v>
      </c>
      <c r="S54" s="81">
        <f t="shared" si="29"/>
        <v>15968.244112924947</v>
      </c>
      <c r="T54" s="81">
        <f t="shared" si="29"/>
        <v>13984.863681409064</v>
      </c>
      <c r="U54" s="81">
        <f t="shared" si="29"/>
        <v>12001.483249893181</v>
      </c>
      <c r="V54" s="81">
        <f t="shared" si="29"/>
        <v>10018.102818377298</v>
      </c>
      <c r="W54" s="81">
        <f t="shared" si="29"/>
        <v>8034.7223868614146</v>
      </c>
      <c r="X54" s="81">
        <f>W54-X76+X21+X32</f>
        <v>6051.3419553455315</v>
      </c>
      <c r="Y54" s="81">
        <f t="shared" si="28"/>
        <v>4067.9615238296483</v>
      </c>
      <c r="Z54" s="81">
        <f t="shared" si="28"/>
        <v>2084.5810923137651</v>
      </c>
      <c r="AA54" s="81">
        <f t="shared" si="28"/>
        <v>101.20066079788216</v>
      </c>
      <c r="AB54" s="81">
        <f t="shared" si="28"/>
        <v>-1882.1797707180008</v>
      </c>
      <c r="AC54" s="81">
        <f t="shared" si="28"/>
        <v>-3865.5602022338835</v>
      </c>
      <c r="AD54" s="81">
        <f t="shared" si="28"/>
        <v>-5848.9406337497667</v>
      </c>
      <c r="AE54" s="81">
        <f t="shared" si="28"/>
        <v>-7832.3210652656498</v>
      </c>
      <c r="AF54" s="81">
        <f t="shared" si="28"/>
        <v>-9815.7014967815321</v>
      </c>
      <c r="AG54" s="81">
        <f t="shared" si="28"/>
        <v>-11799.081928297415</v>
      </c>
      <c r="AH54" s="81">
        <f t="shared" si="28"/>
        <v>-13782.462359813298</v>
      </c>
    </row>
    <row r="55" spans="1:34" x14ac:dyDescent="0.25">
      <c r="A55" t="s">
        <v>90</v>
      </c>
      <c r="B55" s="81">
        <v>4159.8767585000014</v>
      </c>
      <c r="C55" s="81"/>
      <c r="D55" s="81">
        <v>5641.4104160000015</v>
      </c>
      <c r="E55" s="81">
        <f t="shared" si="29"/>
        <v>5397.7327396666678</v>
      </c>
      <c r="F55" s="81">
        <f t="shared" si="29"/>
        <v>5154.0683585000015</v>
      </c>
      <c r="G55" s="81">
        <f t="shared" si="29"/>
        <v>4894.8033129166679</v>
      </c>
      <c r="H55" s="81">
        <f t="shared" si="29"/>
        <v>5024.8866365833346</v>
      </c>
      <c r="I55" s="81">
        <f t="shared" si="29"/>
        <v>4759.9745103333344</v>
      </c>
      <c r="J55" s="81">
        <f t="shared" si="29"/>
        <v>4480.2668220000014</v>
      </c>
      <c r="K55" s="81">
        <f t="shared" si="29"/>
        <v>4175.0259591666681</v>
      </c>
      <c r="L55" s="81">
        <f t="shared" si="29"/>
        <v>16742.916660623927</v>
      </c>
      <c r="M55" s="81">
        <f t="shared" si="29"/>
        <v>16606.970437393571</v>
      </c>
      <c r="N55" s="81">
        <f t="shared" si="29"/>
        <v>16469.374640989823</v>
      </c>
      <c r="O55" s="81">
        <f t="shared" si="29"/>
        <v>16329.072039911924</v>
      </c>
      <c r="P55" s="81">
        <f t="shared" si="29"/>
        <v>17943.178485291479</v>
      </c>
      <c r="Q55" s="81">
        <f t="shared" si="29"/>
        <v>17798.48740780351</v>
      </c>
      <c r="R55" s="81">
        <f t="shared" si="29"/>
        <v>17653.796330315541</v>
      </c>
      <c r="S55" s="81">
        <f t="shared" si="29"/>
        <v>17509.105252827572</v>
      </c>
      <c r="T55" s="81">
        <f t="shared" si="29"/>
        <v>17364.414175339603</v>
      </c>
      <c r="U55" s="81">
        <f t="shared" si="29"/>
        <v>17219.723097851635</v>
      </c>
      <c r="V55" s="81">
        <f t="shared" si="29"/>
        <v>17075.032020363666</v>
      </c>
      <c r="W55" s="81">
        <f t="shared" si="29"/>
        <v>16930.340942875697</v>
      </c>
      <c r="X55" s="81">
        <f t="shared" si="28"/>
        <v>16785.649865387728</v>
      </c>
      <c r="Y55" s="81">
        <f t="shared" si="28"/>
        <v>16640.958787899759</v>
      </c>
      <c r="Z55" s="81">
        <f t="shared" si="28"/>
        <v>16496.26771041179</v>
      </c>
      <c r="AA55" s="81">
        <f t="shared" si="28"/>
        <v>16351.576632923819</v>
      </c>
      <c r="AB55" s="81">
        <f t="shared" si="28"/>
        <v>16206.885555435849</v>
      </c>
      <c r="AC55" s="81">
        <f t="shared" si="28"/>
        <v>16062.194477947878</v>
      </c>
      <c r="AD55" s="81">
        <f t="shared" si="28"/>
        <v>15917.503400459907</v>
      </c>
      <c r="AE55" s="81">
        <f t="shared" si="28"/>
        <v>15772.812322971937</v>
      </c>
      <c r="AF55" s="81">
        <f t="shared" si="28"/>
        <v>15628.121245483966</v>
      </c>
      <c r="AG55" s="81">
        <f t="shared" si="28"/>
        <v>15483.430167995995</v>
      </c>
      <c r="AH55" s="81">
        <f t="shared" si="28"/>
        <v>15338.739090508025</v>
      </c>
    </row>
    <row r="56" spans="1:34" x14ac:dyDescent="0.25">
      <c r="A56" t="s">
        <v>91</v>
      </c>
      <c r="B56" s="81">
        <v>93527.246535000013</v>
      </c>
      <c r="C56" s="81"/>
      <c r="D56" s="81">
        <v>164776.60393500002</v>
      </c>
      <c r="E56" s="81">
        <f t="shared" si="29"/>
        <v>155833.25305583334</v>
      </c>
      <c r="F56" s="81">
        <f t="shared" si="29"/>
        <v>146668.32283625001</v>
      </c>
      <c r="G56" s="81">
        <f t="shared" si="29"/>
        <v>137094.28800083333</v>
      </c>
      <c r="H56" s="81">
        <f t="shared" si="29"/>
        <v>127034.26551708333</v>
      </c>
      <c r="I56" s="81">
        <f t="shared" si="29"/>
        <v>134156.70178</v>
      </c>
      <c r="J56" s="81">
        <f t="shared" si="29"/>
        <v>123528.03195958333</v>
      </c>
      <c r="K56" s="81">
        <f t="shared" si="29"/>
        <v>136759.1100475</v>
      </c>
      <c r="L56" s="81">
        <f t="shared" si="29"/>
        <v>133549.80931724241</v>
      </c>
      <c r="M56" s="81">
        <f t="shared" si="29"/>
        <v>125903.8380048395</v>
      </c>
      <c r="N56" s="81">
        <f t="shared" si="29"/>
        <v>118933.07454463818</v>
      </c>
      <c r="O56" s="81">
        <f t="shared" si="29"/>
        <v>120917.99755838928</v>
      </c>
      <c r="P56" s="81">
        <f t="shared" si="29"/>
        <v>130909.99369176163</v>
      </c>
      <c r="Q56" s="81">
        <f t="shared" si="29"/>
        <v>122895.29661993921</v>
      </c>
      <c r="R56" s="81">
        <f t="shared" si="29"/>
        <v>114880.59954811679</v>
      </c>
      <c r="S56" s="81">
        <f t="shared" si="29"/>
        <v>106865.90247629437</v>
      </c>
      <c r="T56" s="81">
        <f t="shared" si="29"/>
        <v>98851.205404471955</v>
      </c>
      <c r="U56" s="81">
        <f t="shared" si="29"/>
        <v>90836.508332649537</v>
      </c>
      <c r="V56" s="81">
        <f t="shared" si="29"/>
        <v>82821.811260827119</v>
      </c>
      <c r="W56" s="81">
        <f t="shared" si="29"/>
        <v>74807.1141890047</v>
      </c>
      <c r="X56" s="81">
        <f t="shared" ref="X56:AH56" si="30">W56-X78+X23+X34</f>
        <v>66792.417117182282</v>
      </c>
      <c r="Y56" s="81">
        <f t="shared" si="30"/>
        <v>58777.720045359863</v>
      </c>
      <c r="Z56" s="81">
        <f t="shared" si="30"/>
        <v>50763.022973537445</v>
      </c>
      <c r="AA56" s="81">
        <f t="shared" si="30"/>
        <v>42748.325901715027</v>
      </c>
      <c r="AB56" s="81">
        <f t="shared" si="30"/>
        <v>34733.628829892608</v>
      </c>
      <c r="AC56" s="81">
        <f t="shared" si="30"/>
        <v>26718.931758070194</v>
      </c>
      <c r="AD56" s="81">
        <f t="shared" si="30"/>
        <v>18704.234686247779</v>
      </c>
      <c r="AE56" s="81">
        <f t="shared" si="30"/>
        <v>10689.537614425364</v>
      </c>
      <c r="AF56" s="81">
        <f t="shared" si="30"/>
        <v>2674.8405426029485</v>
      </c>
      <c r="AG56" s="81">
        <f t="shared" si="30"/>
        <v>-5339.8565292194671</v>
      </c>
      <c r="AH56" s="81">
        <f t="shared" si="30"/>
        <v>-13354.553601041884</v>
      </c>
    </row>
    <row r="57" spans="1:34" x14ac:dyDescent="0.25">
      <c r="B57" s="119">
        <f t="shared" ref="B57" si="31">SUM(B51:B56)</f>
        <v>932269.54288450012</v>
      </c>
      <c r="C57" s="115"/>
      <c r="D57" s="119">
        <f t="shared" ref="D57:W57" si="32">SUM(D51:D56)</f>
        <v>1543019.920566</v>
      </c>
      <c r="E57" s="119">
        <f t="shared" si="32"/>
        <v>1521851.4302503334</v>
      </c>
      <c r="F57" s="119">
        <f t="shared" si="32"/>
        <v>1661950.3295948333</v>
      </c>
      <c r="G57" s="119">
        <f t="shared" si="32"/>
        <v>1766433.1519954999</v>
      </c>
      <c r="H57" s="119">
        <f t="shared" si="32"/>
        <v>1825782.8579841666</v>
      </c>
      <c r="I57" s="119">
        <f t="shared" si="32"/>
        <v>2289026.2767279167</v>
      </c>
      <c r="J57" s="119">
        <f t="shared" si="32"/>
        <v>2439942.2788800835</v>
      </c>
      <c r="K57" s="119">
        <f t="shared" si="32"/>
        <v>2559676.2369449167</v>
      </c>
      <c r="L57" s="119">
        <f t="shared" si="32"/>
        <v>2826065.5390922427</v>
      </c>
      <c r="M57" s="119">
        <f t="shared" si="32"/>
        <v>2781919.4188503237</v>
      </c>
      <c r="N57" s="119">
        <f t="shared" si="32"/>
        <v>2883438.7211208269</v>
      </c>
      <c r="O57" s="119">
        <f t="shared" si="32"/>
        <v>2902350.2716827276</v>
      </c>
      <c r="P57" s="119">
        <f t="shared" si="32"/>
        <v>3062664.0425501317</v>
      </c>
      <c r="Q57" s="119">
        <f t="shared" si="32"/>
        <v>2965182.035548348</v>
      </c>
      <c r="R57" s="119">
        <f t="shared" si="32"/>
        <v>2867700.0285465647</v>
      </c>
      <c r="S57" s="119">
        <f t="shared" si="32"/>
        <v>2770218.021544781</v>
      </c>
      <c r="T57" s="119">
        <f t="shared" si="32"/>
        <v>2672736.0145429973</v>
      </c>
      <c r="U57" s="119">
        <f t="shared" si="32"/>
        <v>2575254.0075412141</v>
      </c>
      <c r="V57" s="119">
        <f t="shared" si="32"/>
        <v>2477772.0005394304</v>
      </c>
      <c r="W57" s="119">
        <f t="shared" si="32"/>
        <v>2380289.9935376458</v>
      </c>
      <c r="X57" s="119">
        <f t="shared" ref="X57:AH57" si="33">SUM(X51:X56)</f>
        <v>2307603.3575978628</v>
      </c>
      <c r="Y57" s="119">
        <f t="shared" si="33"/>
        <v>2309408.016263051</v>
      </c>
      <c r="Z57" s="119">
        <f t="shared" si="33"/>
        <v>2304923.1221313714</v>
      </c>
      <c r="AA57" s="119">
        <f t="shared" si="33"/>
        <v>2324598.2371445643</v>
      </c>
      <c r="AB57" s="119">
        <f t="shared" si="33"/>
        <v>2729850.0598618751</v>
      </c>
      <c r="AC57" s="119">
        <f t="shared" si="33"/>
        <v>2897244.0469847443</v>
      </c>
      <c r="AD57" s="119">
        <f t="shared" si="33"/>
        <v>3274013.415028255</v>
      </c>
      <c r="AE57" s="119">
        <f t="shared" si="33"/>
        <v>3368642.4133587005</v>
      </c>
      <c r="AF57" s="119">
        <f t="shared" si="33"/>
        <v>4603011.446813643</v>
      </c>
      <c r="AG57" s="119">
        <f t="shared" si="33"/>
        <v>4707054.1008360311</v>
      </c>
      <c r="AH57" s="119">
        <f t="shared" si="33"/>
        <v>4581535.0589316571</v>
      </c>
    </row>
    <row r="58" spans="1:34" x14ac:dyDescent="0.25">
      <c r="C58" s="78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</row>
    <row r="59" spans="1:34" x14ac:dyDescent="0.25">
      <c r="C59" s="7"/>
      <c r="E59" s="74"/>
      <c r="F59" s="74"/>
      <c r="G59" s="74"/>
      <c r="H59" s="74"/>
      <c r="I59" s="74"/>
      <c r="J59" s="74"/>
      <c r="K59" s="74"/>
    </row>
    <row r="60" spans="1:34" x14ac:dyDescent="0.25">
      <c r="A60" s="17" t="s">
        <v>99</v>
      </c>
      <c r="B60" s="74" t="s">
        <v>84</v>
      </c>
      <c r="D60" s="74" t="s">
        <v>84</v>
      </c>
      <c r="E60" s="74" t="str">
        <f t="shared" ref="E60:AH60" si="34">E$5</f>
        <v>Actual</v>
      </c>
      <c r="F60" s="74" t="str">
        <f t="shared" si="34"/>
        <v>Actual</v>
      </c>
      <c r="G60" s="74" t="str">
        <f t="shared" si="34"/>
        <v>Actual</v>
      </c>
      <c r="H60" s="74" t="str">
        <f t="shared" si="34"/>
        <v>Actual</v>
      </c>
      <c r="I60" s="74" t="str">
        <f t="shared" si="34"/>
        <v>Actual</v>
      </c>
      <c r="J60" s="74" t="str">
        <f t="shared" si="34"/>
        <v>Actual</v>
      </c>
      <c r="K60" s="74" t="str">
        <f t="shared" si="34"/>
        <v>Actual</v>
      </c>
      <c r="L60" s="74" t="str">
        <f t="shared" si="34"/>
        <v>Actual</v>
      </c>
      <c r="M60" s="74" t="str">
        <f t="shared" si="34"/>
        <v>Actual</v>
      </c>
      <c r="N60" s="74" t="str">
        <f t="shared" si="34"/>
        <v>Actual</v>
      </c>
      <c r="O60" s="74" t="str">
        <f t="shared" si="34"/>
        <v>Actual</v>
      </c>
      <c r="P60" s="74" t="str">
        <f t="shared" si="34"/>
        <v>Actual</v>
      </c>
      <c r="Q60" s="74" t="str">
        <f t="shared" si="34"/>
        <v>Forecasted</v>
      </c>
      <c r="R60" s="74" t="str">
        <f t="shared" si="34"/>
        <v>Forecasted</v>
      </c>
      <c r="S60" s="74" t="str">
        <f t="shared" si="34"/>
        <v>Forecasted</v>
      </c>
      <c r="T60" s="74" t="str">
        <f t="shared" si="34"/>
        <v>Forecasted</v>
      </c>
      <c r="U60" s="74" t="str">
        <f t="shared" si="34"/>
        <v>Forecasted</v>
      </c>
      <c r="V60" s="74" t="str">
        <f t="shared" si="34"/>
        <v>Forecasted</v>
      </c>
      <c r="W60" s="74" t="str">
        <f t="shared" si="34"/>
        <v>Forecasted</v>
      </c>
      <c r="X60" s="74" t="str">
        <f t="shared" si="34"/>
        <v>Forecasted</v>
      </c>
      <c r="Y60" s="74" t="str">
        <f t="shared" si="34"/>
        <v>Forecasted</v>
      </c>
      <c r="Z60" s="74" t="str">
        <f t="shared" si="34"/>
        <v>Forecasted</v>
      </c>
      <c r="AA60" s="74" t="str">
        <f t="shared" si="34"/>
        <v>Forecasted</v>
      </c>
      <c r="AB60" s="74" t="str">
        <f t="shared" si="34"/>
        <v>Forecasted</v>
      </c>
      <c r="AC60" s="74" t="str">
        <f t="shared" si="34"/>
        <v>Forecasted</v>
      </c>
      <c r="AD60" s="74" t="str">
        <f t="shared" si="34"/>
        <v>Forecasted</v>
      </c>
      <c r="AE60" s="74" t="str">
        <f t="shared" si="34"/>
        <v>Forecasted</v>
      </c>
      <c r="AF60" s="74" t="str">
        <f t="shared" si="34"/>
        <v>Forecasted</v>
      </c>
      <c r="AG60" s="74" t="str">
        <f t="shared" si="34"/>
        <v>Forecasted</v>
      </c>
      <c r="AH60" s="74" t="str">
        <f t="shared" si="34"/>
        <v>Forecasted</v>
      </c>
    </row>
    <row r="61" spans="1:34" x14ac:dyDescent="0.25">
      <c r="B61" s="99">
        <v>44926</v>
      </c>
      <c r="D61" s="99">
        <v>45107</v>
      </c>
      <c r="E61" s="99">
        <f t="shared" ref="E61:AH61" si="35">E$6</f>
        <v>45138</v>
      </c>
      <c r="F61" s="99">
        <f t="shared" si="35"/>
        <v>45169</v>
      </c>
      <c r="G61" s="99">
        <f t="shared" si="35"/>
        <v>45199</v>
      </c>
      <c r="H61" s="99">
        <f t="shared" si="35"/>
        <v>45230</v>
      </c>
      <c r="I61" s="99">
        <f t="shared" si="35"/>
        <v>45260</v>
      </c>
      <c r="J61" s="99">
        <f t="shared" si="35"/>
        <v>45291</v>
      </c>
      <c r="K61" s="99">
        <f t="shared" si="35"/>
        <v>45322</v>
      </c>
      <c r="L61" s="99">
        <f t="shared" si="35"/>
        <v>45351</v>
      </c>
      <c r="M61" s="99">
        <f t="shared" si="35"/>
        <v>45382</v>
      </c>
      <c r="N61" s="99">
        <f t="shared" si="35"/>
        <v>45412</v>
      </c>
      <c r="O61" s="99">
        <f t="shared" si="35"/>
        <v>45443</v>
      </c>
      <c r="P61" s="99">
        <f t="shared" si="35"/>
        <v>45473</v>
      </c>
      <c r="Q61" s="99">
        <f t="shared" si="35"/>
        <v>45504</v>
      </c>
      <c r="R61" s="99">
        <f t="shared" si="35"/>
        <v>45535</v>
      </c>
      <c r="S61" s="99">
        <f t="shared" si="35"/>
        <v>45565</v>
      </c>
      <c r="T61" s="99">
        <f t="shared" si="35"/>
        <v>45596</v>
      </c>
      <c r="U61" s="99">
        <f t="shared" si="35"/>
        <v>45626</v>
      </c>
      <c r="V61" s="99">
        <f t="shared" si="35"/>
        <v>45657</v>
      </c>
      <c r="W61" s="99">
        <f t="shared" si="35"/>
        <v>45688</v>
      </c>
      <c r="X61" s="99">
        <f t="shared" si="35"/>
        <v>45716</v>
      </c>
      <c r="Y61" s="99">
        <f t="shared" si="35"/>
        <v>45747</v>
      </c>
      <c r="Z61" s="99">
        <f t="shared" si="35"/>
        <v>45777</v>
      </c>
      <c r="AA61" s="99">
        <f t="shared" si="35"/>
        <v>45808</v>
      </c>
      <c r="AB61" s="99">
        <f t="shared" si="35"/>
        <v>45838</v>
      </c>
      <c r="AC61" s="99">
        <f t="shared" si="35"/>
        <v>45869</v>
      </c>
      <c r="AD61" s="99">
        <f t="shared" si="35"/>
        <v>45900</v>
      </c>
      <c r="AE61" s="99">
        <f t="shared" si="35"/>
        <v>45930</v>
      </c>
      <c r="AF61" s="99">
        <f t="shared" si="35"/>
        <v>45961</v>
      </c>
      <c r="AG61" s="99">
        <f t="shared" si="35"/>
        <v>45991</v>
      </c>
      <c r="AH61" s="99">
        <f t="shared" si="35"/>
        <v>46022</v>
      </c>
    </row>
    <row r="62" spans="1:34" x14ac:dyDescent="0.25">
      <c r="A62" t="s">
        <v>86</v>
      </c>
      <c r="B62" s="115">
        <f t="shared" ref="B62" si="36">B40+B51</f>
        <v>38486081.473830499</v>
      </c>
      <c r="C62" s="115"/>
      <c r="D62" s="115">
        <f>D40+D51</f>
        <v>47842218.324119985</v>
      </c>
      <c r="E62" s="115">
        <f t="shared" ref="D62:AH65" si="37">E40+E51</f>
        <v>49510490.044474989</v>
      </c>
      <c r="F62" s="115">
        <f t="shared" si="37"/>
        <v>51035269.549927734</v>
      </c>
      <c r="G62" s="115">
        <f t="shared" si="37"/>
        <v>53095175.739794731</v>
      </c>
      <c r="H62" s="115">
        <f t="shared" si="37"/>
        <v>55122090.31079223</v>
      </c>
      <c r="I62" s="115">
        <f t="shared" si="37"/>
        <v>57188359.522565231</v>
      </c>
      <c r="J62" s="115">
        <f t="shared" si="37"/>
        <v>59434745.13133198</v>
      </c>
      <c r="K62" s="115">
        <f t="shared" si="37"/>
        <v>60713253.849973731</v>
      </c>
      <c r="L62" s="115">
        <f t="shared" si="37"/>
        <v>60977025.718080811</v>
      </c>
      <c r="M62" s="115">
        <f t="shared" si="37"/>
        <v>60776778.600666776</v>
      </c>
      <c r="N62" s="115">
        <f t="shared" si="37"/>
        <v>62982108.57517074</v>
      </c>
      <c r="O62" s="115">
        <f t="shared" si="37"/>
        <v>65319833.827659838</v>
      </c>
      <c r="P62" s="115">
        <f t="shared" si="37"/>
        <v>73190409.30669874</v>
      </c>
      <c r="Q62" s="115">
        <f t="shared" si="37"/>
        <v>73110281.738976821</v>
      </c>
      <c r="R62" s="115">
        <f t="shared" si="37"/>
        <v>73030154.171254903</v>
      </c>
      <c r="S62" s="115">
        <f t="shared" si="37"/>
        <v>72950026.60353297</v>
      </c>
      <c r="T62" s="115">
        <f t="shared" si="37"/>
        <v>72869899.035811052</v>
      </c>
      <c r="U62" s="115">
        <f t="shared" si="37"/>
        <v>72789771.468089134</v>
      </c>
      <c r="V62" s="115">
        <f t="shared" si="37"/>
        <v>72709643.900367215</v>
      </c>
      <c r="W62" s="115">
        <f t="shared" si="37"/>
        <v>72629516.332645282</v>
      </c>
      <c r="X62" s="115">
        <f t="shared" si="37"/>
        <v>72755433.064923376</v>
      </c>
      <c r="Y62" s="115">
        <f t="shared" si="37"/>
        <v>73501861.052009434</v>
      </c>
      <c r="Z62" s="115">
        <f t="shared" si="37"/>
        <v>74202060.327301621</v>
      </c>
      <c r="AA62" s="115">
        <f t="shared" si="37"/>
        <v>75108728.838857681</v>
      </c>
      <c r="AB62" s="115">
        <f t="shared" si="37"/>
        <v>79226676.187592864</v>
      </c>
      <c r="AC62" s="115">
        <f t="shared" si="37"/>
        <v>81398745.505893499</v>
      </c>
      <c r="AD62" s="115">
        <f t="shared" si="37"/>
        <v>85327174.298496872</v>
      </c>
      <c r="AE62" s="115">
        <f t="shared" si="37"/>
        <v>86940409.990638182</v>
      </c>
      <c r="AF62" s="115">
        <f t="shared" si="37"/>
        <v>98037104.818245977</v>
      </c>
      <c r="AG62" s="115">
        <f t="shared" si="37"/>
        <v>99822736.735202223</v>
      </c>
      <c r="AH62" s="115">
        <f t="shared" si="37"/>
        <v>99714572.132577717</v>
      </c>
    </row>
    <row r="63" spans="1:34" x14ac:dyDescent="0.25">
      <c r="A63" t="s">
        <v>87</v>
      </c>
      <c r="B63" s="81">
        <f t="shared" ref="B63" si="38">B41+B52</f>
        <v>841559.624174</v>
      </c>
      <c r="C63" s="81"/>
      <c r="D63" s="81">
        <f t="shared" si="37"/>
        <v>3199057.7706799996</v>
      </c>
      <c r="E63" s="81">
        <f t="shared" si="37"/>
        <v>3376006.7362779998</v>
      </c>
      <c r="F63" s="81">
        <f t="shared" si="37"/>
        <v>3923838.2084439998</v>
      </c>
      <c r="G63" s="81">
        <f t="shared" si="37"/>
        <v>4110474.3136449996</v>
      </c>
      <c r="H63" s="81">
        <f t="shared" si="37"/>
        <v>4228678.7108849995</v>
      </c>
      <c r="I63" s="81">
        <f t="shared" si="37"/>
        <v>4378231.9037450003</v>
      </c>
      <c r="J63" s="81">
        <f t="shared" si="37"/>
        <v>4680166.5566740008</v>
      </c>
      <c r="K63" s="81">
        <f>K41+K52</f>
        <v>5047732.5400240012</v>
      </c>
      <c r="L63" s="81">
        <f t="shared" si="37"/>
        <v>5348185.0900282059</v>
      </c>
      <c r="M63" s="81">
        <f t="shared" si="37"/>
        <v>5484979.2046662709</v>
      </c>
      <c r="N63" s="81">
        <f t="shared" si="37"/>
        <v>5591400.0803975128</v>
      </c>
      <c r="O63" s="81">
        <f t="shared" si="37"/>
        <v>5638955.5754601872</v>
      </c>
      <c r="P63" s="81">
        <f t="shared" si="37"/>
        <v>5981062.4446795164</v>
      </c>
      <c r="Q63" s="81">
        <f t="shared" si="37"/>
        <v>5974572.7428082107</v>
      </c>
      <c r="R63" s="81">
        <f t="shared" si="37"/>
        <v>5968083.040936905</v>
      </c>
      <c r="S63" s="81">
        <f t="shared" si="37"/>
        <v>5961593.3390656002</v>
      </c>
      <c r="T63" s="81">
        <f t="shared" si="37"/>
        <v>5955103.6371942945</v>
      </c>
      <c r="U63" s="81">
        <f t="shared" si="37"/>
        <v>5948613.9353229888</v>
      </c>
      <c r="V63" s="81">
        <f t="shared" si="37"/>
        <v>5942124.2334516831</v>
      </c>
      <c r="W63" s="81">
        <f t="shared" si="37"/>
        <v>5935634.5315803774</v>
      </c>
      <c r="X63" s="81">
        <f t="shared" si="37"/>
        <v>5929144.8297090717</v>
      </c>
      <c r="Y63" s="81">
        <f t="shared" si="37"/>
        <v>5922655.127837766</v>
      </c>
      <c r="Z63" s="81">
        <f t="shared" si="37"/>
        <v>5916165.4259664612</v>
      </c>
      <c r="AA63" s="81">
        <f t="shared" si="37"/>
        <v>5909675.7240951555</v>
      </c>
      <c r="AB63" s="81">
        <f t="shared" si="37"/>
        <v>5903186.0222238498</v>
      </c>
      <c r="AC63" s="81">
        <f t="shared" si="37"/>
        <v>5896696.3203525441</v>
      </c>
      <c r="AD63" s="81">
        <f t="shared" si="37"/>
        <v>5890206.6184812384</v>
      </c>
      <c r="AE63" s="81">
        <f t="shared" si="37"/>
        <v>5883716.9166099327</v>
      </c>
      <c r="AF63" s="81">
        <f t="shared" si="37"/>
        <v>5877227.2147386279</v>
      </c>
      <c r="AG63" s="81">
        <f t="shared" si="37"/>
        <v>5870737.5128673222</v>
      </c>
      <c r="AH63" s="81">
        <f t="shared" si="37"/>
        <v>5864247.8109960165</v>
      </c>
    </row>
    <row r="64" spans="1:34" x14ac:dyDescent="0.25">
      <c r="A64" t="s">
        <v>88</v>
      </c>
      <c r="B64" s="81">
        <f t="shared" ref="B64" si="39">B42+B53</f>
        <v>126400.80530000002</v>
      </c>
      <c r="C64" s="81"/>
      <c r="D64" s="81">
        <f t="shared" si="37"/>
        <v>196146.16750000001</v>
      </c>
      <c r="E64" s="81">
        <f t="shared" si="37"/>
        <v>197017.20998750001</v>
      </c>
      <c r="F64" s="81">
        <f t="shared" si="37"/>
        <v>239367.75132916667</v>
      </c>
      <c r="G64" s="81">
        <f t="shared" si="37"/>
        <v>307215.64754583337</v>
      </c>
      <c r="H64" s="81">
        <f t="shared" si="37"/>
        <v>325708.37634583336</v>
      </c>
      <c r="I64" s="81">
        <f t="shared" si="37"/>
        <v>350042.53732499998</v>
      </c>
      <c r="J64" s="81">
        <f t="shared" si="37"/>
        <v>392485.58815833332</v>
      </c>
      <c r="K64" s="81">
        <f t="shared" si="37"/>
        <v>459943.84932083334</v>
      </c>
      <c r="L64" s="81">
        <f t="shared" si="37"/>
        <v>538336.48895914236</v>
      </c>
      <c r="M64" s="81">
        <f t="shared" si="37"/>
        <v>563899.20858003059</v>
      </c>
      <c r="N64" s="81">
        <f t="shared" si="37"/>
        <v>568529.21105510218</v>
      </c>
      <c r="O64" s="81">
        <f t="shared" si="37"/>
        <v>593438.62025678379</v>
      </c>
      <c r="P64" s="81">
        <f t="shared" si="37"/>
        <v>642253.85358732776</v>
      </c>
      <c r="Q64" s="81">
        <f t="shared" si="37"/>
        <v>641531.88475959748</v>
      </c>
      <c r="R64" s="81">
        <f t="shared" si="37"/>
        <v>640809.9159318672</v>
      </c>
      <c r="S64" s="81">
        <f t="shared" si="37"/>
        <v>640087.94710413693</v>
      </c>
      <c r="T64" s="81">
        <f t="shared" si="37"/>
        <v>639365.97827640665</v>
      </c>
      <c r="U64" s="81">
        <f t="shared" si="37"/>
        <v>638644.00944867637</v>
      </c>
      <c r="V64" s="81">
        <f t="shared" si="37"/>
        <v>637922.04062094609</v>
      </c>
      <c r="W64" s="81">
        <f t="shared" si="37"/>
        <v>637200.07179321581</v>
      </c>
      <c r="X64" s="81">
        <f t="shared" si="37"/>
        <v>636478.10296548554</v>
      </c>
      <c r="Y64" s="81">
        <f t="shared" si="37"/>
        <v>635756.13413775526</v>
      </c>
      <c r="Z64" s="81">
        <f t="shared" si="37"/>
        <v>635034.16531002498</v>
      </c>
      <c r="AA64" s="81">
        <f t="shared" si="37"/>
        <v>634312.1964822947</v>
      </c>
      <c r="AB64" s="81">
        <f t="shared" si="37"/>
        <v>633590.22765456443</v>
      </c>
      <c r="AC64" s="81">
        <f t="shared" si="37"/>
        <v>632868.25882683415</v>
      </c>
      <c r="AD64" s="81">
        <f t="shared" si="37"/>
        <v>632146.28999910387</v>
      </c>
      <c r="AE64" s="81">
        <f t="shared" si="37"/>
        <v>631424.32117137359</v>
      </c>
      <c r="AF64" s="81">
        <f t="shared" si="37"/>
        <v>630702.35234364332</v>
      </c>
      <c r="AG64" s="81">
        <f t="shared" si="37"/>
        <v>629980.38351591304</v>
      </c>
      <c r="AH64" s="81">
        <f t="shared" si="37"/>
        <v>629258.41468818276</v>
      </c>
    </row>
    <row r="65" spans="1:34" x14ac:dyDescent="0.25">
      <c r="A65" t="s">
        <v>89</v>
      </c>
      <c r="B65" s="81">
        <f t="shared" ref="B65" si="40">B43+B54</f>
        <v>269209.72628649999</v>
      </c>
      <c r="C65" s="81"/>
      <c r="D65" s="81">
        <f t="shared" si="37"/>
        <v>893979.71391500009</v>
      </c>
      <c r="E65" s="81">
        <f t="shared" si="37"/>
        <v>893570.18371433346</v>
      </c>
      <c r="F65" s="81">
        <f t="shared" si="37"/>
        <v>1171543.7986991664</v>
      </c>
      <c r="G65" s="81">
        <f t="shared" si="37"/>
        <v>1267879.9496961662</v>
      </c>
      <c r="H65" s="81">
        <f t="shared" si="37"/>
        <v>1290453.0278074162</v>
      </c>
      <c r="I65" s="81">
        <f t="shared" si="37"/>
        <v>1335166.8168023326</v>
      </c>
      <c r="J65" s="81">
        <f t="shared" si="37"/>
        <v>1435683.7239341661</v>
      </c>
      <c r="K65" s="81">
        <f t="shared" si="37"/>
        <v>1532864.2416196661</v>
      </c>
      <c r="L65" s="81">
        <f t="shared" si="37"/>
        <v>1622908.8160462021</v>
      </c>
      <c r="M65" s="81">
        <f t="shared" si="37"/>
        <v>1657335.0464950015</v>
      </c>
      <c r="N65" s="81">
        <f t="shared" si="37"/>
        <v>1665151.9853118355</v>
      </c>
      <c r="O65" s="81">
        <f t="shared" si="37"/>
        <v>1697458.418707601</v>
      </c>
      <c r="P65" s="81">
        <f t="shared" si="37"/>
        <v>1768730.7154074719</v>
      </c>
      <c r="Q65" s="81">
        <f t="shared" si="37"/>
        <v>1766747.334975956</v>
      </c>
      <c r="R65" s="81">
        <f t="shared" si="37"/>
        <v>1764763.9545444401</v>
      </c>
      <c r="S65" s="81">
        <f t="shared" si="37"/>
        <v>1762780.5741129243</v>
      </c>
      <c r="T65" s="81">
        <f t="shared" si="37"/>
        <v>1760797.1936814084</v>
      </c>
      <c r="U65" s="81">
        <f t="shared" si="37"/>
        <v>1758813.8132498926</v>
      </c>
      <c r="V65" s="81">
        <f t="shared" si="37"/>
        <v>1756830.4328183767</v>
      </c>
      <c r="W65" s="81">
        <f t="shared" si="37"/>
        <v>1754847.0523868608</v>
      </c>
      <c r="X65" s="81">
        <f t="shared" si="37"/>
        <v>1752863.671955345</v>
      </c>
      <c r="Y65" s="81">
        <f t="shared" si="37"/>
        <v>1750880.2915238291</v>
      </c>
      <c r="Z65" s="81">
        <f t="shared" si="37"/>
        <v>1748896.9110923132</v>
      </c>
      <c r="AA65" s="81">
        <f t="shared" si="37"/>
        <v>1746913.5306607971</v>
      </c>
      <c r="AB65" s="81">
        <f t="shared" si="37"/>
        <v>1744930.1502292813</v>
      </c>
      <c r="AC65" s="81">
        <f t="shared" si="37"/>
        <v>1742946.7697977654</v>
      </c>
      <c r="AD65" s="81">
        <f t="shared" si="37"/>
        <v>1740963.3893662496</v>
      </c>
      <c r="AE65" s="81">
        <f t="shared" si="37"/>
        <v>1738980.0089347337</v>
      </c>
      <c r="AF65" s="81">
        <f t="shared" si="37"/>
        <v>1736996.6285032178</v>
      </c>
      <c r="AG65" s="81">
        <f t="shared" si="37"/>
        <v>1735013.248071702</v>
      </c>
      <c r="AH65" s="81">
        <f t="shared" si="37"/>
        <v>1733029.8676401861</v>
      </c>
    </row>
    <row r="66" spans="1:34" x14ac:dyDescent="0.25">
      <c r="A66" t="s">
        <v>90</v>
      </c>
      <c r="B66" s="81">
        <f t="shared" ref="B66" si="41">B44+B55</f>
        <v>91325.946758500009</v>
      </c>
      <c r="C66" s="81"/>
      <c r="D66" s="81">
        <f t="shared" ref="D66:AH67" si="42">D44+D55</f>
        <v>93983.770415999999</v>
      </c>
      <c r="E66" s="81">
        <f t="shared" si="42"/>
        <v>93735.27273966666</v>
      </c>
      <c r="F66" s="81">
        <f t="shared" si="42"/>
        <v>99147.438358500003</v>
      </c>
      <c r="G66" s="81">
        <f t="shared" si="42"/>
        <v>100317.16331291667</v>
      </c>
      <c r="H66" s="81">
        <f t="shared" si="42"/>
        <v>101065.53663658335</v>
      </c>
      <c r="I66" s="81">
        <f t="shared" si="42"/>
        <v>106164.57451033335</v>
      </c>
      <c r="J66" s="81">
        <f t="shared" si="42"/>
        <v>115141.60682200002</v>
      </c>
      <c r="K66" s="81">
        <f t="shared" si="42"/>
        <v>113023.18595916667</v>
      </c>
      <c r="L66" s="81">
        <f t="shared" si="42"/>
        <v>136474.12666062394</v>
      </c>
      <c r="M66" s="81">
        <f t="shared" si="42"/>
        <v>137791.00043739358</v>
      </c>
      <c r="N66" s="81">
        <f t="shared" si="42"/>
        <v>140037.35464098983</v>
      </c>
      <c r="O66" s="81">
        <f t="shared" si="42"/>
        <v>140153.30203991194</v>
      </c>
      <c r="P66" s="81">
        <f t="shared" si="42"/>
        <v>145376.1984852915</v>
      </c>
      <c r="Q66" s="81">
        <f t="shared" si="42"/>
        <v>145231.50740780352</v>
      </c>
      <c r="R66" s="81">
        <f t="shared" si="42"/>
        <v>145086.81633031555</v>
      </c>
      <c r="S66" s="81">
        <f t="shared" si="42"/>
        <v>144942.12525282759</v>
      </c>
      <c r="T66" s="81">
        <f t="shared" si="42"/>
        <v>144797.43417533961</v>
      </c>
      <c r="U66" s="81">
        <f t="shared" si="42"/>
        <v>144652.74309785166</v>
      </c>
      <c r="V66" s="81">
        <f t="shared" si="42"/>
        <v>144508.05202036368</v>
      </c>
      <c r="W66" s="81">
        <f t="shared" si="42"/>
        <v>144363.3609428757</v>
      </c>
      <c r="X66" s="81">
        <f t="shared" si="42"/>
        <v>144218.66986538775</v>
      </c>
      <c r="Y66" s="81">
        <f t="shared" si="42"/>
        <v>144073.97878789977</v>
      </c>
      <c r="Z66" s="81">
        <f t="shared" si="42"/>
        <v>143929.28771041182</v>
      </c>
      <c r="AA66" s="81">
        <f t="shared" si="42"/>
        <v>143784.59663292384</v>
      </c>
      <c r="AB66" s="81">
        <f t="shared" si="42"/>
        <v>143639.90555543586</v>
      </c>
      <c r="AC66" s="81">
        <f t="shared" si="42"/>
        <v>143495.21447794788</v>
      </c>
      <c r="AD66" s="81">
        <f t="shared" si="42"/>
        <v>143350.52340045993</v>
      </c>
      <c r="AE66" s="81">
        <f t="shared" si="42"/>
        <v>143205.83232297195</v>
      </c>
      <c r="AF66" s="81">
        <f t="shared" si="42"/>
        <v>143061.14124548397</v>
      </c>
      <c r="AG66" s="81">
        <f t="shared" si="42"/>
        <v>142916.45016799602</v>
      </c>
      <c r="AH66" s="81">
        <f t="shared" si="42"/>
        <v>142771.75909050804</v>
      </c>
    </row>
    <row r="67" spans="1:34" x14ac:dyDescent="0.25">
      <c r="A67" t="s">
        <v>91</v>
      </c>
      <c r="B67" s="81">
        <f t="shared" ref="B67" si="43">B45+B56</f>
        <v>3452440.6465349998</v>
      </c>
      <c r="C67" s="81"/>
      <c r="D67" s="81">
        <f t="shared" si="42"/>
        <v>5156414.3039350007</v>
      </c>
      <c r="E67" s="81">
        <f t="shared" si="42"/>
        <v>5271143.1430558348</v>
      </c>
      <c r="F67" s="81">
        <f t="shared" si="42"/>
        <v>5490315.6728362516</v>
      </c>
      <c r="G67" s="81">
        <f t="shared" si="42"/>
        <v>5751990.5580008347</v>
      </c>
      <c r="H67" s="81">
        <f t="shared" si="42"/>
        <v>5890173.095517084</v>
      </c>
      <c r="I67" s="81">
        <f t="shared" si="42"/>
        <v>6066437.5317800008</v>
      </c>
      <c r="J67" s="81">
        <f t="shared" si="42"/>
        <v>6362100.2619595835</v>
      </c>
      <c r="K67" s="81">
        <f t="shared" si="42"/>
        <v>6665960.2000475004</v>
      </c>
      <c r="L67" s="81">
        <f t="shared" si="42"/>
        <v>6867546.3493172433</v>
      </c>
      <c r="M67" s="81">
        <f t="shared" si="42"/>
        <v>6955275.9580048406</v>
      </c>
      <c r="N67" s="81">
        <f t="shared" si="42"/>
        <v>6958022.6945446394</v>
      </c>
      <c r="O67" s="81">
        <f t="shared" si="42"/>
        <v>6992591.6875583902</v>
      </c>
      <c r="P67" s="81">
        <f t="shared" si="42"/>
        <v>7189652.4536917629</v>
      </c>
      <c r="Q67" s="81">
        <f t="shared" si="42"/>
        <v>7181637.7566199405</v>
      </c>
      <c r="R67" s="81">
        <f t="shared" si="42"/>
        <v>7173623.0595481172</v>
      </c>
      <c r="S67" s="81">
        <f t="shared" si="42"/>
        <v>7165608.3624762949</v>
      </c>
      <c r="T67" s="81">
        <f t="shared" si="42"/>
        <v>7157593.6654044725</v>
      </c>
      <c r="U67" s="81">
        <f t="shared" si="42"/>
        <v>7149578.9683326501</v>
      </c>
      <c r="V67" s="81">
        <f t="shared" si="42"/>
        <v>7141564.2712608278</v>
      </c>
      <c r="W67" s="81">
        <f t="shared" si="42"/>
        <v>7133549.5741890054</v>
      </c>
      <c r="X67" s="81">
        <f t="shared" si="42"/>
        <v>7125534.8771171831</v>
      </c>
      <c r="Y67" s="81">
        <f t="shared" si="42"/>
        <v>7117520.1800453607</v>
      </c>
      <c r="Z67" s="81">
        <f t="shared" si="42"/>
        <v>7109505.4829735383</v>
      </c>
      <c r="AA67" s="81">
        <f t="shared" si="42"/>
        <v>7101490.785901716</v>
      </c>
      <c r="AB67" s="81">
        <f t="shared" si="42"/>
        <v>7093476.0888298936</v>
      </c>
      <c r="AC67" s="81">
        <f t="shared" si="42"/>
        <v>7085461.3917580713</v>
      </c>
      <c r="AD67" s="81">
        <f t="shared" si="42"/>
        <v>7077446.6946862489</v>
      </c>
      <c r="AE67" s="81">
        <f t="shared" si="42"/>
        <v>7069431.9976144265</v>
      </c>
      <c r="AF67" s="81">
        <f t="shared" si="42"/>
        <v>7061417.3005426042</v>
      </c>
      <c r="AG67" s="81">
        <f t="shared" si="42"/>
        <v>7053402.6034707818</v>
      </c>
      <c r="AH67" s="81">
        <f t="shared" si="42"/>
        <v>7045387.9063989595</v>
      </c>
    </row>
    <row r="68" spans="1:34" x14ac:dyDescent="0.25">
      <c r="B68" s="119">
        <f t="shared" ref="B68" si="44">SUM(B62:B67)</f>
        <v>43267018.222884499</v>
      </c>
      <c r="C68" s="115"/>
      <c r="D68" s="119">
        <f t="shared" ref="D68:AH68" si="45">SUM(D62:D67)</f>
        <v>57381800.05056598</v>
      </c>
      <c r="E68" s="119">
        <f t="shared" si="45"/>
        <v>59341962.590250313</v>
      </c>
      <c r="F68" s="119">
        <f t="shared" si="45"/>
        <v>61959482.419594817</v>
      </c>
      <c r="G68" s="119">
        <f t="shared" si="45"/>
        <v>64633053.371995486</v>
      </c>
      <c r="H68" s="119">
        <f t="shared" si="45"/>
        <v>66958169.057984143</v>
      </c>
      <c r="I68" s="119">
        <f t="shared" si="45"/>
        <v>69424402.886727899</v>
      </c>
      <c r="J68" s="119">
        <f t="shared" si="45"/>
        <v>72420322.868880063</v>
      </c>
      <c r="K68" s="119">
        <f t="shared" si="45"/>
        <v>74532777.866944909</v>
      </c>
      <c r="L68" s="119">
        <f t="shared" si="45"/>
        <v>75490476.589092225</v>
      </c>
      <c r="M68" s="119">
        <f t="shared" si="45"/>
        <v>75576059.018850327</v>
      </c>
      <c r="N68" s="119">
        <f t="shared" si="45"/>
        <v>77905249.901120827</v>
      </c>
      <c r="O68" s="119">
        <f t="shared" si="45"/>
        <v>80382431.431682706</v>
      </c>
      <c r="P68" s="119">
        <f t="shared" si="45"/>
        <v>88917484.972550109</v>
      </c>
      <c r="Q68" s="119">
        <f t="shared" si="45"/>
        <v>88820002.965548337</v>
      </c>
      <c r="R68" s="119">
        <f t="shared" si="45"/>
        <v>88722520.958546549</v>
      </c>
      <c r="S68" s="119">
        <f t="shared" si="45"/>
        <v>88625038.951544747</v>
      </c>
      <c r="T68" s="119">
        <f t="shared" si="45"/>
        <v>88527556.944542959</v>
      </c>
      <c r="U68" s="119">
        <f t="shared" si="45"/>
        <v>88430074.937541187</v>
      </c>
      <c r="V68" s="119">
        <f t="shared" si="45"/>
        <v>88332592.930539429</v>
      </c>
      <c r="W68" s="119">
        <f t="shared" si="45"/>
        <v>88235110.923537612</v>
      </c>
      <c r="X68" s="119">
        <f t="shared" si="45"/>
        <v>88343673.216535851</v>
      </c>
      <c r="Y68" s="119">
        <f t="shared" si="45"/>
        <v>89072746.76434204</v>
      </c>
      <c r="Z68" s="119">
        <f t="shared" si="45"/>
        <v>89755591.600354373</v>
      </c>
      <c r="AA68" s="119">
        <f t="shared" si="45"/>
        <v>90644905.672630563</v>
      </c>
      <c r="AB68" s="119">
        <f t="shared" si="45"/>
        <v>94745498.582085878</v>
      </c>
      <c r="AC68" s="119">
        <f t="shared" si="45"/>
        <v>96900213.461106658</v>
      </c>
      <c r="AD68" s="119">
        <f t="shared" si="45"/>
        <v>100811287.81443016</v>
      </c>
      <c r="AE68" s="119">
        <f t="shared" si="45"/>
        <v>102407169.06729162</v>
      </c>
      <c r="AF68" s="119">
        <f t="shared" si="45"/>
        <v>113486509.45561956</v>
      </c>
      <c r="AG68" s="119">
        <f t="shared" si="45"/>
        <v>115254786.93329594</v>
      </c>
      <c r="AH68" s="119">
        <f t="shared" si="45"/>
        <v>115129267.89139158</v>
      </c>
    </row>
    <row r="69" spans="1:34" x14ac:dyDescent="0.25"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</row>
    <row r="70" spans="1:34" x14ac:dyDescent="0.25">
      <c r="E70" s="74"/>
      <c r="F70" s="74"/>
      <c r="G70" s="74"/>
      <c r="H70" s="74"/>
      <c r="I70" s="74"/>
      <c r="J70" s="74"/>
      <c r="K70" s="74"/>
    </row>
    <row r="71" spans="1:34" x14ac:dyDescent="0.25">
      <c r="A71" s="17" t="s">
        <v>100</v>
      </c>
      <c r="B71" s="103"/>
      <c r="C71" s="79" t="s">
        <v>101</v>
      </c>
      <c r="D71" s="79" t="s">
        <v>102</v>
      </c>
      <c r="E71" s="74" t="str">
        <f t="shared" ref="E71:AH71" si="46">E$5</f>
        <v>Actual</v>
      </c>
      <c r="F71" s="74" t="str">
        <f t="shared" si="46"/>
        <v>Actual</v>
      </c>
      <c r="G71" s="74" t="str">
        <f t="shared" si="46"/>
        <v>Actual</v>
      </c>
      <c r="H71" s="74" t="str">
        <f t="shared" si="46"/>
        <v>Actual</v>
      </c>
      <c r="I71" s="74" t="str">
        <f t="shared" si="46"/>
        <v>Actual</v>
      </c>
      <c r="J71" s="74" t="str">
        <f t="shared" si="46"/>
        <v>Actual</v>
      </c>
      <c r="K71" s="74" t="str">
        <f t="shared" si="46"/>
        <v>Actual</v>
      </c>
      <c r="L71" s="74" t="str">
        <f t="shared" si="46"/>
        <v>Actual</v>
      </c>
      <c r="M71" s="74" t="str">
        <f t="shared" si="46"/>
        <v>Actual</v>
      </c>
      <c r="N71" s="74" t="str">
        <f t="shared" si="46"/>
        <v>Actual</v>
      </c>
      <c r="O71" s="74" t="str">
        <f t="shared" si="46"/>
        <v>Actual</v>
      </c>
      <c r="P71" s="74" t="str">
        <f t="shared" si="46"/>
        <v>Actual</v>
      </c>
      <c r="Q71" s="74" t="str">
        <f t="shared" si="46"/>
        <v>Forecasted</v>
      </c>
      <c r="R71" s="74" t="str">
        <f t="shared" si="46"/>
        <v>Forecasted</v>
      </c>
      <c r="S71" s="74" t="str">
        <f t="shared" si="46"/>
        <v>Forecasted</v>
      </c>
      <c r="T71" s="74" t="str">
        <f t="shared" si="46"/>
        <v>Forecasted</v>
      </c>
      <c r="U71" s="74" t="str">
        <f t="shared" si="46"/>
        <v>Forecasted</v>
      </c>
      <c r="V71" s="74" t="str">
        <f t="shared" si="46"/>
        <v>Forecasted</v>
      </c>
      <c r="W71" s="74" t="str">
        <f t="shared" si="46"/>
        <v>Forecasted</v>
      </c>
      <c r="X71" s="74" t="str">
        <f t="shared" si="46"/>
        <v>Forecasted</v>
      </c>
      <c r="Y71" s="74" t="str">
        <f t="shared" si="46"/>
        <v>Forecasted</v>
      </c>
      <c r="Z71" s="74" t="str">
        <f t="shared" si="46"/>
        <v>Forecasted</v>
      </c>
      <c r="AA71" s="74" t="str">
        <f t="shared" si="46"/>
        <v>Forecasted</v>
      </c>
      <c r="AB71" s="74" t="str">
        <f t="shared" si="46"/>
        <v>Forecasted</v>
      </c>
      <c r="AC71" s="74" t="str">
        <f t="shared" si="46"/>
        <v>Forecasted</v>
      </c>
      <c r="AD71" s="74" t="str">
        <f t="shared" si="46"/>
        <v>Forecasted</v>
      </c>
      <c r="AE71" s="74" t="str">
        <f t="shared" si="46"/>
        <v>Forecasted</v>
      </c>
      <c r="AF71" s="74" t="str">
        <f t="shared" si="46"/>
        <v>Forecasted</v>
      </c>
      <c r="AG71" s="74" t="str">
        <f t="shared" si="46"/>
        <v>Forecasted</v>
      </c>
      <c r="AH71" s="74" t="str">
        <f t="shared" si="46"/>
        <v>Forecasted</v>
      </c>
    </row>
    <row r="72" spans="1:34" x14ac:dyDescent="0.25">
      <c r="C72" s="79" t="s">
        <v>103</v>
      </c>
      <c r="D72" s="79" t="s">
        <v>103</v>
      </c>
      <c r="E72" s="99">
        <f t="shared" ref="E72:AH72" si="47">E$6</f>
        <v>45138</v>
      </c>
      <c r="F72" s="99">
        <f t="shared" si="47"/>
        <v>45169</v>
      </c>
      <c r="G72" s="99">
        <f t="shared" si="47"/>
        <v>45199</v>
      </c>
      <c r="H72" s="99">
        <f t="shared" si="47"/>
        <v>45230</v>
      </c>
      <c r="I72" s="99">
        <f t="shared" si="47"/>
        <v>45260</v>
      </c>
      <c r="J72" s="99">
        <f t="shared" si="47"/>
        <v>45291</v>
      </c>
      <c r="K72" s="99">
        <f t="shared" si="47"/>
        <v>45322</v>
      </c>
      <c r="L72" s="99">
        <f t="shared" si="47"/>
        <v>45351</v>
      </c>
      <c r="M72" s="99">
        <f t="shared" si="47"/>
        <v>45382</v>
      </c>
      <c r="N72" s="99">
        <f t="shared" si="47"/>
        <v>45412</v>
      </c>
      <c r="O72" s="99">
        <f t="shared" si="47"/>
        <v>45443</v>
      </c>
      <c r="P72" s="99">
        <f t="shared" si="47"/>
        <v>45473</v>
      </c>
      <c r="Q72" s="99">
        <f t="shared" si="47"/>
        <v>45504</v>
      </c>
      <c r="R72" s="99">
        <f t="shared" si="47"/>
        <v>45535</v>
      </c>
      <c r="S72" s="99">
        <f t="shared" si="47"/>
        <v>45565</v>
      </c>
      <c r="T72" s="99">
        <f t="shared" si="47"/>
        <v>45596</v>
      </c>
      <c r="U72" s="99">
        <f t="shared" si="47"/>
        <v>45626</v>
      </c>
      <c r="V72" s="99">
        <f t="shared" si="47"/>
        <v>45657</v>
      </c>
      <c r="W72" s="99">
        <f t="shared" si="47"/>
        <v>45688</v>
      </c>
      <c r="X72" s="99">
        <f t="shared" si="47"/>
        <v>45716</v>
      </c>
      <c r="Y72" s="99">
        <f t="shared" si="47"/>
        <v>45747</v>
      </c>
      <c r="Z72" s="99">
        <f t="shared" si="47"/>
        <v>45777</v>
      </c>
      <c r="AA72" s="99">
        <f t="shared" si="47"/>
        <v>45808</v>
      </c>
      <c r="AB72" s="99">
        <f t="shared" si="47"/>
        <v>45838</v>
      </c>
      <c r="AC72" s="99">
        <f t="shared" si="47"/>
        <v>45869</v>
      </c>
      <c r="AD72" s="99">
        <f t="shared" si="47"/>
        <v>45900</v>
      </c>
      <c r="AE72" s="99">
        <f t="shared" si="47"/>
        <v>45930</v>
      </c>
      <c r="AF72" s="99">
        <f t="shared" si="47"/>
        <v>45961</v>
      </c>
      <c r="AG72" s="99">
        <f t="shared" si="47"/>
        <v>45991</v>
      </c>
      <c r="AH72" s="99">
        <f t="shared" si="47"/>
        <v>46022</v>
      </c>
    </row>
    <row r="73" spans="1:34" x14ac:dyDescent="0.25">
      <c r="A73" s="75" t="s">
        <v>86</v>
      </c>
      <c r="C73" s="104">
        <v>1.5299999999999999E-2</v>
      </c>
      <c r="D73" s="104">
        <v>1.3625141504577429E-2</v>
      </c>
      <c r="E73" s="116">
        <f>D40*$C73/12</f>
        <v>59429.019644999971</v>
      </c>
      <c r="F73" s="116">
        <f t="shared" ref="F73:K73" si="48">E40*$C73/12</f>
        <v>61557.334547249979</v>
      </c>
      <c r="G73" s="116">
        <f t="shared" si="48"/>
        <v>63296.150132999981</v>
      </c>
      <c r="H73" s="116">
        <f t="shared" si="48"/>
        <v>65760.809002499969</v>
      </c>
      <c r="I73" s="116">
        <f t="shared" si="48"/>
        <v>68237.968226999976</v>
      </c>
      <c r="J73" s="116">
        <f t="shared" si="48"/>
        <v>70355.211233249967</v>
      </c>
      <c r="K73" s="116">
        <f t="shared" si="48"/>
        <v>72998.611358249982</v>
      </c>
      <c r="L73" s="118">
        <f t="shared" ref="L73:AA78" si="49">K40*$D$73/12</f>
        <v>66395.341892923068</v>
      </c>
      <c r="M73" s="118">
        <f t="shared" si="49"/>
        <v>66431.65741403804</v>
      </c>
      <c r="N73" s="118">
        <f t="shared" si="49"/>
        <v>66236.165496038782</v>
      </c>
      <c r="O73" s="118">
        <f t="shared" si="49"/>
        <v>68608.187510894277</v>
      </c>
      <c r="P73" s="118">
        <f t="shared" si="49"/>
        <v>71240.870961091103</v>
      </c>
      <c r="Q73" s="118">
        <f t="shared" si="49"/>
        <v>80127.567721921689</v>
      </c>
      <c r="R73" s="118">
        <f t="shared" si="49"/>
        <v>80127.567721921689</v>
      </c>
      <c r="S73" s="118">
        <f t="shared" si="49"/>
        <v>80127.567721921689</v>
      </c>
      <c r="T73" s="118">
        <f t="shared" si="49"/>
        <v>80127.567721921689</v>
      </c>
      <c r="U73" s="118">
        <f>T40*$D$73/12</f>
        <v>80127.567721921689</v>
      </c>
      <c r="V73" s="118">
        <f t="shared" si="49"/>
        <v>80127.567721921689</v>
      </c>
      <c r="W73" s="118">
        <f t="shared" si="49"/>
        <v>80127.567721921689</v>
      </c>
      <c r="X73" s="118">
        <f t="shared" si="49"/>
        <v>80127.567721921689</v>
      </c>
      <c r="Y73" s="118">
        <f t="shared" si="49"/>
        <v>80333.362913949459</v>
      </c>
      <c r="Z73" s="118">
        <f t="shared" si="49"/>
        <v>81159.124707818046</v>
      </c>
      <c r="AA73" s="118">
        <f t="shared" si="49"/>
        <v>81939.538443944315</v>
      </c>
      <c r="AB73" s="118">
        <f t="shared" ref="AB73:AH78" si="50">AA40*$D$73/12</f>
        <v>82926.951264827789</v>
      </c>
      <c r="AC73" s="118">
        <f t="shared" si="50"/>
        <v>87122.746699368145</v>
      </c>
      <c r="AD73" s="118">
        <f t="shared" si="50"/>
        <v>89379.207396627462</v>
      </c>
      <c r="AE73" s="118">
        <f t="shared" si="50"/>
        <v>93392.157858691935</v>
      </c>
      <c r="AF73" s="118">
        <f t="shared" si="50"/>
        <v>95096.72239219617</v>
      </c>
      <c r="AG73" s="118">
        <f t="shared" si="50"/>
        <v>106274.98304375082</v>
      </c>
      <c r="AH73" s="118">
        <f t="shared" si="50"/>
        <v>108164.60262451175</v>
      </c>
    </row>
    <row r="74" spans="1:34" x14ac:dyDescent="0.25">
      <c r="A74" s="75" t="s">
        <v>87</v>
      </c>
      <c r="C74" s="104">
        <v>3.2400000000000005E-2</v>
      </c>
      <c r="D74" s="104">
        <v>2.9602360457895899E-2</v>
      </c>
      <c r="E74" s="129">
        <f t="shared" ref="E74:K78" si="51">D41*$C74/12</f>
        <v>8341.194402000001</v>
      </c>
      <c r="F74" s="129">
        <f t="shared" si="51"/>
        <v>8841.4778340000012</v>
      </c>
      <c r="G74" s="129">
        <f t="shared" si="51"/>
        <v>10344.494799000002</v>
      </c>
      <c r="H74" s="129">
        <f t="shared" si="51"/>
        <v>10875.002760000001</v>
      </c>
      <c r="I74" s="129">
        <f t="shared" si="51"/>
        <v>11223.517140000002</v>
      </c>
      <c r="J74" s="129">
        <f t="shared" si="51"/>
        <v>11484.217071000005</v>
      </c>
      <c r="K74" s="129">
        <f t="shared" si="51"/>
        <v>12324.796650000004</v>
      </c>
      <c r="L74" s="130">
        <f t="shared" si="49"/>
        <v>5554.7799957950992</v>
      </c>
      <c r="M74" s="130">
        <f t="shared" si="49"/>
        <v>5864.7253619354487</v>
      </c>
      <c r="N74" s="130">
        <f t="shared" si="49"/>
        <v>6026.7042687586882</v>
      </c>
      <c r="O74" s="130">
        <f t="shared" si="49"/>
        <v>6153.3349373252267</v>
      </c>
      <c r="P74" s="130">
        <f t="shared" si="49"/>
        <v>6208.450780671029</v>
      </c>
      <c r="Q74" s="130">
        <f t="shared" si="49"/>
        <v>6489.7018713055686</v>
      </c>
      <c r="R74" s="130">
        <f t="shared" si="49"/>
        <v>6489.7018713055686</v>
      </c>
      <c r="S74" s="130">
        <f t="shared" si="49"/>
        <v>6489.7018713055686</v>
      </c>
      <c r="T74" s="130">
        <f t="shared" si="49"/>
        <v>6489.7018713055686</v>
      </c>
      <c r="U74" s="130">
        <f t="shared" si="49"/>
        <v>6489.7018713055686</v>
      </c>
      <c r="V74" s="130">
        <f t="shared" si="49"/>
        <v>6489.7018713055686</v>
      </c>
      <c r="W74" s="130">
        <f t="shared" si="49"/>
        <v>6489.7018713055686</v>
      </c>
      <c r="X74" s="130">
        <f t="shared" si="49"/>
        <v>6489.7018713055686</v>
      </c>
      <c r="Y74" s="130">
        <f t="shared" si="49"/>
        <v>6489.7018713055686</v>
      </c>
      <c r="Z74" s="130">
        <f t="shared" si="49"/>
        <v>6489.7018713055686</v>
      </c>
      <c r="AA74" s="130">
        <f t="shared" si="49"/>
        <v>6489.7018713055686</v>
      </c>
      <c r="AB74" s="130">
        <f t="shared" si="50"/>
        <v>6489.7018713055686</v>
      </c>
      <c r="AC74" s="130">
        <f t="shared" si="50"/>
        <v>6489.7018713055686</v>
      </c>
      <c r="AD74" s="130">
        <f t="shared" si="50"/>
        <v>6489.7018713055686</v>
      </c>
      <c r="AE74" s="130">
        <f t="shared" si="50"/>
        <v>6489.7018713055686</v>
      </c>
      <c r="AF74" s="130">
        <f t="shared" si="50"/>
        <v>6489.7018713055686</v>
      </c>
      <c r="AG74" s="130">
        <f t="shared" si="50"/>
        <v>6489.7018713055686</v>
      </c>
      <c r="AH74" s="130">
        <f t="shared" si="50"/>
        <v>6489.7018713055686</v>
      </c>
    </row>
    <row r="75" spans="1:34" x14ac:dyDescent="0.25">
      <c r="A75" s="75" t="s">
        <v>88</v>
      </c>
      <c r="C75" s="104">
        <v>3.5000000000000003E-2</v>
      </c>
      <c r="D75" s="104">
        <v>0.24038766445351445</v>
      </c>
      <c r="E75" s="129">
        <f t="shared" si="51"/>
        <v>552.20751250000001</v>
      </c>
      <c r="F75" s="129">
        <f t="shared" si="51"/>
        <v>556.35865833333344</v>
      </c>
      <c r="G75" s="129">
        <f t="shared" si="51"/>
        <v>681.50378333333344</v>
      </c>
      <c r="H75" s="129">
        <f t="shared" si="51"/>
        <v>881.38120000000015</v>
      </c>
      <c r="I75" s="129">
        <f t="shared" si="51"/>
        <v>937.88902083333335</v>
      </c>
      <c r="J75" s="129">
        <f t="shared" si="51"/>
        <v>1011.5991666666667</v>
      </c>
      <c r="K75" s="129">
        <f t="shared" si="51"/>
        <v>1131.6988375000001</v>
      </c>
      <c r="L75" s="130">
        <f t="shared" si="49"/>
        <v>511.51036169102673</v>
      </c>
      <c r="M75" s="130">
        <f t="shared" si="49"/>
        <v>601.10037911172697</v>
      </c>
      <c r="N75" s="130">
        <f t="shared" si="49"/>
        <v>630.80752492841805</v>
      </c>
      <c r="O75" s="130">
        <f t="shared" si="49"/>
        <v>636.78079831830939</v>
      </c>
      <c r="P75" s="130">
        <f t="shared" si="49"/>
        <v>665.78666945604448</v>
      </c>
      <c r="Q75" s="130">
        <f t="shared" si="49"/>
        <v>721.96882773027994</v>
      </c>
      <c r="R75" s="130">
        <f t="shared" si="49"/>
        <v>721.96882773027994</v>
      </c>
      <c r="S75" s="130">
        <f t="shared" si="49"/>
        <v>721.96882773027994</v>
      </c>
      <c r="T75" s="130">
        <f t="shared" si="49"/>
        <v>721.96882773027994</v>
      </c>
      <c r="U75" s="130">
        <f t="shared" si="49"/>
        <v>721.96882773027994</v>
      </c>
      <c r="V75" s="130">
        <f t="shared" si="49"/>
        <v>721.96882773027994</v>
      </c>
      <c r="W75" s="130">
        <f t="shared" si="49"/>
        <v>721.96882773027994</v>
      </c>
      <c r="X75" s="130">
        <f t="shared" si="49"/>
        <v>721.96882773027994</v>
      </c>
      <c r="Y75" s="130">
        <f t="shared" si="49"/>
        <v>721.96882773027994</v>
      </c>
      <c r="Z75" s="130">
        <f t="shared" si="49"/>
        <v>721.96882773027994</v>
      </c>
      <c r="AA75" s="130">
        <f t="shared" si="49"/>
        <v>721.96882773027994</v>
      </c>
      <c r="AB75" s="130">
        <f t="shared" si="50"/>
        <v>721.96882773027994</v>
      </c>
      <c r="AC75" s="130">
        <f t="shared" si="50"/>
        <v>721.96882773027994</v>
      </c>
      <c r="AD75" s="130">
        <f t="shared" si="50"/>
        <v>721.96882773027994</v>
      </c>
      <c r="AE75" s="130">
        <f t="shared" si="50"/>
        <v>721.96882773027994</v>
      </c>
      <c r="AF75" s="130">
        <f t="shared" si="50"/>
        <v>721.96882773027994</v>
      </c>
      <c r="AG75" s="130">
        <f t="shared" si="50"/>
        <v>721.96882773027994</v>
      </c>
      <c r="AH75" s="130">
        <f t="shared" si="50"/>
        <v>721.96882773027994</v>
      </c>
    </row>
    <row r="76" spans="1:34" x14ac:dyDescent="0.25">
      <c r="A76" s="75" t="s">
        <v>89</v>
      </c>
      <c r="C76" s="104">
        <v>2.8900000000000002E-2</v>
      </c>
      <c r="D76" s="104">
        <v>1.8008320126198001E-2</v>
      </c>
      <c r="E76" s="129">
        <f t="shared" si="51"/>
        <v>2093.1902006666669</v>
      </c>
      <c r="F76" s="129">
        <f t="shared" si="51"/>
        <v>2097.2450151666671</v>
      </c>
      <c r="G76" s="129">
        <f t="shared" si="51"/>
        <v>2771.7490029999994</v>
      </c>
      <c r="H76" s="129">
        <f t="shared" si="51"/>
        <v>3008.5618887499991</v>
      </c>
      <c r="I76" s="129">
        <f t="shared" si="51"/>
        <v>3070.1710050833321</v>
      </c>
      <c r="J76" s="129">
        <f t="shared" si="51"/>
        <v>3181.1328681666655</v>
      </c>
      <c r="K76" s="129">
        <f t="shared" si="51"/>
        <v>3430.872314499999</v>
      </c>
      <c r="L76" s="130">
        <f t="shared" si="49"/>
        <v>1721.6455734639712</v>
      </c>
      <c r="M76" s="130">
        <f t="shared" si="49"/>
        <v>1825.839551200653</v>
      </c>
      <c r="N76" s="130">
        <f t="shared" si="49"/>
        <v>1867.0011831659738</v>
      </c>
      <c r="O76" s="130">
        <f t="shared" si="49"/>
        <v>1877.9966042344602</v>
      </c>
      <c r="P76" s="130">
        <f t="shared" si="49"/>
        <v>1915.0933001290205</v>
      </c>
      <c r="Q76" s="130">
        <f t="shared" si="49"/>
        <v>1983.3804315158829</v>
      </c>
      <c r="R76" s="130">
        <f t="shared" si="49"/>
        <v>1983.3804315158829</v>
      </c>
      <c r="S76" s="130">
        <f t="shared" si="49"/>
        <v>1983.3804315158829</v>
      </c>
      <c r="T76" s="130">
        <f t="shared" si="49"/>
        <v>1983.3804315158829</v>
      </c>
      <c r="U76" s="130">
        <f t="shared" si="49"/>
        <v>1983.3804315158829</v>
      </c>
      <c r="V76" s="130">
        <f t="shared" si="49"/>
        <v>1983.3804315158829</v>
      </c>
      <c r="W76" s="130">
        <f t="shared" si="49"/>
        <v>1983.3804315158829</v>
      </c>
      <c r="X76" s="130">
        <f t="shared" si="49"/>
        <v>1983.3804315158829</v>
      </c>
      <c r="Y76" s="130">
        <f t="shared" si="49"/>
        <v>1983.3804315158829</v>
      </c>
      <c r="Z76" s="130">
        <f t="shared" si="49"/>
        <v>1983.3804315158829</v>
      </c>
      <c r="AA76" s="130">
        <f t="shared" si="49"/>
        <v>1983.3804315158829</v>
      </c>
      <c r="AB76" s="130">
        <f t="shared" si="50"/>
        <v>1983.3804315158829</v>
      </c>
      <c r="AC76" s="130">
        <f t="shared" si="50"/>
        <v>1983.3804315158829</v>
      </c>
      <c r="AD76" s="130">
        <f t="shared" si="50"/>
        <v>1983.3804315158829</v>
      </c>
      <c r="AE76" s="130">
        <f t="shared" si="50"/>
        <v>1983.3804315158829</v>
      </c>
      <c r="AF76" s="130">
        <f t="shared" si="50"/>
        <v>1983.3804315158829</v>
      </c>
      <c r="AG76" s="130">
        <f t="shared" si="50"/>
        <v>1983.3804315158829</v>
      </c>
      <c r="AH76" s="130">
        <f t="shared" si="50"/>
        <v>1983.3804315158829</v>
      </c>
    </row>
    <row r="77" spans="1:34" x14ac:dyDescent="0.25">
      <c r="A77" s="75" t="s">
        <v>90</v>
      </c>
      <c r="C77" s="104">
        <v>3.3100000000000004E-2</v>
      </c>
      <c r="D77" s="104">
        <v>2.16744984538151E-2</v>
      </c>
      <c r="E77" s="129">
        <f t="shared" si="51"/>
        <v>243.67767633333335</v>
      </c>
      <c r="F77" s="129">
        <f t="shared" si="51"/>
        <v>243.66438116666669</v>
      </c>
      <c r="G77" s="129">
        <f t="shared" si="51"/>
        <v>259.26504558333335</v>
      </c>
      <c r="H77" s="129">
        <f t="shared" si="51"/>
        <v>263.20667633333341</v>
      </c>
      <c r="I77" s="129">
        <f t="shared" si="51"/>
        <v>264.91212625000009</v>
      </c>
      <c r="J77" s="129">
        <f t="shared" si="51"/>
        <v>279.70768833333335</v>
      </c>
      <c r="K77" s="129">
        <f t="shared" si="51"/>
        <v>305.24086283333344</v>
      </c>
      <c r="L77" s="130">
        <f t="shared" si="49"/>
        <v>123.58929854274039</v>
      </c>
      <c r="M77" s="130">
        <f t="shared" si="49"/>
        <v>135.94622323035637</v>
      </c>
      <c r="N77" s="130">
        <f t="shared" si="49"/>
        <v>137.59579640374636</v>
      </c>
      <c r="O77" s="130">
        <f t="shared" si="49"/>
        <v>140.30260107789948</v>
      </c>
      <c r="P77" s="130">
        <f t="shared" si="49"/>
        <v>140.59355462044513</v>
      </c>
      <c r="Q77" s="130">
        <f t="shared" si="49"/>
        <v>144.69107748797049</v>
      </c>
      <c r="R77" s="130">
        <f t="shared" si="49"/>
        <v>144.69107748797049</v>
      </c>
      <c r="S77" s="130">
        <f t="shared" si="49"/>
        <v>144.69107748797049</v>
      </c>
      <c r="T77" s="130">
        <f t="shared" si="49"/>
        <v>144.69107748797049</v>
      </c>
      <c r="U77" s="130">
        <f t="shared" si="49"/>
        <v>144.69107748797049</v>
      </c>
      <c r="V77" s="130">
        <f t="shared" si="49"/>
        <v>144.69107748797049</v>
      </c>
      <c r="W77" s="130">
        <f t="shared" si="49"/>
        <v>144.69107748797049</v>
      </c>
      <c r="X77" s="130">
        <f t="shared" si="49"/>
        <v>144.69107748797049</v>
      </c>
      <c r="Y77" s="130">
        <f t="shared" si="49"/>
        <v>144.69107748797049</v>
      </c>
      <c r="Z77" s="130">
        <f t="shared" si="49"/>
        <v>144.69107748797049</v>
      </c>
      <c r="AA77" s="130">
        <f t="shared" si="49"/>
        <v>144.69107748797049</v>
      </c>
      <c r="AB77" s="130">
        <f t="shared" si="50"/>
        <v>144.69107748797049</v>
      </c>
      <c r="AC77" s="130">
        <f t="shared" si="50"/>
        <v>144.69107748797049</v>
      </c>
      <c r="AD77" s="130">
        <f t="shared" si="50"/>
        <v>144.69107748797049</v>
      </c>
      <c r="AE77" s="130">
        <f t="shared" si="50"/>
        <v>144.69107748797049</v>
      </c>
      <c r="AF77" s="130">
        <f t="shared" si="50"/>
        <v>144.69107748797049</v>
      </c>
      <c r="AG77" s="130">
        <f t="shared" si="50"/>
        <v>144.69107748797049</v>
      </c>
      <c r="AH77" s="130">
        <f t="shared" si="50"/>
        <v>144.69107748797049</v>
      </c>
    </row>
    <row r="78" spans="1:34" x14ac:dyDescent="0.25">
      <c r="A78" s="75" t="s">
        <v>91</v>
      </c>
      <c r="C78" s="104">
        <v>2.1500000000000002E-2</v>
      </c>
      <c r="D78" s="104">
        <v>2.37949878076919E-2</v>
      </c>
      <c r="E78" s="129">
        <f t="shared" si="51"/>
        <v>8943.35087916667</v>
      </c>
      <c r="F78" s="129">
        <f t="shared" si="51"/>
        <v>9164.930219583337</v>
      </c>
      <c r="G78" s="129">
        <f t="shared" si="51"/>
        <v>9574.034835416669</v>
      </c>
      <c r="H78" s="129">
        <f t="shared" si="51"/>
        <v>10060.022483750005</v>
      </c>
      <c r="I78" s="129">
        <f t="shared" si="51"/>
        <v>10325.623737083335</v>
      </c>
      <c r="J78" s="129">
        <f t="shared" si="51"/>
        <v>10628.66982041667</v>
      </c>
      <c r="K78" s="129">
        <f t="shared" si="51"/>
        <v>11177.441912083335</v>
      </c>
      <c r="L78" s="131">
        <f t="shared" si="49"/>
        <v>7413.4407302576001</v>
      </c>
      <c r="M78" s="131">
        <f t="shared" si="49"/>
        <v>7645.9713124029013</v>
      </c>
      <c r="N78" s="131">
        <f t="shared" si="49"/>
        <v>7754.2634602013304</v>
      </c>
      <c r="O78" s="131">
        <f t="shared" si="49"/>
        <v>7765.2969862488908</v>
      </c>
      <c r="P78" s="131">
        <f t="shared" si="49"/>
        <v>7802.2938666276459</v>
      </c>
      <c r="Q78" s="131">
        <f t="shared" si="49"/>
        <v>8014.6970718224156</v>
      </c>
      <c r="R78" s="131">
        <f t="shared" si="49"/>
        <v>8014.6970718224156</v>
      </c>
      <c r="S78" s="131">
        <f t="shared" si="49"/>
        <v>8014.6970718224156</v>
      </c>
      <c r="T78" s="131">
        <f t="shared" si="49"/>
        <v>8014.6970718224156</v>
      </c>
      <c r="U78" s="131">
        <f t="shared" si="49"/>
        <v>8014.6970718224156</v>
      </c>
      <c r="V78" s="131">
        <f t="shared" si="49"/>
        <v>8014.6970718224156</v>
      </c>
      <c r="W78" s="131">
        <f t="shared" si="49"/>
        <v>8014.6970718224156</v>
      </c>
      <c r="X78" s="131">
        <f t="shared" si="49"/>
        <v>8014.6970718224156</v>
      </c>
      <c r="Y78" s="131">
        <f t="shared" si="49"/>
        <v>8014.6970718224156</v>
      </c>
      <c r="Z78" s="131">
        <f t="shared" si="49"/>
        <v>8014.6970718224156</v>
      </c>
      <c r="AA78" s="131">
        <f t="shared" si="49"/>
        <v>8014.6970718224156</v>
      </c>
      <c r="AB78" s="131">
        <f t="shared" si="50"/>
        <v>8014.6970718224156</v>
      </c>
      <c r="AC78" s="131">
        <f t="shared" si="50"/>
        <v>8014.6970718224156</v>
      </c>
      <c r="AD78" s="131">
        <f t="shared" si="50"/>
        <v>8014.6970718224156</v>
      </c>
      <c r="AE78" s="131">
        <f t="shared" si="50"/>
        <v>8014.6970718224156</v>
      </c>
      <c r="AF78" s="131">
        <f t="shared" si="50"/>
        <v>8014.6970718224156</v>
      </c>
      <c r="AG78" s="131">
        <f t="shared" si="50"/>
        <v>8014.6970718224156</v>
      </c>
      <c r="AH78" s="131">
        <f t="shared" si="50"/>
        <v>8014.6970718224156</v>
      </c>
    </row>
    <row r="79" spans="1:34" x14ac:dyDescent="0.25">
      <c r="E79" s="119">
        <f t="shared" ref="E79:W79" si="52">SUM(E73:E78)</f>
        <v>79602.640315666635</v>
      </c>
      <c r="F79" s="119">
        <f t="shared" si="52"/>
        <v>82461.010655499995</v>
      </c>
      <c r="G79" s="119">
        <f t="shared" si="52"/>
        <v>86927.197599333318</v>
      </c>
      <c r="H79" s="119">
        <f t="shared" si="52"/>
        <v>90848.984011333305</v>
      </c>
      <c r="I79" s="119">
        <f t="shared" si="52"/>
        <v>94060.081256249978</v>
      </c>
      <c r="J79" s="119">
        <f t="shared" si="52"/>
        <v>96940.537847833315</v>
      </c>
      <c r="K79" s="119">
        <f t="shared" si="52"/>
        <v>101368.66193516664</v>
      </c>
      <c r="L79" s="119">
        <f t="shared" si="52"/>
        <v>81720.30785267349</v>
      </c>
      <c r="M79" s="119">
        <f t="shared" si="52"/>
        <v>82505.240241919135</v>
      </c>
      <c r="N79" s="119">
        <f t="shared" si="52"/>
        <v>82652.537729496951</v>
      </c>
      <c r="O79" s="119">
        <f t="shared" si="52"/>
        <v>85181.899438099077</v>
      </c>
      <c r="P79" s="119">
        <f t="shared" si="52"/>
        <v>87973.089132595298</v>
      </c>
      <c r="Q79" s="119">
        <f t="shared" si="52"/>
        <v>97482.007001783801</v>
      </c>
      <c r="R79" s="119">
        <f t="shared" si="52"/>
        <v>97482.007001783801</v>
      </c>
      <c r="S79" s="119">
        <f t="shared" si="52"/>
        <v>97482.007001783801</v>
      </c>
      <c r="T79" s="119">
        <f t="shared" si="52"/>
        <v>97482.007001783801</v>
      </c>
      <c r="U79" s="119">
        <f t="shared" si="52"/>
        <v>97482.007001783801</v>
      </c>
      <c r="V79" s="119">
        <f t="shared" si="52"/>
        <v>97482.007001783801</v>
      </c>
      <c r="W79" s="119">
        <f t="shared" si="52"/>
        <v>97482.007001783801</v>
      </c>
      <c r="X79" s="119">
        <f t="shared" ref="X79:AH79" si="53">SUM(X73:X78)</f>
        <v>97482.007001783801</v>
      </c>
      <c r="Y79" s="119">
        <f t="shared" si="53"/>
        <v>97687.802193811571</v>
      </c>
      <c r="Z79" s="119">
        <f t="shared" si="53"/>
        <v>98513.563987680158</v>
      </c>
      <c r="AA79" s="119">
        <f t="shared" si="53"/>
        <v>99293.977723806427</v>
      </c>
      <c r="AB79" s="119">
        <f t="shared" si="53"/>
        <v>100281.3905446899</v>
      </c>
      <c r="AC79" s="119">
        <f t="shared" si="53"/>
        <v>104477.18597923026</v>
      </c>
      <c r="AD79" s="119">
        <f t="shared" si="53"/>
        <v>106733.64667648957</v>
      </c>
      <c r="AE79" s="119">
        <f t="shared" si="53"/>
        <v>110746.59713855405</v>
      </c>
      <c r="AF79" s="119">
        <f t="shared" si="53"/>
        <v>112451.16167205828</v>
      </c>
      <c r="AG79" s="119">
        <f t="shared" si="53"/>
        <v>123629.42232361293</v>
      </c>
      <c r="AH79" s="119">
        <f t="shared" si="53"/>
        <v>125519.04190437387</v>
      </c>
    </row>
    <row r="80" spans="1:34" x14ac:dyDescent="0.25">
      <c r="A80" s="75" t="s">
        <v>205</v>
      </c>
      <c r="D80" s="78"/>
      <c r="E80" s="115">
        <f>SUM($E79:E79)</f>
        <v>79602.640315666635</v>
      </c>
      <c r="F80" s="115">
        <f>SUM($E79:F79)</f>
        <v>162063.65097116661</v>
      </c>
      <c r="G80" s="115">
        <f>SUM($E79:G79)</f>
        <v>248990.84857049992</v>
      </c>
      <c r="H80" s="115">
        <f>SUM($E79:H79)</f>
        <v>339839.83258183324</v>
      </c>
      <c r="I80" s="115">
        <f>SUM($E79:I79)</f>
        <v>433899.91383808322</v>
      </c>
      <c r="J80" s="115">
        <f>SUM($E79:J79)</f>
        <v>530840.45168591652</v>
      </c>
      <c r="K80" s="115">
        <f>SUM($E79:K79)</f>
        <v>632209.1136210832</v>
      </c>
      <c r="L80" s="115">
        <f>SUM($E79:L79)</f>
        <v>713929.42147375667</v>
      </c>
      <c r="M80" s="115">
        <f>SUM($E79:M79)</f>
        <v>796434.66171567584</v>
      </c>
      <c r="N80" s="115">
        <f>SUM($E79:N79)</f>
        <v>879087.1994451728</v>
      </c>
      <c r="O80" s="115">
        <f>SUM($E79:O79)</f>
        <v>964269.09888327192</v>
      </c>
      <c r="P80" s="115">
        <f>SUM($E79:P79)</f>
        <v>1052242.1880158673</v>
      </c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</row>
    <row r="82" spans="1:34" x14ac:dyDescent="0.25">
      <c r="A82" s="17" t="s">
        <v>104</v>
      </c>
      <c r="B82" s="177" t="s">
        <v>94</v>
      </c>
      <c r="C82" s="177"/>
      <c r="D82" s="177"/>
      <c r="E82" s="74" t="str">
        <f t="shared" ref="E82:AH82" si="54">E$5</f>
        <v>Actual</v>
      </c>
      <c r="F82" s="74" t="str">
        <f t="shared" si="54"/>
        <v>Actual</v>
      </c>
      <c r="G82" s="74" t="str">
        <f t="shared" si="54"/>
        <v>Actual</v>
      </c>
      <c r="H82" s="74" t="str">
        <f t="shared" si="54"/>
        <v>Actual</v>
      </c>
      <c r="I82" s="74" t="str">
        <f t="shared" si="54"/>
        <v>Actual</v>
      </c>
      <c r="J82" s="74" t="str">
        <f t="shared" si="54"/>
        <v>Actual</v>
      </c>
      <c r="K82" s="74" t="str">
        <f t="shared" si="54"/>
        <v>Actual</v>
      </c>
      <c r="L82" s="74" t="str">
        <f t="shared" si="54"/>
        <v>Actual</v>
      </c>
      <c r="M82" s="74" t="str">
        <f t="shared" si="54"/>
        <v>Actual</v>
      </c>
      <c r="N82" s="74" t="str">
        <f t="shared" si="54"/>
        <v>Actual</v>
      </c>
      <c r="O82" s="74" t="str">
        <f t="shared" si="54"/>
        <v>Actual</v>
      </c>
      <c r="P82" s="74" t="str">
        <f t="shared" si="54"/>
        <v>Actual</v>
      </c>
      <c r="Q82" s="74" t="str">
        <f t="shared" si="54"/>
        <v>Forecasted</v>
      </c>
      <c r="R82" s="74" t="str">
        <f t="shared" si="54"/>
        <v>Forecasted</v>
      </c>
      <c r="S82" s="74" t="str">
        <f t="shared" si="54"/>
        <v>Forecasted</v>
      </c>
      <c r="T82" s="74" t="str">
        <f t="shared" si="54"/>
        <v>Forecasted</v>
      </c>
      <c r="U82" s="74" t="str">
        <f t="shared" si="54"/>
        <v>Forecasted</v>
      </c>
      <c r="V82" s="74" t="str">
        <f t="shared" si="54"/>
        <v>Forecasted</v>
      </c>
      <c r="W82" s="74" t="str">
        <f t="shared" si="54"/>
        <v>Forecasted</v>
      </c>
      <c r="X82" s="74" t="str">
        <f t="shared" si="54"/>
        <v>Forecasted</v>
      </c>
      <c r="Y82" s="74" t="str">
        <f t="shared" si="54"/>
        <v>Forecasted</v>
      </c>
      <c r="Z82" s="74" t="str">
        <f t="shared" si="54"/>
        <v>Forecasted</v>
      </c>
      <c r="AA82" s="74" t="str">
        <f t="shared" si="54"/>
        <v>Forecasted</v>
      </c>
      <c r="AB82" s="74" t="str">
        <f t="shared" si="54"/>
        <v>Forecasted</v>
      </c>
      <c r="AC82" s="74" t="str">
        <f t="shared" si="54"/>
        <v>Forecasted</v>
      </c>
      <c r="AD82" s="74" t="str">
        <f t="shared" si="54"/>
        <v>Forecasted</v>
      </c>
      <c r="AE82" s="74" t="str">
        <f t="shared" si="54"/>
        <v>Forecasted</v>
      </c>
      <c r="AF82" s="74" t="str">
        <f t="shared" si="54"/>
        <v>Forecasted</v>
      </c>
      <c r="AG82" s="74" t="str">
        <f t="shared" si="54"/>
        <v>Forecasted</v>
      </c>
      <c r="AH82" s="74" t="str">
        <f t="shared" si="54"/>
        <v>Forecasted</v>
      </c>
    </row>
    <row r="83" spans="1:34" x14ac:dyDescent="0.25">
      <c r="B83" s="74" t="s">
        <v>2</v>
      </c>
      <c r="C83" s="74" t="s">
        <v>95</v>
      </c>
      <c r="D83" s="74" t="s">
        <v>96</v>
      </c>
      <c r="E83" s="99">
        <f t="shared" ref="E83:AH83" si="55">E$6</f>
        <v>45138</v>
      </c>
      <c r="F83" s="99">
        <f t="shared" si="55"/>
        <v>45169</v>
      </c>
      <c r="G83" s="99">
        <f t="shared" si="55"/>
        <v>45199</v>
      </c>
      <c r="H83" s="99">
        <f t="shared" si="55"/>
        <v>45230</v>
      </c>
      <c r="I83" s="99">
        <f t="shared" si="55"/>
        <v>45260</v>
      </c>
      <c r="J83" s="99">
        <f t="shared" si="55"/>
        <v>45291</v>
      </c>
      <c r="K83" s="99">
        <f t="shared" si="55"/>
        <v>45322</v>
      </c>
      <c r="L83" s="99">
        <f t="shared" si="55"/>
        <v>45351</v>
      </c>
      <c r="M83" s="99">
        <f t="shared" si="55"/>
        <v>45382</v>
      </c>
      <c r="N83" s="99">
        <f t="shared" si="55"/>
        <v>45412</v>
      </c>
      <c r="O83" s="99">
        <f t="shared" si="55"/>
        <v>45443</v>
      </c>
      <c r="P83" s="99">
        <f t="shared" si="55"/>
        <v>45473</v>
      </c>
      <c r="Q83" s="99">
        <f t="shared" si="55"/>
        <v>45504</v>
      </c>
      <c r="R83" s="99">
        <f t="shared" si="55"/>
        <v>45535</v>
      </c>
      <c r="S83" s="99">
        <f t="shared" si="55"/>
        <v>45565</v>
      </c>
      <c r="T83" s="99">
        <f t="shared" si="55"/>
        <v>45596</v>
      </c>
      <c r="U83" s="99">
        <f t="shared" si="55"/>
        <v>45626</v>
      </c>
      <c r="V83" s="99">
        <f t="shared" si="55"/>
        <v>45657</v>
      </c>
      <c r="W83" s="99">
        <f t="shared" si="55"/>
        <v>45688</v>
      </c>
      <c r="X83" s="99">
        <f t="shared" si="55"/>
        <v>45716</v>
      </c>
      <c r="Y83" s="99">
        <f t="shared" si="55"/>
        <v>45747</v>
      </c>
      <c r="Z83" s="99">
        <f t="shared" si="55"/>
        <v>45777</v>
      </c>
      <c r="AA83" s="99">
        <f t="shared" si="55"/>
        <v>45808</v>
      </c>
      <c r="AB83" s="99">
        <f t="shared" si="55"/>
        <v>45838</v>
      </c>
      <c r="AC83" s="99">
        <f t="shared" si="55"/>
        <v>45869</v>
      </c>
      <c r="AD83" s="99">
        <f t="shared" si="55"/>
        <v>45900</v>
      </c>
      <c r="AE83" s="99">
        <f t="shared" si="55"/>
        <v>45930</v>
      </c>
      <c r="AF83" s="99">
        <f t="shared" si="55"/>
        <v>45961</v>
      </c>
      <c r="AG83" s="99">
        <f t="shared" si="55"/>
        <v>45991</v>
      </c>
      <c r="AH83" s="99">
        <f t="shared" si="55"/>
        <v>46022</v>
      </c>
    </row>
    <row r="84" spans="1:34" x14ac:dyDescent="0.25">
      <c r="A84" s="75" t="s">
        <v>86</v>
      </c>
      <c r="B84" s="100">
        <v>1.43E-2</v>
      </c>
      <c r="C84" s="100">
        <v>1.4E-2</v>
      </c>
      <c r="D84" s="100">
        <v>1.4E-2</v>
      </c>
      <c r="E84" s="118">
        <f>$B62*$D84/12</f>
        <v>44900.42838613558</v>
      </c>
      <c r="F84" s="118">
        <f t="shared" ref="F84:J84" si="56">$B62*$D84/12</f>
        <v>44900.42838613558</v>
      </c>
      <c r="G84" s="118">
        <f t="shared" si="56"/>
        <v>44900.42838613558</v>
      </c>
      <c r="H84" s="118">
        <f t="shared" si="56"/>
        <v>44900.42838613558</v>
      </c>
      <c r="I84" s="118">
        <f t="shared" si="56"/>
        <v>44900.42838613558</v>
      </c>
      <c r="J84" s="118">
        <f t="shared" si="56"/>
        <v>44900.42838613558</v>
      </c>
      <c r="K84" s="116">
        <f>$J62*$D84/12</f>
        <v>69340.535986553979</v>
      </c>
      <c r="L84" s="116">
        <f>$J62*$D84/12</f>
        <v>69340.535986553979</v>
      </c>
      <c r="M84" s="116">
        <f t="shared" ref="L84:V89" si="57">$J62*$D84/12</f>
        <v>69340.535986553979</v>
      </c>
      <c r="N84" s="116">
        <f t="shared" si="57"/>
        <v>69340.535986553979</v>
      </c>
      <c r="O84" s="116">
        <f t="shared" si="57"/>
        <v>69340.535986553979</v>
      </c>
      <c r="P84" s="116">
        <f t="shared" si="57"/>
        <v>69340.535986553979</v>
      </c>
      <c r="Q84" s="116">
        <f t="shared" si="57"/>
        <v>69340.535986553979</v>
      </c>
      <c r="R84" s="116">
        <f t="shared" si="57"/>
        <v>69340.535986553979</v>
      </c>
      <c r="S84" s="116">
        <f t="shared" si="57"/>
        <v>69340.535986553979</v>
      </c>
      <c r="T84" s="116">
        <f t="shared" si="57"/>
        <v>69340.535986553979</v>
      </c>
      <c r="U84" s="116">
        <f t="shared" si="57"/>
        <v>69340.535986553979</v>
      </c>
      <c r="V84" s="116">
        <f t="shared" si="57"/>
        <v>69340.535986553979</v>
      </c>
      <c r="W84" s="116">
        <f t="shared" ref="W84:AH89" si="58">$V62*$D84/12</f>
        <v>84827.917883761751</v>
      </c>
      <c r="X84" s="116">
        <f t="shared" si="58"/>
        <v>84827.917883761751</v>
      </c>
      <c r="Y84" s="116">
        <f t="shared" si="58"/>
        <v>84827.917883761751</v>
      </c>
      <c r="Z84" s="116">
        <f t="shared" si="58"/>
        <v>84827.917883761751</v>
      </c>
      <c r="AA84" s="116">
        <f t="shared" si="58"/>
        <v>84827.917883761751</v>
      </c>
      <c r="AB84" s="116">
        <f t="shared" si="58"/>
        <v>84827.917883761751</v>
      </c>
      <c r="AC84" s="116">
        <f t="shared" si="58"/>
        <v>84827.917883761751</v>
      </c>
      <c r="AD84" s="116">
        <f t="shared" si="58"/>
        <v>84827.917883761751</v>
      </c>
      <c r="AE84" s="116">
        <f t="shared" si="58"/>
        <v>84827.917883761751</v>
      </c>
      <c r="AF84" s="116">
        <f t="shared" si="58"/>
        <v>84827.917883761751</v>
      </c>
      <c r="AG84" s="116">
        <f t="shared" si="58"/>
        <v>84827.917883761751</v>
      </c>
      <c r="AH84" s="116">
        <f t="shared" si="58"/>
        <v>84827.917883761751</v>
      </c>
    </row>
    <row r="85" spans="1:34" x14ac:dyDescent="0.25">
      <c r="A85" s="75" t="s">
        <v>87</v>
      </c>
      <c r="B85" s="100">
        <v>1.43E-2</v>
      </c>
      <c r="C85" s="100">
        <v>1.4E-2</v>
      </c>
      <c r="D85" s="100">
        <v>1.4E-2</v>
      </c>
      <c r="E85" s="130">
        <f t="shared" ref="E85:J85" si="59">$B63*$D85/12</f>
        <v>981.81956153633337</v>
      </c>
      <c r="F85" s="130">
        <f t="shared" si="59"/>
        <v>981.81956153633337</v>
      </c>
      <c r="G85" s="130">
        <f t="shared" si="59"/>
        <v>981.81956153633337</v>
      </c>
      <c r="H85" s="130">
        <f t="shared" si="59"/>
        <v>981.81956153633337</v>
      </c>
      <c r="I85" s="130">
        <f t="shared" si="59"/>
        <v>981.81956153633337</v>
      </c>
      <c r="J85" s="130">
        <f t="shared" si="59"/>
        <v>981.81956153633337</v>
      </c>
      <c r="K85" s="129">
        <f t="shared" ref="K85:K89" si="60">$J63*$D85/12</f>
        <v>5460.1943161196677</v>
      </c>
      <c r="L85" s="129">
        <f t="shared" si="57"/>
        <v>5460.1943161196677</v>
      </c>
      <c r="M85" s="129">
        <f t="shared" si="57"/>
        <v>5460.1943161196677</v>
      </c>
      <c r="N85" s="129">
        <f t="shared" si="57"/>
        <v>5460.1943161196677</v>
      </c>
      <c r="O85" s="129">
        <f t="shared" si="57"/>
        <v>5460.1943161196677</v>
      </c>
      <c r="P85" s="129">
        <f t="shared" si="57"/>
        <v>5460.1943161196677</v>
      </c>
      <c r="Q85" s="129">
        <f t="shared" si="57"/>
        <v>5460.1943161196677</v>
      </c>
      <c r="R85" s="129">
        <f t="shared" si="57"/>
        <v>5460.1943161196677</v>
      </c>
      <c r="S85" s="129">
        <f t="shared" si="57"/>
        <v>5460.1943161196677</v>
      </c>
      <c r="T85" s="129">
        <f t="shared" si="57"/>
        <v>5460.1943161196677</v>
      </c>
      <c r="U85" s="129">
        <f t="shared" si="57"/>
        <v>5460.1943161196677</v>
      </c>
      <c r="V85" s="129">
        <f t="shared" si="57"/>
        <v>5460.1943161196677</v>
      </c>
      <c r="W85" s="129">
        <f t="shared" si="58"/>
        <v>6932.4782723602975</v>
      </c>
      <c r="X85" s="129">
        <f t="shared" si="58"/>
        <v>6932.4782723602975</v>
      </c>
      <c r="Y85" s="129">
        <f t="shared" si="58"/>
        <v>6932.4782723602975</v>
      </c>
      <c r="Z85" s="129">
        <f t="shared" si="58"/>
        <v>6932.4782723602975</v>
      </c>
      <c r="AA85" s="129">
        <f t="shared" si="58"/>
        <v>6932.4782723602975</v>
      </c>
      <c r="AB85" s="129">
        <f t="shared" si="58"/>
        <v>6932.4782723602975</v>
      </c>
      <c r="AC85" s="129">
        <f t="shared" si="58"/>
        <v>6932.4782723602975</v>
      </c>
      <c r="AD85" s="129">
        <f t="shared" si="58"/>
        <v>6932.4782723602975</v>
      </c>
      <c r="AE85" s="129">
        <f t="shared" si="58"/>
        <v>6932.4782723602975</v>
      </c>
      <c r="AF85" s="129">
        <f t="shared" si="58"/>
        <v>6932.4782723602975</v>
      </c>
      <c r="AG85" s="129">
        <f t="shared" si="58"/>
        <v>6932.4782723602975</v>
      </c>
      <c r="AH85" s="129">
        <f t="shared" si="58"/>
        <v>6932.4782723602975</v>
      </c>
    </row>
    <row r="86" spans="1:34" x14ac:dyDescent="0.25">
      <c r="A86" s="75" t="s">
        <v>88</v>
      </c>
      <c r="B86" s="100">
        <v>1.43E-2</v>
      </c>
      <c r="C86" s="100">
        <v>1.4E-2</v>
      </c>
      <c r="D86" s="100">
        <v>1.4E-2</v>
      </c>
      <c r="E86" s="130">
        <f t="shared" ref="E86:J86" si="61">$B64*$D86/12</f>
        <v>147.46760618333334</v>
      </c>
      <c r="F86" s="130">
        <f t="shared" si="61"/>
        <v>147.46760618333334</v>
      </c>
      <c r="G86" s="130">
        <f t="shared" si="61"/>
        <v>147.46760618333334</v>
      </c>
      <c r="H86" s="130">
        <f t="shared" si="61"/>
        <v>147.46760618333334</v>
      </c>
      <c r="I86" s="130">
        <f t="shared" si="61"/>
        <v>147.46760618333334</v>
      </c>
      <c r="J86" s="130">
        <f t="shared" si="61"/>
        <v>147.46760618333334</v>
      </c>
      <c r="K86" s="129">
        <f t="shared" si="60"/>
        <v>457.89985285138891</v>
      </c>
      <c r="L86" s="129">
        <f t="shared" si="57"/>
        <v>457.89985285138891</v>
      </c>
      <c r="M86" s="129">
        <f t="shared" si="57"/>
        <v>457.89985285138891</v>
      </c>
      <c r="N86" s="129">
        <f t="shared" si="57"/>
        <v>457.89985285138891</v>
      </c>
      <c r="O86" s="129">
        <f t="shared" si="57"/>
        <v>457.89985285138891</v>
      </c>
      <c r="P86" s="129">
        <f t="shared" si="57"/>
        <v>457.89985285138891</v>
      </c>
      <c r="Q86" s="129">
        <f t="shared" si="57"/>
        <v>457.89985285138891</v>
      </c>
      <c r="R86" s="129">
        <f t="shared" si="57"/>
        <v>457.89985285138891</v>
      </c>
      <c r="S86" s="129">
        <f t="shared" si="57"/>
        <v>457.89985285138891</v>
      </c>
      <c r="T86" s="129">
        <f t="shared" si="57"/>
        <v>457.89985285138891</v>
      </c>
      <c r="U86" s="129">
        <f t="shared" si="57"/>
        <v>457.89985285138891</v>
      </c>
      <c r="V86" s="129">
        <f t="shared" si="57"/>
        <v>457.89985285138891</v>
      </c>
      <c r="W86" s="129">
        <f t="shared" si="58"/>
        <v>744.24238072443711</v>
      </c>
      <c r="X86" s="129">
        <f t="shared" si="58"/>
        <v>744.24238072443711</v>
      </c>
      <c r="Y86" s="129">
        <f t="shared" si="58"/>
        <v>744.24238072443711</v>
      </c>
      <c r="Z86" s="129">
        <f t="shared" si="58"/>
        <v>744.24238072443711</v>
      </c>
      <c r="AA86" s="129">
        <f t="shared" si="58"/>
        <v>744.24238072443711</v>
      </c>
      <c r="AB86" s="129">
        <f t="shared" si="58"/>
        <v>744.24238072443711</v>
      </c>
      <c r="AC86" s="129">
        <f t="shared" si="58"/>
        <v>744.24238072443711</v>
      </c>
      <c r="AD86" s="129">
        <f t="shared" si="58"/>
        <v>744.24238072443711</v>
      </c>
      <c r="AE86" s="129">
        <f t="shared" si="58"/>
        <v>744.24238072443711</v>
      </c>
      <c r="AF86" s="129">
        <f t="shared" si="58"/>
        <v>744.24238072443711</v>
      </c>
      <c r="AG86" s="129">
        <f t="shared" si="58"/>
        <v>744.24238072443711</v>
      </c>
      <c r="AH86" s="129">
        <f t="shared" si="58"/>
        <v>744.24238072443711</v>
      </c>
    </row>
    <row r="87" spans="1:34" x14ac:dyDescent="0.25">
      <c r="A87" s="75" t="s">
        <v>89</v>
      </c>
      <c r="B87" s="100">
        <v>1.43E-2</v>
      </c>
      <c r="C87" s="100">
        <v>1.4E-2</v>
      </c>
      <c r="D87" s="100">
        <v>1.4E-2</v>
      </c>
      <c r="E87" s="130">
        <f t="shared" ref="E87:J87" si="62">$B65*$D87/12</f>
        <v>314.07801400091665</v>
      </c>
      <c r="F87" s="130">
        <f t="shared" si="62"/>
        <v>314.07801400091665</v>
      </c>
      <c r="G87" s="130">
        <f t="shared" si="62"/>
        <v>314.07801400091665</v>
      </c>
      <c r="H87" s="130">
        <f t="shared" si="62"/>
        <v>314.07801400091665</v>
      </c>
      <c r="I87" s="130">
        <f t="shared" si="62"/>
        <v>314.07801400091665</v>
      </c>
      <c r="J87" s="130">
        <f t="shared" si="62"/>
        <v>314.07801400091665</v>
      </c>
      <c r="K87" s="129">
        <f t="shared" si="60"/>
        <v>1674.9643445898607</v>
      </c>
      <c r="L87" s="129">
        <f t="shared" si="57"/>
        <v>1674.9643445898607</v>
      </c>
      <c r="M87" s="129">
        <f t="shared" si="57"/>
        <v>1674.9643445898607</v>
      </c>
      <c r="N87" s="129">
        <f t="shared" si="57"/>
        <v>1674.9643445898607</v>
      </c>
      <c r="O87" s="129">
        <f t="shared" si="57"/>
        <v>1674.9643445898607</v>
      </c>
      <c r="P87" s="129">
        <f t="shared" si="57"/>
        <v>1674.9643445898607</v>
      </c>
      <c r="Q87" s="129">
        <f t="shared" si="57"/>
        <v>1674.9643445898607</v>
      </c>
      <c r="R87" s="129">
        <f t="shared" si="57"/>
        <v>1674.9643445898607</v>
      </c>
      <c r="S87" s="129">
        <f t="shared" si="57"/>
        <v>1674.9643445898607</v>
      </c>
      <c r="T87" s="129">
        <f t="shared" si="57"/>
        <v>1674.9643445898607</v>
      </c>
      <c r="U87" s="129">
        <f t="shared" si="57"/>
        <v>1674.9643445898607</v>
      </c>
      <c r="V87" s="129">
        <f t="shared" si="57"/>
        <v>1674.9643445898607</v>
      </c>
      <c r="W87" s="129">
        <f t="shared" si="58"/>
        <v>2049.6355049547728</v>
      </c>
      <c r="X87" s="129">
        <f t="shared" si="58"/>
        <v>2049.6355049547728</v>
      </c>
      <c r="Y87" s="129">
        <f t="shared" si="58"/>
        <v>2049.6355049547728</v>
      </c>
      <c r="Z87" s="129">
        <f t="shared" si="58"/>
        <v>2049.6355049547728</v>
      </c>
      <c r="AA87" s="129">
        <f t="shared" si="58"/>
        <v>2049.6355049547728</v>
      </c>
      <c r="AB87" s="129">
        <f t="shared" si="58"/>
        <v>2049.6355049547728</v>
      </c>
      <c r="AC87" s="129">
        <f t="shared" si="58"/>
        <v>2049.6355049547728</v>
      </c>
      <c r="AD87" s="129">
        <f t="shared" si="58"/>
        <v>2049.6355049547728</v>
      </c>
      <c r="AE87" s="129">
        <f t="shared" si="58"/>
        <v>2049.6355049547728</v>
      </c>
      <c r="AF87" s="129">
        <f t="shared" si="58"/>
        <v>2049.6355049547728</v>
      </c>
      <c r="AG87" s="129">
        <f t="shared" si="58"/>
        <v>2049.6355049547728</v>
      </c>
      <c r="AH87" s="129">
        <f t="shared" si="58"/>
        <v>2049.6355049547728</v>
      </c>
    </row>
    <row r="88" spans="1:34" x14ac:dyDescent="0.25">
      <c r="A88" s="75" t="s">
        <v>90</v>
      </c>
      <c r="B88" s="100">
        <v>1.43E-2</v>
      </c>
      <c r="C88" s="100">
        <v>1.4E-2</v>
      </c>
      <c r="D88" s="100">
        <v>1.4E-2</v>
      </c>
      <c r="E88" s="130">
        <f t="shared" ref="E88:J88" si="63">$B66*$D88/12</f>
        <v>106.54693788491669</v>
      </c>
      <c r="F88" s="130">
        <f t="shared" si="63"/>
        <v>106.54693788491669</v>
      </c>
      <c r="G88" s="130">
        <f t="shared" si="63"/>
        <v>106.54693788491669</v>
      </c>
      <c r="H88" s="130">
        <f t="shared" si="63"/>
        <v>106.54693788491669</v>
      </c>
      <c r="I88" s="130">
        <f t="shared" si="63"/>
        <v>106.54693788491669</v>
      </c>
      <c r="J88" s="130">
        <f t="shared" si="63"/>
        <v>106.54693788491669</v>
      </c>
      <c r="K88" s="129">
        <f t="shared" si="60"/>
        <v>134.3318746256667</v>
      </c>
      <c r="L88" s="129">
        <f t="shared" si="57"/>
        <v>134.3318746256667</v>
      </c>
      <c r="M88" s="129">
        <f t="shared" si="57"/>
        <v>134.3318746256667</v>
      </c>
      <c r="N88" s="129">
        <f t="shared" si="57"/>
        <v>134.3318746256667</v>
      </c>
      <c r="O88" s="129">
        <f t="shared" si="57"/>
        <v>134.3318746256667</v>
      </c>
      <c r="P88" s="129">
        <f t="shared" si="57"/>
        <v>134.3318746256667</v>
      </c>
      <c r="Q88" s="129">
        <f t="shared" si="57"/>
        <v>134.3318746256667</v>
      </c>
      <c r="R88" s="129">
        <f t="shared" si="57"/>
        <v>134.3318746256667</v>
      </c>
      <c r="S88" s="129">
        <f t="shared" si="57"/>
        <v>134.3318746256667</v>
      </c>
      <c r="T88" s="129">
        <f t="shared" si="57"/>
        <v>134.3318746256667</v>
      </c>
      <c r="U88" s="129">
        <f t="shared" si="57"/>
        <v>134.3318746256667</v>
      </c>
      <c r="V88" s="129">
        <f t="shared" si="57"/>
        <v>134.3318746256667</v>
      </c>
      <c r="W88" s="129">
        <f t="shared" si="58"/>
        <v>168.59272735709098</v>
      </c>
      <c r="X88" s="129">
        <f t="shared" si="58"/>
        <v>168.59272735709098</v>
      </c>
      <c r="Y88" s="129">
        <f t="shared" si="58"/>
        <v>168.59272735709098</v>
      </c>
      <c r="Z88" s="129">
        <f t="shared" si="58"/>
        <v>168.59272735709098</v>
      </c>
      <c r="AA88" s="129">
        <f t="shared" si="58"/>
        <v>168.59272735709098</v>
      </c>
      <c r="AB88" s="129">
        <f t="shared" si="58"/>
        <v>168.59272735709098</v>
      </c>
      <c r="AC88" s="129">
        <f t="shared" si="58"/>
        <v>168.59272735709098</v>
      </c>
      <c r="AD88" s="129">
        <f t="shared" si="58"/>
        <v>168.59272735709098</v>
      </c>
      <c r="AE88" s="129">
        <f t="shared" si="58"/>
        <v>168.59272735709098</v>
      </c>
      <c r="AF88" s="129">
        <f t="shared" si="58"/>
        <v>168.59272735709098</v>
      </c>
      <c r="AG88" s="129">
        <f t="shared" si="58"/>
        <v>168.59272735709098</v>
      </c>
      <c r="AH88" s="129">
        <f t="shared" si="58"/>
        <v>168.59272735709098</v>
      </c>
    </row>
    <row r="89" spans="1:34" x14ac:dyDescent="0.25">
      <c r="A89" s="75" t="s">
        <v>91</v>
      </c>
      <c r="B89" s="100">
        <v>1.43E-2</v>
      </c>
      <c r="C89" s="100">
        <v>1.4E-2</v>
      </c>
      <c r="D89" s="100">
        <v>1.4E-2</v>
      </c>
      <c r="E89" s="130">
        <f t="shared" ref="E89:J89" si="64">$B67*$D89/12</f>
        <v>4027.8474209574997</v>
      </c>
      <c r="F89" s="130">
        <f t="shared" si="64"/>
        <v>4027.8474209574997</v>
      </c>
      <c r="G89" s="130">
        <f t="shared" si="64"/>
        <v>4027.8474209574997</v>
      </c>
      <c r="H89" s="130">
        <f t="shared" si="64"/>
        <v>4027.8474209574997</v>
      </c>
      <c r="I89" s="130">
        <f t="shared" si="64"/>
        <v>4027.8474209574997</v>
      </c>
      <c r="J89" s="130">
        <f t="shared" si="64"/>
        <v>4027.8474209574997</v>
      </c>
      <c r="K89" s="129">
        <f t="shared" si="60"/>
        <v>7422.4503056195144</v>
      </c>
      <c r="L89" s="129">
        <f t="shared" si="57"/>
        <v>7422.4503056195144</v>
      </c>
      <c r="M89" s="129">
        <f t="shared" si="57"/>
        <v>7422.4503056195144</v>
      </c>
      <c r="N89" s="129">
        <f t="shared" si="57"/>
        <v>7422.4503056195144</v>
      </c>
      <c r="O89" s="129">
        <f t="shared" si="57"/>
        <v>7422.4503056195144</v>
      </c>
      <c r="P89" s="129">
        <f t="shared" si="57"/>
        <v>7422.4503056195144</v>
      </c>
      <c r="Q89" s="129">
        <f t="shared" si="57"/>
        <v>7422.4503056195144</v>
      </c>
      <c r="R89" s="129">
        <f t="shared" si="57"/>
        <v>7422.4503056195144</v>
      </c>
      <c r="S89" s="129">
        <f t="shared" si="57"/>
        <v>7422.4503056195144</v>
      </c>
      <c r="T89" s="129">
        <f t="shared" si="57"/>
        <v>7422.4503056195144</v>
      </c>
      <c r="U89" s="129">
        <f t="shared" si="57"/>
        <v>7422.4503056195144</v>
      </c>
      <c r="V89" s="129">
        <f t="shared" si="57"/>
        <v>7422.4503056195144</v>
      </c>
      <c r="W89" s="129">
        <f t="shared" si="58"/>
        <v>8331.8249831376324</v>
      </c>
      <c r="X89" s="129">
        <f t="shared" si="58"/>
        <v>8331.8249831376324</v>
      </c>
      <c r="Y89" s="129">
        <f t="shared" si="58"/>
        <v>8331.8249831376324</v>
      </c>
      <c r="Z89" s="129">
        <f t="shared" si="58"/>
        <v>8331.8249831376324</v>
      </c>
      <c r="AA89" s="129">
        <f t="shared" si="58"/>
        <v>8331.8249831376324</v>
      </c>
      <c r="AB89" s="129">
        <f t="shared" si="58"/>
        <v>8331.8249831376324</v>
      </c>
      <c r="AC89" s="129">
        <f t="shared" si="58"/>
        <v>8331.8249831376324</v>
      </c>
      <c r="AD89" s="129">
        <f t="shared" si="58"/>
        <v>8331.8249831376324</v>
      </c>
      <c r="AE89" s="129">
        <f t="shared" si="58"/>
        <v>8331.8249831376324</v>
      </c>
      <c r="AF89" s="129">
        <f t="shared" si="58"/>
        <v>8331.8249831376324</v>
      </c>
      <c r="AG89" s="129">
        <f t="shared" si="58"/>
        <v>8331.8249831376324</v>
      </c>
      <c r="AH89" s="129">
        <f t="shared" si="58"/>
        <v>8331.8249831376324</v>
      </c>
    </row>
    <row r="90" spans="1:34" x14ac:dyDescent="0.25">
      <c r="E90" s="119">
        <f t="shared" ref="E90:W90" si="65">SUM(E84:E89)</f>
        <v>50478.187926698578</v>
      </c>
      <c r="F90" s="119">
        <f t="shared" si="65"/>
        <v>50478.187926698578</v>
      </c>
      <c r="G90" s="119">
        <f t="shared" si="65"/>
        <v>50478.187926698578</v>
      </c>
      <c r="H90" s="119">
        <f t="shared" si="65"/>
        <v>50478.187926698578</v>
      </c>
      <c r="I90" s="119">
        <f t="shared" si="65"/>
        <v>50478.187926698578</v>
      </c>
      <c r="J90" s="119">
        <f t="shared" si="65"/>
        <v>50478.187926698578</v>
      </c>
      <c r="K90" s="119">
        <f t="shared" si="65"/>
        <v>84490.376680360074</v>
      </c>
      <c r="L90" s="119">
        <f t="shared" si="65"/>
        <v>84490.376680360074</v>
      </c>
      <c r="M90" s="119">
        <f t="shared" si="65"/>
        <v>84490.376680360074</v>
      </c>
      <c r="N90" s="119">
        <f t="shared" si="65"/>
        <v>84490.376680360074</v>
      </c>
      <c r="O90" s="119">
        <f t="shared" si="65"/>
        <v>84490.376680360074</v>
      </c>
      <c r="P90" s="119">
        <f t="shared" si="65"/>
        <v>84490.376680360074</v>
      </c>
      <c r="Q90" s="119">
        <f t="shared" si="65"/>
        <v>84490.376680360074</v>
      </c>
      <c r="R90" s="119">
        <f t="shared" si="65"/>
        <v>84490.376680360074</v>
      </c>
      <c r="S90" s="119">
        <f t="shared" si="65"/>
        <v>84490.376680360074</v>
      </c>
      <c r="T90" s="119">
        <f t="shared" si="65"/>
        <v>84490.376680360074</v>
      </c>
      <c r="U90" s="119">
        <f t="shared" si="65"/>
        <v>84490.376680360074</v>
      </c>
      <c r="V90" s="119">
        <f t="shared" si="65"/>
        <v>84490.376680360074</v>
      </c>
      <c r="W90" s="119">
        <f t="shared" si="65"/>
        <v>103054.69175229597</v>
      </c>
      <c r="X90" s="119">
        <f t="shared" ref="X90:AH90" si="66">SUM(X84:X89)</f>
        <v>103054.69175229597</v>
      </c>
      <c r="Y90" s="119">
        <f t="shared" si="66"/>
        <v>103054.69175229597</v>
      </c>
      <c r="Z90" s="119">
        <f t="shared" si="66"/>
        <v>103054.69175229597</v>
      </c>
      <c r="AA90" s="119">
        <f t="shared" si="66"/>
        <v>103054.69175229597</v>
      </c>
      <c r="AB90" s="119">
        <f t="shared" si="66"/>
        <v>103054.69175229597</v>
      </c>
      <c r="AC90" s="119">
        <f t="shared" si="66"/>
        <v>103054.69175229597</v>
      </c>
      <c r="AD90" s="119">
        <f t="shared" si="66"/>
        <v>103054.69175229597</v>
      </c>
      <c r="AE90" s="119">
        <f t="shared" si="66"/>
        <v>103054.69175229597</v>
      </c>
      <c r="AF90" s="119">
        <f t="shared" si="66"/>
        <v>103054.69175229597</v>
      </c>
      <c r="AG90" s="119">
        <f t="shared" si="66"/>
        <v>103054.69175229597</v>
      </c>
      <c r="AH90" s="119">
        <f t="shared" si="66"/>
        <v>103054.69175229597</v>
      </c>
    </row>
    <row r="92" spans="1:34" x14ac:dyDescent="0.25">
      <c r="E92" s="105"/>
      <c r="F92" s="105"/>
    </row>
    <row r="93" spans="1:34" x14ac:dyDescent="0.25">
      <c r="E93" s="105"/>
      <c r="F93" s="105"/>
      <c r="K93" s="77"/>
    </row>
    <row r="94" spans="1:34" x14ac:dyDescent="0.25">
      <c r="E94" s="105"/>
    </row>
    <row r="95" spans="1:34" x14ac:dyDescent="0.25">
      <c r="E95" s="77"/>
    </row>
    <row r="96" spans="1:34" x14ac:dyDescent="0.25">
      <c r="E96" s="105"/>
    </row>
  </sheetData>
  <mergeCells count="2">
    <mergeCell ref="B16:D16"/>
    <mergeCell ref="B82:D82"/>
  </mergeCells>
  <pageMargins left="0.7" right="0.7" top="0.75" bottom="0.75" header="0.3" footer="0.3"/>
  <pageSetup scale="35" fitToWidth="0" orientation="landscape" verticalDpi="1200" r:id="rId1"/>
  <rowBreaks count="1" manualBreakCount="1">
    <brk id="81" max="16383" man="1"/>
  </rowBreaks>
  <colBreaks count="1" manualBreakCount="1">
    <brk id="22" max="1048575" man="1"/>
  </col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A5F2B-879D-48E1-B487-0AF52103EAD5}">
  <sheetPr>
    <pageSetUpPr fitToPage="1"/>
  </sheetPr>
  <dimension ref="A1:V61"/>
  <sheetViews>
    <sheetView view="pageBreakPreview" zoomScale="90" zoomScaleNormal="90" zoomScaleSheetLayoutView="90" workbookViewId="0">
      <pane xSplit="2" ySplit="8" topLeftCell="C9" activePane="bottomRight" state="frozen"/>
      <selection activeCell="G13" sqref="G13"/>
      <selection pane="topRight" activeCell="G13" sqref="G13"/>
      <selection pane="bottomLeft" activeCell="G13" sqref="G13"/>
      <selection pane="bottomRight" activeCell="A18" sqref="A18:B22"/>
    </sheetView>
  </sheetViews>
  <sheetFormatPr defaultColWidth="14.7109375" defaultRowHeight="15" x14ac:dyDescent="0.25"/>
  <cols>
    <col min="1" max="1" width="18.85546875" customWidth="1"/>
    <col min="4" max="4" width="16.28515625" customWidth="1"/>
    <col min="6" max="6" width="6.5703125" customWidth="1"/>
    <col min="9" max="9" width="14.7109375" customWidth="1"/>
    <col min="10" max="10" width="6.5703125" customWidth="1"/>
    <col min="11" max="11" width="17" bestFit="1" customWidth="1"/>
    <col min="13" max="13" width="7.85546875" customWidth="1"/>
    <col min="16" max="16" width="7.85546875" customWidth="1"/>
    <col min="17" max="17" width="19.85546875" customWidth="1"/>
    <col min="20" max="20" width="15.28515625" bestFit="1" customWidth="1"/>
    <col min="21" max="21" width="9.28515625" bestFit="1" customWidth="1"/>
    <col min="22" max="22" width="18.5703125" bestFit="1" customWidth="1"/>
  </cols>
  <sheetData>
    <row r="1" spans="1:17" x14ac:dyDescent="0.25">
      <c r="A1" s="17" t="s">
        <v>0</v>
      </c>
    </row>
    <row r="2" spans="1:17" x14ac:dyDescent="0.25">
      <c r="A2" s="17" t="s">
        <v>159</v>
      </c>
    </row>
    <row r="3" spans="1:17" x14ac:dyDescent="0.25">
      <c r="A3" s="17" t="s">
        <v>105</v>
      </c>
    </row>
    <row r="5" spans="1:17" x14ac:dyDescent="0.25">
      <c r="A5" s="3"/>
      <c r="C5" s="4" t="s">
        <v>36</v>
      </c>
      <c r="D5" s="4" t="s">
        <v>36</v>
      </c>
      <c r="E5" s="4" t="s">
        <v>36</v>
      </c>
      <c r="G5" s="4" t="s">
        <v>37</v>
      </c>
      <c r="H5" s="4" t="s">
        <v>37</v>
      </c>
      <c r="I5" s="4" t="s">
        <v>37</v>
      </c>
      <c r="K5" s="4" t="s">
        <v>38</v>
      </c>
      <c r="L5" s="4" t="s">
        <v>38</v>
      </c>
      <c r="N5" s="4" t="s">
        <v>2</v>
      </c>
      <c r="O5" s="4" t="s">
        <v>2</v>
      </c>
      <c r="Q5" s="4" t="s">
        <v>1</v>
      </c>
    </row>
    <row r="6" spans="1:17" x14ac:dyDescent="0.25">
      <c r="C6" s="23" t="s">
        <v>106</v>
      </c>
      <c r="D6" s="23" t="s">
        <v>107</v>
      </c>
      <c r="E6" s="80" t="s">
        <v>108</v>
      </c>
      <c r="G6" s="80" t="s">
        <v>109</v>
      </c>
      <c r="H6" s="80" t="s">
        <v>110</v>
      </c>
      <c r="I6" s="80" t="s">
        <v>110</v>
      </c>
      <c r="K6" s="80" t="s">
        <v>111</v>
      </c>
      <c r="L6" s="80" t="s">
        <v>112</v>
      </c>
      <c r="N6" s="80" t="s">
        <v>113</v>
      </c>
      <c r="O6" s="80" t="s">
        <v>114</v>
      </c>
      <c r="Q6" s="17" t="s">
        <v>164</v>
      </c>
    </row>
    <row r="7" spans="1:17" x14ac:dyDescent="0.25">
      <c r="B7" s="79" t="s">
        <v>115</v>
      </c>
      <c r="C7" s="178" t="s">
        <v>116</v>
      </c>
      <c r="D7" s="179"/>
      <c r="E7" s="79" t="s">
        <v>115</v>
      </c>
      <c r="F7" s="79"/>
      <c r="G7" s="178" t="s">
        <v>116</v>
      </c>
      <c r="H7" s="180"/>
      <c r="I7" s="181"/>
      <c r="J7" s="79"/>
      <c r="K7" s="178" t="s">
        <v>116</v>
      </c>
      <c r="L7" s="179"/>
      <c r="N7" s="178" t="s">
        <v>116</v>
      </c>
      <c r="O7" s="179"/>
      <c r="Q7" s="132" t="s">
        <v>116</v>
      </c>
    </row>
    <row r="8" spans="1:17" x14ac:dyDescent="0.25">
      <c r="A8" s="4" t="s">
        <v>117</v>
      </c>
      <c r="B8" s="79" t="s">
        <v>118</v>
      </c>
      <c r="C8" s="79">
        <v>2020</v>
      </c>
      <c r="D8" s="79">
        <v>2021</v>
      </c>
      <c r="E8" s="79" t="s">
        <v>118</v>
      </c>
      <c r="F8" s="79"/>
      <c r="G8" s="79">
        <v>2021</v>
      </c>
      <c r="H8" s="79">
        <v>2022</v>
      </c>
      <c r="I8" s="80">
        <v>2022</v>
      </c>
      <c r="J8" s="79"/>
      <c r="K8" s="79">
        <v>2022</v>
      </c>
      <c r="L8" s="79">
        <v>2023</v>
      </c>
      <c r="N8" s="79">
        <v>2023</v>
      </c>
      <c r="O8" s="79">
        <v>2024</v>
      </c>
      <c r="Q8" s="79">
        <v>2025</v>
      </c>
    </row>
    <row r="9" spans="1:17" x14ac:dyDescent="0.25">
      <c r="A9" s="74" t="s">
        <v>119</v>
      </c>
      <c r="B9" s="97">
        <v>1900581.6778099756</v>
      </c>
      <c r="C9" s="25">
        <v>38011.633556199515</v>
      </c>
      <c r="D9" s="25">
        <v>76023.267112399029</v>
      </c>
      <c r="E9" s="25">
        <v>1256619.8389307177</v>
      </c>
      <c r="F9" s="81"/>
      <c r="G9" s="79"/>
      <c r="H9" s="79"/>
      <c r="I9" s="25">
        <v>50264.79355722871</v>
      </c>
      <c r="J9" s="81"/>
      <c r="K9" s="79"/>
      <c r="L9" s="25">
        <f>E9*0.04</f>
        <v>50264.79355722871</v>
      </c>
      <c r="N9" s="79"/>
      <c r="O9" s="25">
        <f>E9*0.04</f>
        <v>50264.79355722871</v>
      </c>
      <c r="Q9" s="113">
        <f t="shared" ref="Q9:Q15" si="0">O9</f>
        <v>50264.79355722871</v>
      </c>
    </row>
    <row r="10" spans="1:17" x14ac:dyDescent="0.25">
      <c r="A10" s="74" t="s">
        <v>120</v>
      </c>
      <c r="B10" s="97">
        <v>2907770.0288488776</v>
      </c>
      <c r="C10" s="81"/>
      <c r="D10" s="81">
        <v>58155.400576977554</v>
      </c>
      <c r="E10" s="81">
        <v>1922549.0532509363</v>
      </c>
      <c r="F10" s="81"/>
      <c r="G10" s="79"/>
      <c r="H10" s="79"/>
      <c r="I10" s="81">
        <v>76901.962130037457</v>
      </c>
      <c r="J10" s="81"/>
      <c r="K10" s="79"/>
      <c r="L10" s="81">
        <f>E10*0.04</f>
        <v>76901.962130037457</v>
      </c>
      <c r="N10" s="79"/>
      <c r="O10" s="2">
        <f>E10*0.04</f>
        <v>76901.962130037457</v>
      </c>
      <c r="Q10" s="76">
        <f t="shared" si="0"/>
        <v>76901.962130037457</v>
      </c>
    </row>
    <row r="11" spans="1:17" x14ac:dyDescent="0.25">
      <c r="A11" s="74" t="s">
        <v>121</v>
      </c>
      <c r="B11" s="97">
        <v>3187485.7542832419</v>
      </c>
      <c r="C11" s="81"/>
      <c r="D11" s="81"/>
      <c r="E11" s="81"/>
      <c r="F11" s="81"/>
      <c r="G11" s="2">
        <v>63749.715085664837</v>
      </c>
      <c r="H11" s="2">
        <v>127499.43017132967</v>
      </c>
      <c r="J11" s="81"/>
      <c r="L11" s="81">
        <f>B11*0.04</f>
        <v>127499.43017132967</v>
      </c>
      <c r="O11" s="2">
        <f>B11*0.04</f>
        <v>127499.43017132967</v>
      </c>
      <c r="Q11" s="76">
        <f t="shared" si="0"/>
        <v>127499.43017132967</v>
      </c>
    </row>
    <row r="12" spans="1:17" x14ac:dyDescent="0.25">
      <c r="A12" s="74" t="s">
        <v>122</v>
      </c>
      <c r="B12" s="97">
        <v>4568471.6939423652</v>
      </c>
      <c r="C12" s="81"/>
      <c r="D12" s="81"/>
      <c r="E12" s="81"/>
      <c r="F12" s="81"/>
      <c r="G12" s="2"/>
      <c r="H12" s="81">
        <v>91369.433878847311</v>
      </c>
      <c r="I12" s="2"/>
      <c r="J12" s="81"/>
      <c r="L12" s="81">
        <f>B12*0.04</f>
        <v>182738.86775769462</v>
      </c>
      <c r="O12" s="2">
        <f>B12*0.04</f>
        <v>182738.86775769462</v>
      </c>
      <c r="Q12" s="76">
        <f t="shared" si="0"/>
        <v>182738.86775769462</v>
      </c>
    </row>
    <row r="13" spans="1:17" x14ac:dyDescent="0.25">
      <c r="A13" s="74" t="s">
        <v>123</v>
      </c>
      <c r="B13" s="97">
        <v>6627454.8123602048</v>
      </c>
      <c r="C13" s="81"/>
      <c r="D13" s="81"/>
      <c r="E13" s="81"/>
      <c r="F13" s="81"/>
      <c r="G13" s="2"/>
      <c r="H13" s="2"/>
      <c r="I13" s="2"/>
      <c r="J13" s="81"/>
      <c r="K13" s="2">
        <f>$B$13*0.02</f>
        <v>132549.09624720408</v>
      </c>
      <c r="L13" s="81">
        <f>$B$13*0.04</f>
        <v>265098.19249440817</v>
      </c>
      <c r="N13" s="25"/>
      <c r="O13" s="81">
        <f>$B$13*0.04</f>
        <v>265098.19249440817</v>
      </c>
      <c r="Q13" s="76">
        <f t="shared" si="0"/>
        <v>265098.19249440817</v>
      </c>
    </row>
    <row r="14" spans="1:17" x14ac:dyDescent="0.25">
      <c r="A14" s="74" t="s">
        <v>124</v>
      </c>
      <c r="B14" s="97">
        <v>7491366.8070655996</v>
      </c>
      <c r="C14" s="81"/>
      <c r="D14" s="81"/>
      <c r="E14" s="81"/>
      <c r="F14" s="81"/>
      <c r="G14" s="2"/>
      <c r="H14" s="2"/>
      <c r="I14" s="2"/>
      <c r="J14" s="81"/>
      <c r="K14" s="2"/>
      <c r="L14" s="2">
        <f>$B$14*0.02</f>
        <v>149827.336141312</v>
      </c>
      <c r="N14" s="2"/>
      <c r="O14" s="2">
        <f>$B$14*0.04</f>
        <v>299654.672282624</v>
      </c>
      <c r="Q14" s="76">
        <f t="shared" si="0"/>
        <v>299654.672282624</v>
      </c>
    </row>
    <row r="15" spans="1:17" x14ac:dyDescent="0.25">
      <c r="A15" s="74" t="s">
        <v>125</v>
      </c>
      <c r="B15" s="97">
        <v>4075143.4926937521</v>
      </c>
      <c r="C15" s="81"/>
      <c r="D15" s="81"/>
      <c r="E15" s="81"/>
      <c r="F15" s="81"/>
      <c r="G15" s="2"/>
      <c r="H15" s="2"/>
      <c r="I15" s="2"/>
      <c r="J15" s="81"/>
      <c r="K15" s="2"/>
      <c r="L15" s="2"/>
      <c r="N15" s="2">
        <f>$B$15*0.02</f>
        <v>81502.869853875047</v>
      </c>
      <c r="O15" s="2">
        <f>$B$15*0.04</f>
        <v>163005.73970775009</v>
      </c>
      <c r="Q15" s="76">
        <f t="shared" si="0"/>
        <v>163005.73970775009</v>
      </c>
    </row>
    <row r="16" spans="1:17" x14ac:dyDescent="0.25">
      <c r="A16" s="74" t="s">
        <v>126</v>
      </c>
      <c r="B16" s="97">
        <v>3420143.107263485</v>
      </c>
      <c r="C16" s="81"/>
      <c r="D16" s="81"/>
      <c r="E16" s="81"/>
      <c r="F16" s="81"/>
      <c r="G16" s="2"/>
      <c r="H16" s="2"/>
      <c r="I16" s="2"/>
      <c r="J16" s="81"/>
      <c r="K16" s="2"/>
      <c r="L16" s="2"/>
      <c r="N16" s="2"/>
      <c r="O16" s="2">
        <f>$B$16*0.02</f>
        <v>68402.862145269697</v>
      </c>
      <c r="Q16" s="76">
        <f>$B16*0.04</f>
        <v>136805.72429053939</v>
      </c>
    </row>
    <row r="17" spans="1:19" x14ac:dyDescent="0.25">
      <c r="A17" s="74">
        <v>2025</v>
      </c>
      <c r="B17" s="97">
        <f>SUMIFS('QIP Capital &amp; Expense'!$13:$13,'QIP Capital &amp; Expense'!$6:$6,"&gt;="&amp;DATE($A17,1,1),'QIP Capital &amp; Expense'!$6:$6,"&lt;="&amp;DATE($A17,12,31))-INDEX($Q$25:$Q$25,1,MATCH($A17,$Q$8:$Q$8,0))</f>
        <v>8888476.6460746098</v>
      </c>
      <c r="C17" s="81"/>
      <c r="D17" s="81"/>
      <c r="E17" s="81"/>
      <c r="F17" s="81"/>
      <c r="G17" s="2"/>
      <c r="H17" s="2"/>
      <c r="I17" s="2"/>
      <c r="J17" s="81"/>
      <c r="K17" s="2"/>
      <c r="L17" s="2"/>
      <c r="N17" s="2"/>
      <c r="O17" s="2"/>
      <c r="Q17" s="76">
        <f>IF(Q$8=$A17,$B17*0.02,$B17*0.04)</f>
        <v>177769.53292149221</v>
      </c>
    </row>
    <row r="18" spans="1:19" x14ac:dyDescent="0.25">
      <c r="A18" s="74"/>
      <c r="B18" s="97"/>
      <c r="C18" s="81"/>
      <c r="D18" s="81"/>
      <c r="E18" s="81"/>
      <c r="F18" s="81"/>
      <c r="G18" s="2"/>
      <c r="H18" s="2"/>
      <c r="I18" s="2"/>
      <c r="J18" s="81"/>
      <c r="K18" s="2"/>
      <c r="L18" s="2"/>
      <c r="N18" s="2"/>
      <c r="O18" s="2"/>
      <c r="Q18" s="76"/>
    </row>
    <row r="19" spans="1:19" x14ac:dyDescent="0.25">
      <c r="A19" s="74"/>
      <c r="B19" s="97"/>
      <c r="C19" s="81"/>
      <c r="D19" s="81"/>
      <c r="E19" s="81"/>
      <c r="F19" s="81"/>
      <c r="G19" s="2"/>
      <c r="H19" s="2"/>
      <c r="I19" s="2"/>
      <c r="J19" s="81"/>
      <c r="K19" s="2"/>
      <c r="L19" s="2"/>
      <c r="N19" s="2"/>
      <c r="O19" s="2"/>
      <c r="Q19" s="76"/>
    </row>
    <row r="20" spans="1:19" x14ac:dyDescent="0.25">
      <c r="A20" s="74"/>
      <c r="B20" s="97"/>
      <c r="C20" s="81"/>
      <c r="D20" s="81"/>
      <c r="E20" s="81"/>
      <c r="F20" s="81"/>
      <c r="G20" s="2"/>
      <c r="H20" s="2"/>
      <c r="I20" s="2"/>
      <c r="J20" s="81"/>
      <c r="K20" s="2"/>
      <c r="L20" s="2"/>
      <c r="N20" s="2"/>
      <c r="O20" s="2"/>
      <c r="Q20" s="76"/>
    </row>
    <row r="21" spans="1:19" x14ac:dyDescent="0.25">
      <c r="A21" s="74"/>
      <c r="B21" s="97"/>
      <c r="C21" s="81"/>
      <c r="D21" s="81"/>
      <c r="E21" s="81"/>
      <c r="F21" s="81"/>
      <c r="G21" s="2"/>
      <c r="H21" s="2"/>
      <c r="I21" s="2"/>
      <c r="J21" s="81"/>
      <c r="K21" s="2"/>
      <c r="L21" s="2"/>
      <c r="N21" s="2"/>
      <c r="O21" s="2"/>
      <c r="Q21" s="76"/>
    </row>
    <row r="22" spans="1:19" x14ac:dyDescent="0.25">
      <c r="A22" s="74"/>
      <c r="B22" s="97"/>
      <c r="C22" s="81"/>
      <c r="D22" s="81"/>
      <c r="E22" s="81"/>
      <c r="F22" s="81"/>
      <c r="G22" s="2"/>
      <c r="H22" s="2"/>
      <c r="I22" s="2"/>
      <c r="J22" s="81"/>
      <c r="K22" s="2"/>
      <c r="L22" s="2"/>
      <c r="N22" s="2"/>
      <c r="O22" s="2"/>
      <c r="Q22" s="12"/>
    </row>
    <row r="23" spans="1:19" x14ac:dyDescent="0.25">
      <c r="A23" s="74"/>
      <c r="B23" s="81"/>
      <c r="C23" s="82"/>
      <c r="D23" s="82"/>
      <c r="E23" s="81"/>
      <c r="F23" s="81"/>
      <c r="G23" s="22"/>
      <c r="H23" s="22"/>
      <c r="I23" s="22"/>
      <c r="J23" s="81"/>
      <c r="K23" s="22"/>
      <c r="L23" s="22"/>
      <c r="N23" s="22"/>
      <c r="O23" s="22"/>
    </row>
    <row r="24" spans="1:19" x14ac:dyDescent="0.25">
      <c r="A24" t="s">
        <v>127</v>
      </c>
      <c r="C24" s="25">
        <v>38011.633556199515</v>
      </c>
      <c r="D24" s="25">
        <v>134178.66768937657</v>
      </c>
      <c r="E24" s="25"/>
      <c r="F24" s="25"/>
      <c r="G24" s="25">
        <v>63749.715085664837</v>
      </c>
      <c r="H24" s="25">
        <v>218868.86405017698</v>
      </c>
      <c r="I24" s="25">
        <v>127166.75568726617</v>
      </c>
      <c r="J24" s="25"/>
      <c r="K24" s="25">
        <f t="shared" ref="K24:L24" si="1">SUM(K9:K23)</f>
        <v>132549.09624720408</v>
      </c>
      <c r="L24" s="25">
        <f t="shared" si="1"/>
        <v>852330.5822520107</v>
      </c>
      <c r="M24" s="25"/>
      <c r="N24" s="25">
        <f t="shared" ref="N24:O24" si="2">SUM(N9:N23)</f>
        <v>81502.869853875047</v>
      </c>
      <c r="O24" s="25">
        <f t="shared" si="2"/>
        <v>1233566.5202463425</v>
      </c>
      <c r="Q24" s="125">
        <f>SUM(Q9:Q23)</f>
        <v>1479738.9153131042</v>
      </c>
      <c r="S24" s="107" t="s">
        <v>161</v>
      </c>
    </row>
    <row r="25" spans="1:19" x14ac:dyDescent="0.25">
      <c r="A25" t="s">
        <v>128</v>
      </c>
      <c r="C25" s="2">
        <v>1347918.3221900244</v>
      </c>
      <c r="D25" s="2">
        <v>2062229.9711511224</v>
      </c>
      <c r="E25" s="2"/>
      <c r="G25" s="2">
        <v>5052514.2457167581</v>
      </c>
      <c r="H25" s="2">
        <v>7241528.3060576348</v>
      </c>
      <c r="I25" s="2">
        <v>0</v>
      </c>
      <c r="K25" s="2">
        <v>7167247.1876397952</v>
      </c>
      <c r="L25" s="2">
        <v>8101523.0129344007</v>
      </c>
      <c r="N25" s="2">
        <v>6603925.5073062479</v>
      </c>
      <c r="O25" s="2">
        <v>5542472.392736515</v>
      </c>
      <c r="P25" s="83"/>
      <c r="Q25" s="128">
        <f>SUMIFS('QIP Capital &amp; Expense'!$13:$13,'QIP Capital &amp; Expense'!$6:$6,"&gt;="&amp;DATE(Q$8,1,1),'QIP Capital &amp; Expense'!$6:$6,"&lt;="&amp;DATE(Q$8,12,31))*'QIP ADIT'!$S$25</f>
        <v>16375398.842425393</v>
      </c>
      <c r="S25" s="106">
        <v>0.64817445961049791</v>
      </c>
    </row>
    <row r="26" spans="1:19" x14ac:dyDescent="0.25">
      <c r="A26" t="s">
        <v>97</v>
      </c>
      <c r="C26" s="2">
        <v>238670</v>
      </c>
      <c r="D26" s="2">
        <v>328400</v>
      </c>
      <c r="E26" s="2"/>
      <c r="G26" s="2">
        <v>824000</v>
      </c>
      <c r="H26" s="2">
        <v>1181000</v>
      </c>
      <c r="I26" s="2">
        <v>0</v>
      </c>
      <c r="K26" s="2">
        <v>1076944.08</v>
      </c>
      <c r="L26" s="2">
        <v>1737924.5000000002</v>
      </c>
      <c r="N26" s="2">
        <v>1067906.8999999999</v>
      </c>
      <c r="O26" s="2">
        <v>896261.55</v>
      </c>
      <c r="Q26" s="128">
        <f>SUMIFS('QIP Capital &amp; Expense'!$35:$35,'QIP Capital &amp; Expense'!$6:$6,"&gt;="&amp;DATE(Q$8,1,1),'QIP Capital &amp; Expense'!$6:$6,"&lt;="&amp;DATE(Q$8,12,31))</f>
        <v>2807097.2765000002</v>
      </c>
    </row>
    <row r="27" spans="1:19" x14ac:dyDescent="0.25">
      <c r="A27" t="s">
        <v>129</v>
      </c>
      <c r="C27" s="2"/>
      <c r="D27" s="2"/>
      <c r="E27" s="2"/>
      <c r="G27" s="2"/>
      <c r="H27" s="2"/>
      <c r="I27" s="2"/>
      <c r="K27" s="2"/>
      <c r="L27" s="2"/>
      <c r="N27" s="2"/>
      <c r="O27" s="2"/>
    </row>
    <row r="28" spans="1:19" x14ac:dyDescent="0.25">
      <c r="A28" t="s">
        <v>130</v>
      </c>
      <c r="C28" s="127">
        <v>1624599.9557462239</v>
      </c>
      <c r="D28" s="127">
        <v>2524808.6388404989</v>
      </c>
      <c r="E28" s="25"/>
      <c r="F28" s="25"/>
      <c r="G28" s="127">
        <v>5940263.9608024228</v>
      </c>
      <c r="H28" s="127">
        <v>8641397.1701078117</v>
      </c>
      <c r="I28" s="127">
        <v>127166.75568726617</v>
      </c>
      <c r="J28" s="127"/>
      <c r="K28" s="127">
        <f>K24+K25+K26+K27</f>
        <v>8376740.363886999</v>
      </c>
      <c r="L28" s="127">
        <f>L24+L25+L26+L27</f>
        <v>10691778.095186412</v>
      </c>
      <c r="M28" s="127"/>
      <c r="N28" s="127">
        <f>N24+N25+N26+N27</f>
        <v>7753335.277160123</v>
      </c>
      <c r="O28" s="127">
        <f>O24+O25+O26+O27</f>
        <v>7672300.4629828576</v>
      </c>
      <c r="Q28" s="124">
        <f>SUM(Q24:Q27)</f>
        <v>20662235.034238499</v>
      </c>
    </row>
    <row r="29" spans="1:19" x14ac:dyDescent="0.25">
      <c r="A29" t="s">
        <v>131</v>
      </c>
      <c r="C29" s="22">
        <v>66322.351931245343</v>
      </c>
      <c r="D29" s="22">
        <v>101469.01311321819</v>
      </c>
      <c r="E29" s="2"/>
      <c r="G29" s="22">
        <v>120283.33815133394</v>
      </c>
      <c r="H29" s="22">
        <v>172396.3863552493</v>
      </c>
      <c r="I29" s="22">
        <v>119969.49206271092</v>
      </c>
      <c r="K29" s="22">
        <v>102829.8677190172</v>
      </c>
      <c r="L29" s="22">
        <v>326763.0168089557</v>
      </c>
      <c r="N29" s="22">
        <v>83080.339173937929</v>
      </c>
      <c r="O29" s="22">
        <v>62409.464507702745</v>
      </c>
      <c r="Q29" s="126">
        <f>SUMIFS('QIP Capital &amp; Expense'!$79:$79,'QIP Capital &amp; Expense'!$6:$6,"&gt;="&amp;DATE(Q$8,1,1),'QIP Capital &amp; Expense'!$6:$6,"&lt;="&amp;DATE(Q$8,12,31))</f>
        <v>1274297.8041478745</v>
      </c>
    </row>
    <row r="30" spans="1:19" x14ac:dyDescent="0.25">
      <c r="A30" t="s">
        <v>132</v>
      </c>
      <c r="C30" s="25">
        <v>1558277.6038149786</v>
      </c>
      <c r="D30" s="25">
        <v>2423339.6257272805</v>
      </c>
      <c r="E30" s="25"/>
      <c r="F30" s="25"/>
      <c r="G30" s="25">
        <v>5819980.622651089</v>
      </c>
      <c r="H30" s="25">
        <v>8469000.7837525625</v>
      </c>
      <c r="I30" s="25">
        <v>7197.2636245552421</v>
      </c>
      <c r="J30" s="25"/>
      <c r="K30" s="25">
        <f>K28-K29</f>
        <v>8273910.496167982</v>
      </c>
      <c r="L30" s="25">
        <f>L28-L29</f>
        <v>10365015.078377457</v>
      </c>
      <c r="M30" s="25"/>
      <c r="N30" s="25">
        <f>N28-N29</f>
        <v>7670254.9379861848</v>
      </c>
      <c r="O30" s="25">
        <f>O28-O29</f>
        <v>7609890.9984751549</v>
      </c>
      <c r="Q30" s="25">
        <f>Q28-Q29</f>
        <v>19387937.230090626</v>
      </c>
    </row>
    <row r="31" spans="1:19" x14ac:dyDescent="0.25">
      <c r="A31" t="s">
        <v>133</v>
      </c>
      <c r="C31" s="31">
        <v>0.2495</v>
      </c>
      <c r="D31" s="31">
        <v>0.2495</v>
      </c>
      <c r="E31" s="84"/>
      <c r="G31" s="31">
        <v>0.2495</v>
      </c>
      <c r="H31" s="31">
        <v>0.2495</v>
      </c>
      <c r="I31" s="31">
        <v>0.2495</v>
      </c>
      <c r="K31" s="31">
        <f>0.05+(1-0.05)*0.21</f>
        <v>0.2495</v>
      </c>
      <c r="L31" s="85">
        <f t="shared" ref="L31" si="3">0.05+(1-0.05)*0.21</f>
        <v>0.2495</v>
      </c>
      <c r="N31" s="31">
        <f>0.05+(1-0.05)*0.21</f>
        <v>0.2495</v>
      </c>
      <c r="O31" s="85">
        <f t="shared" ref="O31" si="4">0.05+(1-0.05)*0.21</f>
        <v>0.2495</v>
      </c>
      <c r="Q31" s="31">
        <f>0.05+(1-0.05)*0.21</f>
        <v>0.2495</v>
      </c>
    </row>
    <row r="32" spans="1:19" ht="15.75" thickBot="1" x14ac:dyDescent="0.3">
      <c r="A32" t="s">
        <v>134</v>
      </c>
      <c r="C32" s="86">
        <v>388790.26215183717</v>
      </c>
      <c r="D32" s="86">
        <v>604623.23661895643</v>
      </c>
      <c r="E32" s="25"/>
      <c r="G32" s="86">
        <v>1452085.1653514467</v>
      </c>
      <c r="H32" s="86">
        <v>2113015.6955462643</v>
      </c>
      <c r="I32" s="86">
        <v>1795.717274326533</v>
      </c>
      <c r="K32" s="86">
        <f>K30*K31</f>
        <v>2064340.6687939116</v>
      </c>
      <c r="L32" s="86">
        <f t="shared" ref="L32" si="5">L30*L31</f>
        <v>2586071.2620551754</v>
      </c>
      <c r="N32" s="86">
        <f>N30*N31</f>
        <v>1913728.607027553</v>
      </c>
      <c r="O32" s="86">
        <f t="shared" ref="O32" si="6">O30*O31</f>
        <v>1898667.8041195511</v>
      </c>
      <c r="Q32" s="123">
        <f>Q30*Q31</f>
        <v>4837290.3389076106</v>
      </c>
    </row>
    <row r="33" spans="1:22" ht="15.75" thickTop="1" x14ac:dyDescent="0.25"/>
    <row r="35" spans="1:22" x14ac:dyDescent="0.25">
      <c r="A35" s="17" t="s">
        <v>134</v>
      </c>
      <c r="C35" s="2"/>
      <c r="D35" s="2"/>
      <c r="E35" s="2"/>
      <c r="G35" s="2"/>
      <c r="H35" s="2"/>
      <c r="I35" s="2"/>
      <c r="K35" s="2"/>
      <c r="L35" s="2"/>
      <c r="N35" s="2"/>
      <c r="O35" s="2"/>
    </row>
    <row r="36" spans="1:22" x14ac:dyDescent="0.25">
      <c r="A36" s="2" t="s">
        <v>135</v>
      </c>
      <c r="C36" s="25">
        <v>0</v>
      </c>
      <c r="D36" s="25">
        <v>-388790.26215183717</v>
      </c>
      <c r="E36" s="25">
        <v>-993413.49877079367</v>
      </c>
      <c r="G36" s="25">
        <v>-1411826.1682918021</v>
      </c>
      <c r="H36" s="25">
        <v>-2863911.3336432488</v>
      </c>
      <c r="I36" s="25">
        <v>-4976927.0291895131</v>
      </c>
      <c r="K36" s="25">
        <f>I38</f>
        <v>-4978722.7464638399</v>
      </c>
      <c r="L36" s="25">
        <f>K38</f>
        <v>-7043063.4152577519</v>
      </c>
      <c r="N36" s="25">
        <f>L38</f>
        <v>-9629134.6773129273</v>
      </c>
      <c r="O36" s="25">
        <f>N38</f>
        <v>-11542863.28434048</v>
      </c>
      <c r="Q36" s="113">
        <f>O38</f>
        <v>-13441531.088460032</v>
      </c>
    </row>
    <row r="37" spans="1:22" x14ac:dyDescent="0.25">
      <c r="A37" t="s">
        <v>136</v>
      </c>
      <c r="C37" s="2">
        <v>-388790.26215183717</v>
      </c>
      <c r="D37" s="2">
        <v>-604623.23661895643</v>
      </c>
      <c r="E37" s="2">
        <v>-418412.66952100839</v>
      </c>
      <c r="G37" s="2">
        <v>-1452085.1653514467</v>
      </c>
      <c r="H37" s="2">
        <v>-2113015.6955462643</v>
      </c>
      <c r="I37" s="2">
        <v>-1795.717274326533</v>
      </c>
      <c r="K37" s="2">
        <f>-'QIP ADIT'!K32</f>
        <v>-2064340.6687939116</v>
      </c>
      <c r="L37" s="2">
        <f>-'QIP ADIT'!L32</f>
        <v>-2586071.2620551754</v>
      </c>
      <c r="N37" s="2">
        <f>-'QIP ADIT'!N32</f>
        <v>-1913728.607027553</v>
      </c>
      <c r="O37" s="2">
        <f>-'QIP ADIT'!O32</f>
        <v>-1898667.8041195511</v>
      </c>
      <c r="Q37" s="2">
        <f>-Q32</f>
        <v>-4837290.3389076106</v>
      </c>
    </row>
    <row r="38" spans="1:22" ht="15.75" thickBot="1" x14ac:dyDescent="0.3">
      <c r="A38" t="s">
        <v>137</v>
      </c>
      <c r="C38" s="86">
        <v>-388790.26215183717</v>
      </c>
      <c r="D38" s="86">
        <v>-993413.49877079367</v>
      </c>
      <c r="E38" s="86">
        <v>-1411826.1682918021</v>
      </c>
      <c r="F38" s="25"/>
      <c r="G38" s="86">
        <v>-2863911.3336432488</v>
      </c>
      <c r="H38" s="86">
        <v>-4976927.0291895131</v>
      </c>
      <c r="I38" s="86">
        <v>-4978722.7464638399</v>
      </c>
      <c r="J38" s="25"/>
      <c r="K38" s="86">
        <f>K36+K37</f>
        <v>-7043063.4152577519</v>
      </c>
      <c r="L38" s="86">
        <f>L36+L37</f>
        <v>-9629134.6773129273</v>
      </c>
      <c r="M38" s="25"/>
      <c r="N38" s="86">
        <f>N36+N37</f>
        <v>-11542863.28434048</v>
      </c>
      <c r="O38" s="86">
        <f>O36+O37</f>
        <v>-13441531.088460032</v>
      </c>
      <c r="Q38" s="122">
        <f>Q36+Q37</f>
        <v>-18278821.427367643</v>
      </c>
    </row>
    <row r="39" spans="1:22" ht="15.75" thickTop="1" x14ac:dyDescent="0.25">
      <c r="G39" s="2"/>
      <c r="H39" s="2"/>
      <c r="I39" s="2"/>
      <c r="K39" s="2"/>
      <c r="L39" s="2"/>
      <c r="N39" s="2"/>
      <c r="O39" s="2"/>
    </row>
    <row r="40" spans="1:22" x14ac:dyDescent="0.25">
      <c r="A40" s="17" t="s">
        <v>138</v>
      </c>
    </row>
    <row r="41" spans="1:22" x14ac:dyDescent="0.25">
      <c r="A41" s="2" t="s">
        <v>135</v>
      </c>
      <c r="E41" s="2"/>
      <c r="G41" s="2"/>
      <c r="H41" s="2"/>
      <c r="K41" s="2"/>
      <c r="N41" s="2"/>
      <c r="O41" s="25">
        <f>+N36</f>
        <v>-9629134.6773129273</v>
      </c>
      <c r="Q41" s="25">
        <f>Q36</f>
        <v>-13441531.088460032</v>
      </c>
    </row>
    <row r="42" spans="1:22" x14ac:dyDescent="0.25">
      <c r="A42" t="s">
        <v>139</v>
      </c>
      <c r="O42" s="76">
        <f>+N60</f>
        <v>-1750394.7905974493</v>
      </c>
      <c r="Q42" s="77">
        <f>V60</f>
        <v>-2240836.0953524075</v>
      </c>
    </row>
    <row r="43" spans="1:22" ht="15.75" thickBot="1" x14ac:dyDescent="0.3">
      <c r="A43" t="s">
        <v>137</v>
      </c>
      <c r="M43" s="77"/>
      <c r="O43" s="120">
        <f>+O41+O42</f>
        <v>-11379529.467910377</v>
      </c>
      <c r="P43" s="77"/>
      <c r="Q43" s="120">
        <f t="shared" ref="Q43" si="7">+Q41+Q42</f>
        <v>-15682367.183812439</v>
      </c>
      <c r="R43" s="77"/>
    </row>
    <row r="44" spans="1:22" ht="15.75" thickTop="1" x14ac:dyDescent="0.25"/>
    <row r="45" spans="1:22" ht="34.5" x14ac:dyDescent="0.4">
      <c r="L45" s="76"/>
      <c r="N45" s="87" t="s">
        <v>140</v>
      </c>
      <c r="O45" s="88" t="s">
        <v>141</v>
      </c>
      <c r="V45" s="87" t="s">
        <v>140</v>
      </c>
    </row>
    <row r="46" spans="1:22" ht="77.25" x14ac:dyDescent="0.4">
      <c r="I46" s="89"/>
      <c r="J46" s="90" t="s">
        <v>142</v>
      </c>
      <c r="K46" s="90" t="s">
        <v>143</v>
      </c>
      <c r="L46" s="91" t="s">
        <v>144</v>
      </c>
      <c r="M46" s="92" t="s">
        <v>145</v>
      </c>
      <c r="N46" s="121">
        <f>+O46/12</f>
        <v>-317699.70092892536</v>
      </c>
      <c r="O46" s="121">
        <f>SUM(N37:O37)</f>
        <v>-3812396.4111471041</v>
      </c>
      <c r="R46" s="90" t="s">
        <v>142</v>
      </c>
      <c r="S46" s="90" t="s">
        <v>143</v>
      </c>
      <c r="T46" s="91" t="s">
        <v>144</v>
      </c>
      <c r="U46" s="92" t="s">
        <v>145</v>
      </c>
      <c r="V46" s="113">
        <f>Q37/12</f>
        <v>-403107.5282423009</v>
      </c>
    </row>
    <row r="47" spans="1:22" x14ac:dyDescent="0.25">
      <c r="I47" t="s">
        <v>146</v>
      </c>
      <c r="J47">
        <v>31</v>
      </c>
      <c r="K47">
        <f>+J47</f>
        <v>31</v>
      </c>
      <c r="L47" s="76">
        <f t="shared" ref="L47:L53" si="8">+L48+J48</f>
        <v>335</v>
      </c>
      <c r="M47" s="93">
        <f t="shared" ref="M47:M58" si="9">+L47/$K$58</f>
        <v>0.9178082191780822</v>
      </c>
      <c r="N47" s="76">
        <f t="shared" ref="N47:N58" si="10">+M47*$N$46</f>
        <v>-291587.39674298628</v>
      </c>
      <c r="Q47" t="s">
        <v>147</v>
      </c>
      <c r="R47">
        <v>31</v>
      </c>
      <c r="S47">
        <f>SUM($R$47:R47)</f>
        <v>31</v>
      </c>
      <c r="T47" s="76">
        <f t="shared" ref="T47:T57" si="11">+T48+R48</f>
        <v>335</v>
      </c>
      <c r="U47" s="93">
        <f>+T47/$S$58</f>
        <v>0.9178082191780822</v>
      </c>
      <c r="V47" s="76">
        <f>V$46*$U47</f>
        <v>-369975.4026333447</v>
      </c>
    </row>
    <row r="48" spans="1:22" x14ac:dyDescent="0.25">
      <c r="I48" t="s">
        <v>148</v>
      </c>
      <c r="J48">
        <v>31</v>
      </c>
      <c r="K48">
        <f>+K47+J48</f>
        <v>62</v>
      </c>
      <c r="L48" s="76">
        <f t="shared" si="8"/>
        <v>304</v>
      </c>
      <c r="M48" s="93">
        <f t="shared" si="9"/>
        <v>0.83287671232876714</v>
      </c>
      <c r="N48" s="76">
        <f t="shared" si="10"/>
        <v>-264604.6824175159</v>
      </c>
      <c r="Q48" t="s">
        <v>149</v>
      </c>
      <c r="R48">
        <v>28</v>
      </c>
      <c r="S48">
        <f>SUM($R$47:R48)</f>
        <v>59</v>
      </c>
      <c r="T48" s="76">
        <f t="shared" si="11"/>
        <v>307</v>
      </c>
      <c r="U48" s="93">
        <f t="shared" ref="U48:U58" si="12">+T48/$S$58</f>
        <v>0.84109589041095889</v>
      </c>
      <c r="V48" s="76">
        <f t="shared" ref="V48:V58" si="13">V$46*$U48</f>
        <v>-339052.08539831883</v>
      </c>
    </row>
    <row r="49" spans="9:22" x14ac:dyDescent="0.25">
      <c r="I49" t="s">
        <v>150</v>
      </c>
      <c r="J49">
        <v>30</v>
      </c>
      <c r="K49">
        <f t="shared" ref="K49:K58" si="14">+K48+J49</f>
        <v>92</v>
      </c>
      <c r="L49" s="76">
        <f t="shared" si="8"/>
        <v>274</v>
      </c>
      <c r="M49" s="93">
        <f t="shared" si="9"/>
        <v>0.75068493150684934</v>
      </c>
      <c r="N49" s="76">
        <f t="shared" si="10"/>
        <v>-238492.37823157685</v>
      </c>
      <c r="Q49" t="s">
        <v>151</v>
      </c>
      <c r="R49">
        <v>31</v>
      </c>
      <c r="S49">
        <f>SUM($R$47:R49)</f>
        <v>90</v>
      </c>
      <c r="T49" s="76">
        <f t="shared" si="11"/>
        <v>276</v>
      </c>
      <c r="U49" s="93">
        <f t="shared" si="12"/>
        <v>0.75616438356164384</v>
      </c>
      <c r="V49" s="76">
        <f t="shared" si="13"/>
        <v>-304815.55560239742</v>
      </c>
    </row>
    <row r="50" spans="9:22" x14ac:dyDescent="0.25">
      <c r="I50" t="s">
        <v>152</v>
      </c>
      <c r="J50">
        <v>31</v>
      </c>
      <c r="K50">
        <f t="shared" si="14"/>
        <v>123</v>
      </c>
      <c r="L50" s="76">
        <f t="shared" si="8"/>
        <v>243</v>
      </c>
      <c r="M50" s="93">
        <f t="shared" si="9"/>
        <v>0.66575342465753429</v>
      </c>
      <c r="N50" s="76">
        <f t="shared" si="10"/>
        <v>-211509.66390610649</v>
      </c>
      <c r="Q50" t="s">
        <v>153</v>
      </c>
      <c r="R50">
        <v>30</v>
      </c>
      <c r="S50">
        <f>SUM($R$47:R50)</f>
        <v>120</v>
      </c>
      <c r="T50" s="76">
        <f t="shared" si="11"/>
        <v>246</v>
      </c>
      <c r="U50" s="93">
        <f t="shared" si="12"/>
        <v>0.67397260273972603</v>
      </c>
      <c r="V50" s="76">
        <f t="shared" si="13"/>
        <v>-271683.42999344115</v>
      </c>
    </row>
    <row r="51" spans="9:22" x14ac:dyDescent="0.25">
      <c r="I51" t="s">
        <v>154</v>
      </c>
      <c r="J51">
        <v>30</v>
      </c>
      <c r="K51">
        <f t="shared" si="14"/>
        <v>153</v>
      </c>
      <c r="L51" s="76">
        <f t="shared" si="8"/>
        <v>213</v>
      </c>
      <c r="M51" s="93">
        <f t="shared" si="9"/>
        <v>0.58356164383561648</v>
      </c>
      <c r="N51" s="76">
        <f t="shared" si="10"/>
        <v>-185397.35972016741</v>
      </c>
      <c r="Q51" t="s">
        <v>155</v>
      </c>
      <c r="R51">
        <v>31</v>
      </c>
      <c r="S51">
        <f>SUM($R$47:R51)</f>
        <v>151</v>
      </c>
      <c r="T51" s="76">
        <f t="shared" si="11"/>
        <v>215</v>
      </c>
      <c r="U51" s="93">
        <f t="shared" si="12"/>
        <v>0.58904109589041098</v>
      </c>
      <c r="V51" s="76">
        <f t="shared" si="13"/>
        <v>-237446.90019751972</v>
      </c>
    </row>
    <row r="52" spans="9:22" x14ac:dyDescent="0.25">
      <c r="I52" t="s">
        <v>156</v>
      </c>
      <c r="J52">
        <v>31</v>
      </c>
      <c r="K52">
        <f t="shared" si="14"/>
        <v>184</v>
      </c>
      <c r="L52" s="76">
        <f t="shared" si="8"/>
        <v>182</v>
      </c>
      <c r="M52" s="93">
        <f t="shared" si="9"/>
        <v>0.49863013698630138</v>
      </c>
      <c r="N52" s="76">
        <f t="shared" si="10"/>
        <v>-158414.64539469703</v>
      </c>
      <c r="Q52" t="s">
        <v>157</v>
      </c>
      <c r="R52">
        <v>30</v>
      </c>
      <c r="S52">
        <f>SUM($R$47:R52)</f>
        <v>181</v>
      </c>
      <c r="T52" s="76">
        <f t="shared" si="11"/>
        <v>185</v>
      </c>
      <c r="U52" s="93">
        <f t="shared" si="12"/>
        <v>0.50684931506849318</v>
      </c>
      <c r="V52" s="76">
        <f t="shared" si="13"/>
        <v>-204314.77458856348</v>
      </c>
    </row>
    <row r="53" spans="9:22" x14ac:dyDescent="0.25">
      <c r="I53" t="s">
        <v>147</v>
      </c>
      <c r="J53">
        <v>31</v>
      </c>
      <c r="K53">
        <f t="shared" si="14"/>
        <v>215</v>
      </c>
      <c r="L53" s="76">
        <f t="shared" si="8"/>
        <v>151</v>
      </c>
      <c r="M53" s="93">
        <f t="shared" si="9"/>
        <v>0.41369863013698632</v>
      </c>
      <c r="N53" s="76">
        <f t="shared" si="10"/>
        <v>-131431.93106922667</v>
      </c>
      <c r="Q53" t="s">
        <v>146</v>
      </c>
      <c r="R53">
        <v>31</v>
      </c>
      <c r="S53">
        <f>SUM($R$47:R53)</f>
        <v>212</v>
      </c>
      <c r="T53" s="76">
        <f t="shared" si="11"/>
        <v>154</v>
      </c>
      <c r="U53" s="93">
        <f t="shared" si="12"/>
        <v>0.42191780821917807</v>
      </c>
      <c r="V53" s="76">
        <f t="shared" si="13"/>
        <v>-170078.24479264201</v>
      </c>
    </row>
    <row r="54" spans="9:22" x14ac:dyDescent="0.25">
      <c r="I54" t="s">
        <v>149</v>
      </c>
      <c r="J54">
        <v>28</v>
      </c>
      <c r="K54">
        <f t="shared" si="14"/>
        <v>243</v>
      </c>
      <c r="L54" s="76">
        <f>+L55+J55</f>
        <v>123</v>
      </c>
      <c r="M54" s="93">
        <f t="shared" si="9"/>
        <v>0.33698630136986302</v>
      </c>
      <c r="N54" s="76">
        <f t="shared" si="10"/>
        <v>-107060.44716235019</v>
      </c>
      <c r="Q54" t="s">
        <v>148</v>
      </c>
      <c r="R54">
        <v>31</v>
      </c>
      <c r="S54">
        <f>SUM($R$47:R54)</f>
        <v>243</v>
      </c>
      <c r="T54" s="76">
        <f t="shared" si="11"/>
        <v>123</v>
      </c>
      <c r="U54" s="93">
        <f t="shared" si="12"/>
        <v>0.33698630136986302</v>
      </c>
      <c r="V54" s="76">
        <f t="shared" si="13"/>
        <v>-135841.71499672058</v>
      </c>
    </row>
    <row r="55" spans="9:22" x14ac:dyDescent="0.25">
      <c r="I55" t="s">
        <v>151</v>
      </c>
      <c r="J55">
        <v>31</v>
      </c>
      <c r="K55">
        <f t="shared" si="14"/>
        <v>274</v>
      </c>
      <c r="L55" s="76">
        <f t="shared" ref="L55:L57" si="15">+L56+J56</f>
        <v>92</v>
      </c>
      <c r="M55" s="93">
        <f t="shared" si="9"/>
        <v>0.25205479452054796</v>
      </c>
      <c r="N55" s="76">
        <f t="shared" si="10"/>
        <v>-80077.732836879819</v>
      </c>
      <c r="Q55" t="s">
        <v>150</v>
      </c>
      <c r="R55">
        <v>30</v>
      </c>
      <c r="S55">
        <f>SUM($R$47:R55)</f>
        <v>273</v>
      </c>
      <c r="T55" s="76">
        <f t="shared" si="11"/>
        <v>93</v>
      </c>
      <c r="U55" s="93">
        <f t="shared" si="12"/>
        <v>0.25479452054794521</v>
      </c>
      <c r="V55" s="76">
        <f t="shared" si="13"/>
        <v>-102709.58938776434</v>
      </c>
    </row>
    <row r="56" spans="9:22" x14ac:dyDescent="0.25">
      <c r="I56" t="s">
        <v>153</v>
      </c>
      <c r="J56">
        <v>30</v>
      </c>
      <c r="K56">
        <f t="shared" si="14"/>
        <v>304</v>
      </c>
      <c r="L56" s="76">
        <f t="shared" si="15"/>
        <v>62</v>
      </c>
      <c r="M56" s="93">
        <f t="shared" si="9"/>
        <v>0.16986301369863013</v>
      </c>
      <c r="N56" s="76">
        <f t="shared" si="10"/>
        <v>-53965.428650940747</v>
      </c>
      <c r="Q56" t="s">
        <v>152</v>
      </c>
      <c r="R56">
        <v>31</v>
      </c>
      <c r="S56">
        <f>SUM($R$47:R56)</f>
        <v>304</v>
      </c>
      <c r="T56" s="76">
        <f>+T57+R57</f>
        <v>62</v>
      </c>
      <c r="U56" s="93">
        <f t="shared" si="12"/>
        <v>0.16986301369863013</v>
      </c>
      <c r="V56" s="76">
        <f t="shared" si="13"/>
        <v>-68473.059591842888</v>
      </c>
    </row>
    <row r="57" spans="9:22" x14ac:dyDescent="0.25">
      <c r="I57" t="s">
        <v>155</v>
      </c>
      <c r="J57">
        <v>31</v>
      </c>
      <c r="K57">
        <f t="shared" si="14"/>
        <v>335</v>
      </c>
      <c r="L57" s="76">
        <f t="shared" si="15"/>
        <v>31</v>
      </c>
      <c r="M57" s="93">
        <f t="shared" si="9"/>
        <v>8.4931506849315067E-2</v>
      </c>
      <c r="N57" s="76">
        <f t="shared" si="10"/>
        <v>-26982.714325470373</v>
      </c>
      <c r="Q57" t="s">
        <v>154</v>
      </c>
      <c r="R57">
        <v>30</v>
      </c>
      <c r="S57">
        <f>SUM($R$47:R57)</f>
        <v>334</v>
      </c>
      <c r="T57" s="12">
        <f t="shared" si="11"/>
        <v>32</v>
      </c>
      <c r="U57" s="93">
        <f t="shared" si="12"/>
        <v>8.7671232876712329E-2</v>
      </c>
      <c r="V57" s="76">
        <f t="shared" si="13"/>
        <v>-35340.933982886658</v>
      </c>
    </row>
    <row r="58" spans="9:22" x14ac:dyDescent="0.25">
      <c r="I58" t="s">
        <v>157</v>
      </c>
      <c r="J58">
        <v>30</v>
      </c>
      <c r="K58">
        <f t="shared" si="14"/>
        <v>365</v>
      </c>
      <c r="L58" s="76">
        <v>1</v>
      </c>
      <c r="M58" s="93">
        <f t="shared" si="9"/>
        <v>2.7397260273972603E-3</v>
      </c>
      <c r="N58" s="76">
        <f t="shared" si="10"/>
        <v>-870.41013953130232</v>
      </c>
      <c r="Q58" t="s">
        <v>156</v>
      </c>
      <c r="R58">
        <v>31</v>
      </c>
      <c r="S58">
        <f>SUM($R$47:R58)</f>
        <v>365</v>
      </c>
      <c r="T58" s="12">
        <v>1</v>
      </c>
      <c r="U58" s="93">
        <f t="shared" si="12"/>
        <v>2.7397260273972603E-3</v>
      </c>
      <c r="V58" s="76">
        <f t="shared" si="13"/>
        <v>-1104.4041869652081</v>
      </c>
    </row>
    <row r="59" spans="9:22" x14ac:dyDescent="0.25">
      <c r="L59" s="76"/>
      <c r="M59" s="94"/>
      <c r="T59" s="95"/>
    </row>
    <row r="60" spans="9:22" ht="15.75" thickBot="1" x14ac:dyDescent="0.3">
      <c r="I60" s="75" t="s">
        <v>158</v>
      </c>
      <c r="J60" s="96">
        <f>SUM(J47:J59)</f>
        <v>365</v>
      </c>
      <c r="L60" s="76"/>
      <c r="N60" s="120">
        <f>SUM(N47:N58)</f>
        <v>-1750394.7905974493</v>
      </c>
      <c r="R60" s="96">
        <f>SUM(R47:R59)</f>
        <v>365</v>
      </c>
      <c r="V60" s="120">
        <f>SUM(V47:V58)</f>
        <v>-2240836.0953524075</v>
      </c>
    </row>
    <row r="61" spans="9:22" ht="15.75" thickTop="1" x14ac:dyDescent="0.25">
      <c r="N61" s="36">
        <f>+N60/O46</f>
        <v>0.45913242009132427</v>
      </c>
      <c r="V61" s="36">
        <f>+V60/Q37</f>
        <v>0.46324200913242025</v>
      </c>
    </row>
  </sheetData>
  <mergeCells count="4">
    <mergeCell ref="C7:D7"/>
    <mergeCell ref="G7:I7"/>
    <mergeCell ref="K7:L7"/>
    <mergeCell ref="N7:O7"/>
  </mergeCells>
  <printOptions horizontalCentered="1"/>
  <pageMargins left="0.5" right="0.5" top="0.75" bottom="0.5" header="0.3" footer="0.25"/>
  <pageSetup scale="41" fitToHeight="0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2748C5124AB541828F6483D61391B2" ma:contentTypeVersion="8" ma:contentTypeDescription="Create a new document." ma:contentTypeScope="" ma:versionID="f6698f666b56830eacbe36ace53d9e75">
  <xsd:schema xmlns:xsd="http://www.w3.org/2001/XMLSchema" xmlns:xs="http://www.w3.org/2001/XMLSchema" xmlns:p="http://schemas.microsoft.com/office/2006/metadata/properties" xmlns:ns2="3527BF6F-27A6-47D3-AAFB-DBF13EBA6BBE" xmlns:ns3="00c1cf47-8665-4c73-8994-ff3a5e26da0f" xmlns:ns5="3541d9de-e849-43a7-ac3e-927380f29a4f" xmlns:ns6="7312d0bd-5bb3-4d44-9c84-f993550bda7e" targetNamespace="http://schemas.microsoft.com/office/2006/metadata/properties" ma:root="true" ma:fieldsID="b611f44005c52bf9decf0decea51523b" ns2:_="" ns3:_="" ns5:_="" ns6:_="">
    <xsd:import namespace="3527BF6F-27A6-47D3-AAFB-DBF13EBA6BBE"/>
    <xsd:import namespace="00c1cf47-8665-4c73-8994-ff3a5e26da0f"/>
    <xsd:import namespace="3541d9de-e849-43a7-ac3e-927380f29a4f"/>
    <xsd:import namespace="7312d0bd-5bb3-4d44-9c84-f993550bd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Docket_x0020_Number"/>
                <xsd:element ref="ns3:Party" minOccurs="0"/>
                <xsd:element ref="ns3:Preparer" minOccurs="0"/>
                <xsd:element ref="ns3:Responsible_x0020_Witness" minOccurs="0"/>
                <xsd:element ref="ns3:Internal_x0020_Due_x0020_Date" minOccurs="0"/>
                <xsd:element ref="ns3:Final_x0020_Due_x0020_Date" minOccurs="0"/>
                <xsd:element ref="ns3:Document_x0020_Type"/>
                <xsd:element ref="ns2:Series" minOccurs="0"/>
                <xsd:element ref="ns5:MediaServiceAutoKeyPoints" minOccurs="0"/>
                <xsd:element ref="ns5:MediaServiceKeyPoints" minOccurs="0"/>
                <xsd:element ref="ns5:Workflow" minOccurs="0"/>
                <xsd:element ref="ns6:SharedWithUsers" minOccurs="0"/>
                <xsd:element ref="ns6:SharedWithDetails" minOccurs="0"/>
                <xsd:element ref="ns5:WorkflowStatus" minOccurs="0"/>
                <xsd:element ref="ns3:_dlc_DocId" minOccurs="0"/>
                <xsd:element ref="ns3:_dlc_DocIdUrl" minOccurs="0"/>
                <xsd:element ref="ns3:_dlc_DocIdPersistId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eries" ma:index="19" nillable="true" ma:displayName="Series" ma:internalName="Seri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11" ma:displayName="Docket Number" ma:format="Dropdown" ma:internalName="Docket_x0020_Number">
      <xsd:simpleType>
        <xsd:restriction base="dms:Text">
          <xsd:maxLength value="255"/>
        </xsd:restriction>
      </xsd:simpleType>
    </xsd:element>
    <xsd:element name="Party" ma:index="12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13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14" nillable="true" ma:displayName="Witness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16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17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18" ma:displayName="Doc Type" ma:format="Dropdown" ma:internalName="Document_x0020_Typ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  <xsd:element name="_dlc_DocId" ma:index="2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1d9de-e849-43a7-ac3e-927380f29a4f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orkflow" ma:index="22" nillable="true" ma:displayName="Workflow" ma:internalName="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25" nillable="true" ma:displayName="WorkflowStatus" ma:internalName="WorkflowStatus">
      <xsd:simpleType>
        <xsd:restriction base="dms:Text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nal_x0020_Due_x0020_Date xmlns="00c1cf47-8665-4c73-8994-ff3a5e26da0f" xsi:nil="true"/>
    <Final_x0020_Due_x0020_Date xmlns="00c1cf47-8665-4c73-8994-ff3a5e26da0f" xsi:nil="true"/>
    <Docket_x0020_Number xmlns="00c1cf47-8665-4c73-8994-ff3a5e26da0f">2024-00272</Docket_x0020_Number>
    <Preparer xmlns="00c1cf47-8665-4c73-8994-ff3a5e26da0f" xsi:nil="true"/>
    <Document_x0020_Type xmlns="00c1cf47-8665-4c73-8994-ff3a5e26da0f">Testimony</Document_x0020_Type>
    <WorkflowStatus xmlns="3541d9de-e849-43a7-ac3e-927380f29a4f" xsi:nil="true"/>
    <Series xmlns="3527BF6F-27A6-47D3-AAFB-DBF13EBA6BBE" xsi:nil="true"/>
    <Party xmlns="00c1cf47-8665-4c73-8994-ff3a5e26da0f" xsi:nil="true"/>
    <Responsible_x0020_Witness xmlns="00c1cf47-8665-4c73-8994-ff3a5e26da0f" xsi:nil="true"/>
    <Workflow xmlns="3541d9de-e849-43a7-ac3e-927380f29a4f">
      <Url xsi:nil="true"/>
      <Description xsi:nil="true"/>
    </Workflow>
    <_dlc_DocId xmlns="00c1cf47-8665-4c73-8994-ff3a5e26da0f">4QVSNHSJP2QR-2066301449-540</_dlc_DocId>
    <_dlc_DocIdUrl xmlns="00c1cf47-8665-4c73-8994-ff3a5e26da0f">
      <Url>https://amwater.sharepoint.com/sites/sers/KY/_layouts/15/DocIdRedir.aspx?ID=4QVSNHSJP2QR-2066301449-540</Url>
      <Description>4QVSNHSJP2QR-2066301449-540</Description>
    </_dlc_DocIdUrl>
  </documentManagement>
</p:properties>
</file>

<file path=customXml/itemProps1.xml><?xml version="1.0" encoding="utf-8"?>
<ds:datastoreItem xmlns:ds="http://schemas.openxmlformats.org/officeDocument/2006/customXml" ds:itemID="{8C4A4590-3381-41EF-BD01-3984E93F91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27BF6F-27A6-47D3-AAFB-DBF13EBA6BBE"/>
    <ds:schemaRef ds:uri="00c1cf47-8665-4c73-8994-ff3a5e26da0f"/>
    <ds:schemaRef ds:uri="3541d9de-e849-43a7-ac3e-927380f29a4f"/>
    <ds:schemaRef ds:uri="7312d0bd-5bb3-4d44-9c84-f993550bda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AB923-1DEE-4BF9-A385-99E1A59B04E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1934A4B-7E85-41E9-BC9F-6EDFC269CF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A70FDE3-8885-4067-827D-6F8AF9709325}">
  <ds:schemaRefs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00c1cf47-8665-4c73-8994-ff3a5e26da0f"/>
    <ds:schemaRef ds:uri="http://schemas.microsoft.com/office/infopath/2007/PartnerControls"/>
    <ds:schemaRef ds:uri="3527BF6F-27A6-47D3-AAFB-DBF13EBA6BBE"/>
    <ds:schemaRef ds:uri="http://schemas.microsoft.com/office/2006/documentManagement/types"/>
    <ds:schemaRef ds:uri="7312d0bd-5bb3-4d44-9c84-f993550bda7e"/>
    <ds:schemaRef ds:uri="3541d9de-e849-43a7-ac3e-927380f29a4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QIP 6+</vt:lpstr>
      <vt:lpstr>QIP 1-5</vt:lpstr>
      <vt:lpstr>QIP 4 Balancing Adjustment</vt:lpstr>
      <vt:lpstr>Gross Revenue Conversion Factor</vt:lpstr>
      <vt:lpstr>QIP Capital &amp; Expense</vt:lpstr>
      <vt:lpstr>QIP ADIT</vt:lpstr>
      <vt:lpstr>'Gross Revenue Conversion Factor'!Print_Area</vt:lpstr>
      <vt:lpstr>'QIP 1-5'!Print_Area</vt:lpstr>
      <vt:lpstr>'QIP 4 Balancing Adjustment'!Print_Area</vt:lpstr>
      <vt:lpstr>'QIP 6+'!Print_Area</vt:lpstr>
      <vt:lpstr>'QIP ADIT'!Print_Area</vt:lpstr>
      <vt:lpstr>'QIP Capital &amp; Expense'!Print_Area</vt:lpstr>
      <vt:lpstr>'QIP Capital &amp; Expense'!Print_Titles</vt:lpstr>
    </vt:vector>
  </TitlesOfParts>
  <Company>American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 Prendergast</dc:creator>
  <cp:lastModifiedBy>Dominic DeGrazia</cp:lastModifiedBy>
  <cp:lastPrinted>2024-08-29T17:09:54Z</cp:lastPrinted>
  <dcterms:created xsi:type="dcterms:W3CDTF">2024-08-14T19:18:29Z</dcterms:created>
  <dcterms:modified xsi:type="dcterms:W3CDTF">2024-08-29T20:08:06Z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846c87f6-c46e-48eb-b7ce-d3a4a7d30611_Enabled">
    <vt:lpwstr>true</vt:lpwstr>
  </property>
  <property fmtid="{D5CDD505-2E9C-101B-9397-08002B2CF9AE}" pid="5" name="MSIP_Label_846c87f6-c46e-48eb-b7ce-d3a4a7d30611_SetDate">
    <vt:lpwstr>2024-08-14T20:13:29Z</vt:lpwstr>
  </property>
  <property fmtid="{D5CDD505-2E9C-101B-9397-08002B2CF9AE}" pid="6" name="MSIP_Label_846c87f6-c46e-48eb-b7ce-d3a4a7d30611_Method">
    <vt:lpwstr>Standard</vt:lpwstr>
  </property>
  <property fmtid="{D5CDD505-2E9C-101B-9397-08002B2CF9AE}" pid="7" name="MSIP_Label_846c87f6-c46e-48eb-b7ce-d3a4a7d30611_Name">
    <vt:lpwstr>846c87f6-c46e-48eb-b7ce-d3a4a7d30611</vt:lpwstr>
  </property>
  <property fmtid="{D5CDD505-2E9C-101B-9397-08002B2CF9AE}" pid="8" name="MSIP_Label_846c87f6-c46e-48eb-b7ce-d3a4a7d30611_SiteId">
    <vt:lpwstr>35378cf9-dac0-45f0-84c7-1bfb98207b59</vt:lpwstr>
  </property>
  <property fmtid="{D5CDD505-2E9C-101B-9397-08002B2CF9AE}" pid="9" name="MSIP_Label_846c87f6-c46e-48eb-b7ce-d3a4a7d30611_ActionId">
    <vt:lpwstr>ef0f5562-d754-48f4-a081-3fa6a02f2c87</vt:lpwstr>
  </property>
  <property fmtid="{D5CDD505-2E9C-101B-9397-08002B2CF9AE}" pid="10" name="MSIP_Label_846c87f6-c46e-48eb-b7ce-d3a4a7d30611_ContentBits">
    <vt:lpwstr>0</vt:lpwstr>
  </property>
  <property fmtid="{D5CDD505-2E9C-101B-9397-08002B2CF9AE}" pid="11" name="ContentTypeId">
    <vt:lpwstr>0x010100AB2748C5124AB541828F6483D61391B2</vt:lpwstr>
  </property>
  <property fmtid="{D5CDD505-2E9C-101B-9397-08002B2CF9AE}" pid="12" name="_dlc_DocIdItemGuid">
    <vt:lpwstr>b53234b4-c8ae-4637-aef2-eae6cbc7616c</vt:lpwstr>
  </property>
</Properties>
</file>