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65A5F1CC-BEFF-4A74-8932-523DDBF588B2}" xr6:coauthVersionLast="47" xr6:coauthVersionMax="47" xr10:uidLastSave="{00000000-0000-0000-0000-000000000000}"/>
  <bookViews>
    <workbookView xWindow="-120" yWindow="-120" windowWidth="29040" windowHeight="15720" tabRatio="837" activeTab="3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4" l="1"/>
  <c r="C43" i="11"/>
  <c r="F7" i="11"/>
  <c r="D7" i="11"/>
  <c r="I8" i="28"/>
  <c r="E8" i="28"/>
  <c r="I12" i="28"/>
  <c r="E12" i="28"/>
  <c r="E19" i="28"/>
  <c r="E20" i="28"/>
  <c r="E33" i="28"/>
  <c r="K33" i="28"/>
  <c r="K20" i="28"/>
  <c r="K19" i="28"/>
  <c r="F12" i="4"/>
  <c r="F11" i="4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5" i="32"/>
  <c r="C27" i="32" s="1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J15" i="32" s="1"/>
  <c r="I15" i="32"/>
  <c r="H8" i="34" l="1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D24" i="31"/>
  <c r="D28" i="31" s="1"/>
  <c r="E24" i="31"/>
  <c r="E28" i="31" s="1"/>
  <c r="C3" i="31" l="1"/>
  <c r="E29" i="31"/>
  <c r="Q6" i="6" s="1"/>
  <c r="F20" i="31"/>
  <c r="F27" i="31" s="1"/>
  <c r="F29" i="31" s="1"/>
  <c r="Q7" i="6" s="1"/>
  <c r="C20" i="31"/>
  <c r="C27" i="31" s="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C4" i="31"/>
  <c r="G3" i="31"/>
  <c r="G20" i="31" l="1"/>
  <c r="G9" i="3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P28" i="28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G20" i="24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C29" i="24" l="1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Q19" i="11" s="1"/>
  <c r="Q20" i="11" s="1"/>
  <c r="N16" i="15"/>
  <c r="F53" i="15" s="1"/>
  <c r="J43" i="11"/>
  <c r="M43" i="11" s="1"/>
  <c r="L11" i="15"/>
  <c r="F42" i="11" l="1"/>
  <c r="H59" i="6" s="1"/>
  <c r="N18" i="15"/>
  <c r="N59" i="6" l="1"/>
  <c r="L59" i="6"/>
  <c r="J59" i="6"/>
  <c r="R21" i="4" l="1"/>
  <c r="R23" i="4"/>
  <c r="R22" i="4"/>
  <c r="F68" i="1" l="1"/>
  <c r="R24" i="4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F40" i="15" s="1"/>
  <c r="N66" i="1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C28" i="2" l="1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F71" i="1" s="1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N63" i="1" s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8" i="1" l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H18" i="11"/>
  <c r="H23" i="11"/>
  <c r="F45" i="11" l="1"/>
  <c r="H45" i="11" s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<sst xmlns="http://schemas.openxmlformats.org/spreadsheetml/2006/main" count="935" uniqueCount="305">
  <si>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</si>
  <si>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</si>
  <si>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</si>
  <si>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</si>
  <si>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</si>
  <si>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</si>
  <si>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</si>
  <si>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</si>
  <si>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</si>
  <si>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</si>
  <si>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</si>
  <si>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</si>
  <si>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</si>
  <si>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</si>
  <si>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</si>
  <si>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</si>
  <si>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</si>
  <si>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</si>
  <si>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</si>
  <si>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</si>
  <si>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</si>
  <si>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</si>
  <si>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</si>
  <si>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</si>
  <si>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</si>
  <si>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</si>
  <si>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</si>
  <si>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</si>
  <si>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</si>
  <si>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</si>
  <si>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</si>
  <si>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</si>
  <si>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</si>
  <si>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</si>
  <si>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</si>
  <si>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</si>
  <si>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</si>
  <si>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</si>
  <si>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</si>
  <si>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</si>
  <si>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</si>
  <si>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</si>
  <si>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</si>
  <si>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</si>
  <si>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</si>
  <si>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</si>
  <si>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</si>
  <si>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</si>
  <si>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</si>
  <si>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</si>
  <si>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</si>
  <si>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</si>
  <si>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</si>
  <si>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</si>
  <si>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</si>
  <si>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</si>
  <si>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</si>
  <si>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</si>
  <si>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</si>
  <si>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</si>
  <si>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</si>
  <si>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</si>
  <si>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</si>
  <si>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</si>
  <si>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</si>
  <si>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</si>
  <si>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</si>
  <si>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</si>
  <si>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</si>
  <si>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</si>
  <si>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</si>
  <si>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</si>
  <si>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</si>
  <si>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</si>
  <si>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</si>
  <si>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</si>
  <si>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</si>
  <si>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</si>
  <si>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</si>
  <si>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</si>
  <si>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</si>
  <si>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</si>
  <si>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</si>
  <si>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</si>
  <si>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</si>
  <si>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</si>
  <si>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</si>
  <si>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</si>
  <si>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</si>
  <si>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</si>
  <si>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</si>
  <si>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</si>
  <si>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</si>
  <si>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</si>
  <si>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</si>
  <si>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</si>
  <si>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</si>
  <si>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</si>
  <si>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</si>
  <si>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</si>
  <si>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</si>
  <si>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</si>
  <si>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</si>
  <si>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</si>
  <si>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</si>
  <si>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</si>
  <si>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</si>
  <si>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</si>
  <si>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</si>
  <si>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</si>
  <si>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</si>
  <si>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</si>
  <si>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</si>
  <si>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</si>
  <si>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</si>
  <si>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</si>
  <si>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</si>
  <si>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</si>
  <si>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</si>
  <si>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</si>
  <si>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</si>
  <si>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</si>
  <si>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</si>
  <si>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</si>
  <si>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</si>
  <si>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</si>
  <si>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</si>
  <si>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</si>
  <si>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</si>
  <si>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</si>
  <si>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</si>
  <si>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</si>
  <si>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</si>
  <si>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</si>
  <si>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</si>
  <si>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</si>
  <si>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</si>
  <si>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</si>
  <si>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</si>
  <si>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</si>
  <si>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</si>
  <si>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</si>
  <si>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</si>
  <si>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</si>
  <si>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</si>
  <si>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</si>
  <si>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</si>
  <si>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</si>
  <si>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</si>
  <si>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</si>
  <si>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</si>
  <si>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</si>
  <si>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</si>
  <si>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</si>
  <si>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</si>
  <si>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</si>
  <si>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</si>
  <si>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</si>
  <si>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</si>
  <si>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</si>
  <si>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</si>
  <si>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</si>
  <si>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</si>
  <si>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</si>
  <si>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</si>
  <si>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</si>
  <si>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same Cima volume, cannor count twice, DO NOT LOAD VOLUME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</si>
  <si>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</si>
  <si>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</si>
  <si>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</si>
  <si>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</si>
  <si>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</si>
  <si>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</si>
  <si>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</si>
  <si>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</si>
  <si>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</si>
  <si>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</si>
  <si>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</si>
  <si>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</si>
  <si>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</si>
  <si>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</si>
  <si>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</si>
  <si>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</si>
  <si>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</si>
  <si>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</si>
  <si>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</si>
  <si>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</si>
  <si>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</si>
  <si>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</si>
  <si>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</si>
  <si>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</si>
  <si>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</si>
  <si>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</si>
  <si>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</si>
  <si>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</si>
  <si>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</si>
  <si>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</si>
  <si>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</si>
  <si>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</si>
  <si>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</si>
  <si>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</si>
  <si>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</si>
  <si>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</si>
  <si>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</si>
  <si>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</si>
  <si>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</si>
  <si>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</si>
  <si>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</si>
  <si>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</si>
  <si>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</si>
  <si>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</si>
  <si>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</si>
  <si>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</si>
  <si>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</si>
  <si>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</si>
  <si>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</si>
  <si>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</si>
  <si>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</si>
  <si>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</si>
  <si>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</si>
  <si>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</si>
  <si>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</si>
  <si>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</si>
  <si>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</si>
  <si>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</si>
  <si>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</si>
  <si>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</si>
  <si>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</si>
  <si>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</si>
  <si>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</si>
  <si>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</si>
  <si>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</si>
  <si>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</si>
  <si>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</si>
  <si>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</si>
  <si>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</si>
  <si>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</si>
  <si>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</si>
  <si>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</si>
  <si>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</si>
  <si>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</si>
  <si>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</si>
  <si>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</si>
  <si>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</si>
  <si>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</si>
  <si>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</si>
  <si>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</si>
  <si>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</si>
  <si>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</si>
  <si>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</si>
  <si>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</si>
  <si>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</si>
  <si>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</si>
  <si>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</si>
  <si>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</si>
  <si>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</si>
  <si>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</si>
  <si>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</si>
  <si>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</si>
  <si>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</si>
  <si>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</si>
  <si>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</si>
  <si>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</si>
  <si>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</si>
  <si>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</si>
  <si>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</si>
  <si>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</si>
  <si>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</si>
  <si>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</si>
  <si>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</si>
  <si>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</si>
  <si>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</si>
  <si>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</si>
  <si>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</si>
  <si>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</si>
  <si>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</si>
  <si>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</si>
  <si>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</si>
  <si>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</si>
  <si>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</si>
  <si>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</si>
  <si>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</si>
  <si>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</si>
  <si>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</si>
  <si>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</si>
  <si>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</si>
  <si>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</si>
  <si>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</si>
  <si>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</si>
  <si>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</si>
  <si>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</si>
  <si>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data input as of 12/31/22</t>
  </si>
  <si>
    <t>Values set from Q4 2022 numbers for Q1 &amp; Q2 in 2023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</si>
  <si>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</si>
  <si>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</si>
  <si>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</si>
  <si>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</si>
  <si>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</si>
  <si>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</si>
  <si>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BB 2303</t>
  </si>
  <si>
    <t>Per 12/31/22</t>
  </si>
  <si>
    <t>2305 file =</t>
  </si>
  <si>
    <r>
      <t xml:space="preserve">Data Input May 23 billing =May invoices = Apr </t>
    </r>
    <r>
      <rPr>
        <b/>
        <u val="singleAccounting"/>
        <sz val="11"/>
        <color theme="1"/>
        <rFont val="Calibri"/>
        <family val="2"/>
        <scheme val="minor"/>
      </rPr>
      <t>Flow  data= Apr Sales Volume</t>
    </r>
  </si>
  <si>
    <t>Apr.23 Usage</t>
  </si>
  <si>
    <t>Prior Month = Mar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</si>
</sst>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6.png"/><Relationship Id="rId1" Type="http://schemas.openxmlformats.org/officeDocument/2006/relationships/image" Target="../media/image11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27</xdr:col>
      <xdr:colOff>167571</xdr:colOff>
      <xdr:row>38</xdr:row>
      <xdr:rowOff>114825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7A471-8E96-A988-061B-EAF61F5B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9333" y="0"/>
          <a:ext cx="5628571" cy="708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599722</xdr:colOff>
      <xdr:row>38</xdr:row>
      <xdr:rowOff>134055</xdr:rowOff>
    </xdr:from>
    <xdr:to>
      <xdr:col>27</xdr:col>
      <xdr:colOff>170040</xdr:colOff>
      <xdr:row>73</xdr:row>
      <xdr:rowOff>180167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6C6BDD-12E1-E6F8-C21E-B3CA4656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278" y="7104944"/>
          <a:ext cx="5638095" cy="64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21167</xdr:colOff>
      <xdr:row>73</xdr:row>
      <xdr:rowOff>163793</xdr:rowOff>
    </xdr:from>
    <xdr:to>
      <xdr:col>27</xdr:col>
      <xdr:colOff>176390</xdr:colOff>
      <xdr:row>110</xdr:row>
      <xdr:rowOff>144866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E1ACF5-39F9-55B1-3673-D45075FD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13555237"/>
          <a:ext cx="5616223" cy="67685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12</xdr:col>
      <xdr:colOff>252814</xdr:colOff>
      <xdr:row>82</xdr:row>
      <xdr:rowOff>148424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DF563-3D72-43B8-3434-C97BFD7F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00" y="8896350"/>
          <a:ext cx="9485714" cy="6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34</xdr:col>
      <xdr:colOff>122633</xdr:colOff>
      <xdr:row>18</xdr:row>
      <xdr:rowOff>101219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B28B5-F4E3-5C02-CCC4-2310A97B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4650" y="368300"/>
          <a:ext cx="9533333" cy="30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</xdr:row>
      <xdr:rowOff>0</xdr:rowOff>
    </xdr:from>
    <xdr:to>
      <xdr:col>21</xdr:col>
      <xdr:colOff>75024</xdr:colOff>
      <xdr:row>25</xdr:row>
      <xdr:rowOff>133195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83954-E74F-14FD-3EAD-B62A8AE2E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200" y="3498850"/>
          <a:ext cx="9409524" cy="12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5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57</xdr:row>
      <xdr:rowOff>59532</xdr:rowOff>
    </xdr:from>
    <xdr:to>
      <xdr:col>15</xdr:col>
      <xdr:colOff>577084</xdr:colOff>
      <xdr:row>93</xdr:row>
      <xdr:rowOff>146226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25" y="10953751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29</xdr:row>
      <xdr:rowOff>142875</xdr:rowOff>
    </xdr:from>
    <xdr:to>
      <xdr:col>13</xdr:col>
      <xdr:colOff>58660</xdr:colOff>
      <xdr:row>46</xdr:row>
      <xdr:rowOff>67116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3FDF9-0470-1B41-8959-EE602EB0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" y="5703094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57</xdr:row>
      <xdr:rowOff>107156</xdr:rowOff>
    </xdr:from>
    <xdr:to>
      <xdr:col>6</xdr:col>
      <xdr:colOff>567610</xdr:colOff>
      <xdr:row>93</xdr:row>
      <xdr:rowOff>155745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1001375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550738</xdr:colOff>
      <xdr:row>22</xdr:row>
      <xdr:rowOff>105321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CAB049-64F9-C2F8-1364-55C28E4F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94156" y="381000"/>
          <a:ext cx="4801270" cy="3915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35" activePane="bottomRight" state="frozen"/>
      <selection pane="topRight" activeCell="E1" sqref="E1"/>
      <selection pane="bottomLeft" activeCell="A5" sqref="A5"/>
      <selection pane="bottomRight" activeCell="R53" sqref="R53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May 23 billing =May invoices = Apr Flow  data= Apr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276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13774.21</v>
      </c>
      <c r="G7" s="56"/>
      <c r="H7" s="79">
        <f>F7</f>
        <v>13774.21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1900.62</v>
      </c>
      <c r="G8" s="56"/>
      <c r="H8" s="79"/>
      <c r="I8" s="8"/>
      <c r="J8" s="79">
        <f>F8</f>
        <v>1900.62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470.58</v>
      </c>
      <c r="G9" s="56"/>
      <c r="H9" s="79"/>
      <c r="I9" s="8"/>
      <c r="J9" s="79"/>
      <c r="K9" s="8"/>
      <c r="L9" s="79"/>
      <c r="M9" s="8"/>
      <c r="N9" s="79">
        <f>F9</f>
        <v>470.58</v>
      </c>
      <c r="P9" s="79"/>
    </row>
    <row r="10" spans="1:16" x14ac:dyDescent="0.25">
      <c r="C10" t="s">
        <v>3</v>
      </c>
      <c r="F10" s="112">
        <v>68572.06</v>
      </c>
      <c r="G10" s="56"/>
      <c r="H10" s="79"/>
      <c r="I10" s="8"/>
      <c r="J10" s="79"/>
      <c r="K10" s="8"/>
      <c r="L10" s="79">
        <f>F10</f>
        <v>68572.06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1895.96</v>
      </c>
      <c r="G13" s="56"/>
      <c r="H13" s="79">
        <f>F13</f>
        <v>1895.96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12916.97</v>
      </c>
      <c r="G14" s="56"/>
      <c r="H14" s="79"/>
      <c r="I14" s="8"/>
      <c r="J14" s="79">
        <f>F14</f>
        <v>12916.97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418</v>
      </c>
      <c r="G15" s="56"/>
      <c r="H15" s="79"/>
      <c r="I15" s="8"/>
      <c r="J15" s="79"/>
      <c r="K15" s="8"/>
      <c r="L15" s="79"/>
      <c r="M15" s="8"/>
      <c r="N15" s="79">
        <f>F15</f>
        <v>418</v>
      </c>
      <c r="P15" s="79"/>
    </row>
    <row r="16" spans="1:16" x14ac:dyDescent="0.25">
      <c r="C16" t="s">
        <v>7</v>
      </c>
      <c r="F16" s="112">
        <v>13539.35</v>
      </c>
      <c r="G16" s="56"/>
      <c r="H16" s="79"/>
      <c r="I16" s="8"/>
      <c r="J16" s="79"/>
      <c r="K16" s="8"/>
      <c r="L16" s="79">
        <f>F16</f>
        <v>13539.35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9139.26</v>
      </c>
      <c r="G18" s="56"/>
      <c r="H18" s="79"/>
      <c r="I18" s="8"/>
      <c r="J18" s="79"/>
      <c r="K18" s="8"/>
      <c r="L18" s="79">
        <f>F18</f>
        <v>9139.26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283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277</v>
      </c>
      <c r="F21" s="112">
        <v>464.42</v>
      </c>
      <c r="G21" s="56"/>
      <c r="H21" s="79"/>
      <c r="I21" s="8"/>
      <c r="J21" s="79"/>
      <c r="K21" s="8"/>
      <c r="L21" s="79"/>
      <c r="M21" s="8"/>
      <c r="N21" s="79"/>
      <c r="P21" s="79">
        <f>+F21</f>
        <v>464.42</v>
      </c>
    </row>
    <row r="22" spans="2:16" x14ac:dyDescent="0.25">
      <c r="C22" t="s">
        <v>278</v>
      </c>
      <c r="F22" s="112">
        <v>729.81</v>
      </c>
      <c r="G22" s="56"/>
      <c r="H22" s="79"/>
      <c r="I22" s="8"/>
      <c r="J22" s="79"/>
      <c r="K22" s="8"/>
      <c r="L22" s="79"/>
      <c r="M22" s="8"/>
      <c r="N22" s="79"/>
      <c r="P22" s="79">
        <f>+F22</f>
        <v>729.81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247.11</v>
      </c>
      <c r="G25" s="56"/>
      <c r="H25" s="79">
        <f>F25</f>
        <v>247.11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188.15</v>
      </c>
      <c r="G26" s="56"/>
      <c r="H26" s="79"/>
      <c r="I26" s="8"/>
      <c r="J26" s="79">
        <f>F26</f>
        <v>188.15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1078.78</v>
      </c>
      <c r="G28" s="56"/>
      <c r="H28" s="79"/>
      <c r="I28" s="8"/>
      <c r="J28" s="79"/>
      <c r="K28" s="8"/>
      <c r="L28" s="79">
        <f>F28</f>
        <v>1078.78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2994.23</v>
      </c>
      <c r="G31" s="56"/>
      <c r="H31" s="79"/>
      <c r="I31" s="8"/>
      <c r="J31" s="79"/>
      <c r="K31" s="8"/>
      <c r="L31" s="79">
        <f>F31</f>
        <v>2994.23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279</v>
      </c>
      <c r="F34" s="112">
        <v>174.51</v>
      </c>
      <c r="G34" s="56"/>
      <c r="H34" s="79"/>
      <c r="I34" s="8"/>
      <c r="J34" s="79"/>
      <c r="K34" s="8"/>
      <c r="L34" s="79"/>
      <c r="M34" s="8"/>
      <c r="N34" s="79"/>
      <c r="P34" s="79">
        <f>+F34</f>
        <v>174.51</v>
      </c>
    </row>
    <row r="35" spans="2:16" x14ac:dyDescent="0.25">
      <c r="C35" t="s">
        <v>280</v>
      </c>
      <c r="F35" s="112">
        <v>384.19</v>
      </c>
      <c r="G35" s="56"/>
      <c r="H35" s="79"/>
      <c r="I35" s="8"/>
      <c r="J35" s="79"/>
      <c r="K35" s="8"/>
      <c r="L35" s="79"/>
      <c r="M35" s="8"/>
      <c r="N35" s="79"/>
      <c r="P35" s="79">
        <f>+F35</f>
        <v>384.19</v>
      </c>
    </row>
    <row r="36" spans="2:16" x14ac:dyDescent="0.25">
      <c r="C36" t="s">
        <v>120</v>
      </c>
      <c r="F36" s="112">
        <v>20.54</v>
      </c>
      <c r="G36" s="56"/>
      <c r="H36" s="79">
        <f>F36</f>
        <v>20.54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81.93</v>
      </c>
      <c r="G37" s="56"/>
      <c r="H37" s="79"/>
      <c r="I37" s="8"/>
      <c r="J37" s="79">
        <f>F37</f>
        <v>81.93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3025.55</v>
      </c>
      <c r="G39" s="56"/>
      <c r="H39" s="79"/>
      <c r="I39" s="8"/>
      <c r="J39" s="79"/>
      <c r="K39" s="8"/>
      <c r="L39" s="79">
        <f>F39</f>
        <v>3025.55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2676</v>
      </c>
      <c r="G42" s="56"/>
      <c r="H42" s="79">
        <f>F42</f>
        <v>2676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1740.85</v>
      </c>
      <c r="G43" s="56"/>
      <c r="H43" s="79"/>
      <c r="I43" s="8"/>
      <c r="J43" s="79">
        <f>F43</f>
        <v>1740.85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225</v>
      </c>
      <c r="G44" s="56"/>
      <c r="H44" s="79"/>
      <c r="I44" s="8"/>
      <c r="J44" s="79"/>
      <c r="K44" s="8"/>
      <c r="L44" s="79"/>
      <c r="M44" s="8"/>
      <c r="N44" s="79">
        <f>F44</f>
        <v>225</v>
      </c>
      <c r="P44" s="79"/>
    </row>
    <row r="45" spans="2:16" x14ac:dyDescent="0.25">
      <c r="C45" t="s">
        <v>24</v>
      </c>
      <c r="F45" s="112">
        <v>13627.27</v>
      </c>
      <c r="G45" s="56"/>
      <c r="H45" s="79"/>
      <c r="I45" s="8"/>
      <c r="J45" s="79"/>
      <c r="K45" s="8"/>
      <c r="L45" s="79">
        <f>F45</f>
        <v>13627.27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248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249</v>
      </c>
      <c r="F48" s="112">
        <v>348</v>
      </c>
      <c r="G48" s="56"/>
      <c r="H48" s="79">
        <f>F48</f>
        <v>348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250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251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252</v>
      </c>
      <c r="F51" s="112">
        <v>741.67</v>
      </c>
      <c r="G51" s="56"/>
      <c r="H51" s="79"/>
      <c r="I51" s="8"/>
      <c r="J51" s="79"/>
      <c r="K51" s="8"/>
      <c r="L51" s="79">
        <f>F51</f>
        <v>741.67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253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254</v>
      </c>
      <c r="F54" s="112">
        <v>2238.2800000000002</v>
      </c>
      <c r="G54" s="56"/>
      <c r="H54" s="79">
        <f>F54</f>
        <v>2238.2800000000002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255</v>
      </c>
      <c r="F55" s="112">
        <v>346.65</v>
      </c>
      <c r="G55" s="56"/>
      <c r="H55" s="79"/>
      <c r="I55" s="8"/>
      <c r="J55" s="79">
        <f>F55</f>
        <v>346.65</v>
      </c>
      <c r="K55" s="8"/>
      <c r="L55" s="79"/>
      <c r="M55" s="8"/>
      <c r="N55" s="79"/>
      <c r="P55" s="79"/>
    </row>
    <row r="56" spans="1:16" x14ac:dyDescent="0.25">
      <c r="C56" t="s">
        <v>256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257</v>
      </c>
      <c r="F57" s="112">
        <v>25704.45</v>
      </c>
      <c r="G57" s="56"/>
      <c r="H57" s="79"/>
      <c r="I57" s="8"/>
      <c r="J57" s="79"/>
      <c r="K57" s="8"/>
      <c r="L57" s="79">
        <f>F57</f>
        <v>25704.45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179664.4</v>
      </c>
      <c r="G59" s="57"/>
      <c r="H59" s="113">
        <f>SUM(H7:H57)</f>
        <v>21200.1</v>
      </c>
      <c r="I59" s="23"/>
      <c r="J59" s="113">
        <f>SUM(J7:J57)</f>
        <v>17175.170000000002</v>
      </c>
      <c r="K59" s="23"/>
      <c r="L59" s="113">
        <f>SUM(L7:L57)</f>
        <v>138422.62</v>
      </c>
      <c r="M59" s="23"/>
      <c r="N59" s="113">
        <f>SUM(N7:N57)</f>
        <v>1113.58</v>
      </c>
      <c r="P59" s="113">
        <f>SUM(P7:P57)</f>
        <v>1752.93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263</v>
      </c>
      <c r="P62" t="s">
        <v>262</v>
      </c>
    </row>
    <row r="63" spans="1:16" x14ac:dyDescent="0.25">
      <c r="D63" s="16" t="s">
        <v>160</v>
      </c>
      <c r="F63" s="115">
        <v>32962.93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254878.66341038232</v>
      </c>
      <c r="P63" s="60">
        <f>+L59+'Allocation Charges'!L21</f>
        <v>254878.66341038229</v>
      </c>
    </row>
    <row r="64" spans="1:16" x14ac:dyDescent="0.25">
      <c r="B64" s="16"/>
      <c r="D64" t="s">
        <v>156</v>
      </c>
      <c r="F64" s="102">
        <f>+F59</f>
        <v>179664.4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54083</v>
      </c>
      <c r="P64" s="60">
        <f>+H59+'Allocation Charges'!H21</f>
        <v>54077.879848662975</v>
      </c>
    </row>
    <row r="65" spans="4:16" x14ac:dyDescent="0.25">
      <c r="D65" t="s">
        <v>157</v>
      </c>
      <c r="F65" s="102">
        <f>+'Allocation Charges'!F21</f>
        <v>169330.52000000002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32632</v>
      </c>
      <c r="P65" s="60">
        <f>+J59+'Allocation Charges'!J21</f>
        <v>32627.591182169614</v>
      </c>
    </row>
    <row r="66" spans="4:16" x14ac:dyDescent="0.25">
      <c r="D66" t="s">
        <v>50</v>
      </c>
      <c r="F66" s="102">
        <f>SUM(F63:F65)</f>
        <v>381957.85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5661</v>
      </c>
      <c r="P66" s="60">
        <f>+N59+'Allocation Charges'!N21</f>
        <v>5657.8555587851215</v>
      </c>
    </row>
    <row r="67" spans="4:16" x14ac:dyDescent="0.25">
      <c r="D67" s="16" t="s">
        <v>158</v>
      </c>
      <c r="F67" s="115">
        <v>381957.85</v>
      </c>
      <c r="G67" s="8"/>
      <c r="H67" s="6" t="s">
        <v>164</v>
      </c>
      <c r="I67" s="8"/>
      <c r="J67" s="8"/>
      <c r="K67" s="8"/>
      <c r="L67" s="8" t="s">
        <v>276</v>
      </c>
      <c r="M67" s="8"/>
      <c r="N67" s="60">
        <f>+'NC Hydro'!F14</f>
        <v>1752.93</v>
      </c>
      <c r="P67" s="60">
        <f>+P59</f>
        <v>1752.93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261</v>
      </c>
      <c r="M68" s="8"/>
      <c r="N68" s="60">
        <f>SUM(N63:N67)</f>
        <v>349007.59341038234</v>
      </c>
      <c r="P68" s="60">
        <f>SUM(P63:P67)</f>
        <v>348994.92000000004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-12.673410382296424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F71" s="102">
        <f>+'Allocation Charges'!F34+'Commodity OK'!F41-'Direct Charges'!F63</f>
        <v>28028.269999999997</v>
      </c>
      <c r="L71" s="23"/>
      <c r="M71" s="23"/>
      <c r="N71" s="23"/>
    </row>
  </sheetData>
  <pageMargins left="0.7" right="0.7" top="0.75" bottom="0.75" header="0.3" footer="0.3"/>
  <pageSetup scale="39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H29"/>
  <sheetViews>
    <sheetView workbookViewId="0">
      <selection activeCell="L7" sqref="L7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44926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244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</row>
    <row r="4" spans="1:8" x14ac:dyDescent="0.25">
      <c r="A4" t="s">
        <v>245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8" x14ac:dyDescent="0.25">
      <c r="A5" s="117" t="s">
        <v>173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8" x14ac:dyDescent="0.25">
      <c r="B6" s="102"/>
      <c r="C6" s="102"/>
      <c r="D6" s="102"/>
      <c r="E6" s="134"/>
      <c r="F6" s="102"/>
      <c r="G6" s="102"/>
    </row>
    <row r="7" spans="1:8" x14ac:dyDescent="0.25">
      <c r="A7" s="16" t="s">
        <v>293</v>
      </c>
      <c r="B7" s="102"/>
      <c r="C7" s="102"/>
      <c r="D7" s="102"/>
      <c r="E7" s="134"/>
      <c r="F7" s="102"/>
      <c r="G7" s="102"/>
    </row>
    <row r="8" spans="1:8" x14ac:dyDescent="0.25">
      <c r="A8" t="s">
        <v>174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</row>
    <row r="9" spans="1:8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246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8" x14ac:dyDescent="0.25">
      <c r="A13" s="142" t="s">
        <v>179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8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168</v>
      </c>
    </row>
    <row r="18" spans="1:7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7" x14ac:dyDescent="0.25">
      <c r="A19" t="s">
        <v>247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</row>
    <row r="20" spans="1:7" x14ac:dyDescent="0.25">
      <c r="A20" s="117" t="s">
        <v>173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7" x14ac:dyDescent="0.25">
      <c r="A22" t="s">
        <v>293</v>
      </c>
      <c r="B22" s="102"/>
      <c r="C22" s="102"/>
      <c r="D22" s="102"/>
      <c r="E22" s="102"/>
      <c r="F22" s="102"/>
      <c r="G22" s="102"/>
    </row>
    <row r="23" spans="1:7" x14ac:dyDescent="0.25">
      <c r="A23" t="s">
        <v>174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</row>
    <row r="24" spans="1:7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7" x14ac:dyDescent="0.25">
      <c r="A25" s="130" t="s">
        <v>186</v>
      </c>
      <c r="C25" s="118"/>
      <c r="D25" s="118"/>
      <c r="E25" s="118"/>
      <c r="F25" s="118"/>
      <c r="G25" s="118"/>
    </row>
    <row r="26" spans="1:7" x14ac:dyDescent="0.25">
      <c r="A26" t="s">
        <v>185</v>
      </c>
    </row>
    <row r="27" spans="1:7" x14ac:dyDescent="0.25">
      <c r="A27" t="s">
        <v>246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7" x14ac:dyDescent="0.25">
      <c r="A28" t="s">
        <v>179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7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I23" sqref="I23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292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300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930873.98</v>
      </c>
      <c r="C8" s="94">
        <f t="shared" ref="C8:C13" si="0">$D$25</f>
        <v>0.74772351739659004</v>
      </c>
      <c r="D8" s="95">
        <v>6.4100000000000004E-2</v>
      </c>
      <c r="E8" s="79">
        <f t="shared" ref="E8:E13" si="1">B8*C8*D8</f>
        <v>44615.931097685891</v>
      </c>
      <c r="F8" s="79">
        <f t="shared" ref="F8:F13" si="2">E8/12</f>
        <v>3717.9942581404907</v>
      </c>
      <c r="G8" s="79">
        <f t="shared" ref="G8:G13" si="3">B8</f>
        <v>930873.98</v>
      </c>
      <c r="H8" s="13">
        <v>6</v>
      </c>
      <c r="I8" s="79">
        <f t="shared" ref="I8:I13" si="4">G8/H8</f>
        <v>155145.66333333333</v>
      </c>
      <c r="J8" s="79">
        <f t="shared" ref="J8:J13" si="5">I8/12</f>
        <v>12928.805277777778</v>
      </c>
      <c r="K8" s="79">
        <f>ROUNDUP(F8+J8,0)</f>
        <v>16647</v>
      </c>
    </row>
    <row r="9" spans="1:11" x14ac:dyDescent="0.25">
      <c r="A9" t="s">
        <v>32</v>
      </c>
      <c r="B9" s="195">
        <v>306568.88</v>
      </c>
      <c r="C9" s="94">
        <f t="shared" si="0"/>
        <v>0.74772351739659004</v>
      </c>
      <c r="D9" s="95">
        <v>6.4100000000000004E-2</v>
      </c>
      <c r="E9" s="79">
        <f t="shared" si="1"/>
        <v>14693.563597915516</v>
      </c>
      <c r="F9" s="79">
        <f t="shared" si="2"/>
        <v>1224.4636331596264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5483</v>
      </c>
    </row>
    <row r="10" spans="1:11" x14ac:dyDescent="0.25">
      <c r="A10" t="s">
        <v>47</v>
      </c>
      <c r="B10" s="195">
        <v>705882.72</v>
      </c>
      <c r="C10" s="94">
        <f t="shared" si="0"/>
        <v>0.74772351739659004</v>
      </c>
      <c r="D10" s="95">
        <v>6.4100000000000004E-2</v>
      </c>
      <c r="E10" s="79">
        <f t="shared" si="1"/>
        <v>33832.30756817061</v>
      </c>
      <c r="F10" s="79">
        <f t="shared" si="2"/>
        <v>2819.3589640142177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8702</v>
      </c>
    </row>
    <row r="11" spans="1:11" x14ac:dyDescent="0.25">
      <c r="A11" t="s">
        <v>48</v>
      </c>
      <c r="B11" s="195">
        <v>253932.31</v>
      </c>
      <c r="C11" s="94">
        <f t="shared" si="0"/>
        <v>0.74772351739659004</v>
      </c>
      <c r="D11" s="95">
        <v>6.4100000000000004E-2</v>
      </c>
      <c r="E11" s="79">
        <f t="shared" si="1"/>
        <v>12170.741356887227</v>
      </c>
      <c r="F11" s="79">
        <f t="shared" si="2"/>
        <v>1014.228446407269</v>
      </c>
      <c r="G11" s="79">
        <f t="shared" si="3"/>
        <v>253932.31</v>
      </c>
      <c r="H11" s="13">
        <v>5</v>
      </c>
      <c r="I11" s="79">
        <f t="shared" si="4"/>
        <v>50786.462</v>
      </c>
      <c r="J11" s="79">
        <f t="shared" si="5"/>
        <v>4232.2051666666666</v>
      </c>
      <c r="K11" s="79">
        <f t="shared" si="6"/>
        <v>5247</v>
      </c>
    </row>
    <row r="12" spans="1:11" x14ac:dyDescent="0.25">
      <c r="A12" t="s">
        <v>41</v>
      </c>
      <c r="B12" s="195">
        <v>199641.49</v>
      </c>
      <c r="C12" s="94">
        <f t="shared" si="0"/>
        <v>0.74772351739659004</v>
      </c>
      <c r="D12" s="95">
        <v>6.4100000000000004E-2</v>
      </c>
      <c r="E12" s="79">
        <f t="shared" si="1"/>
        <v>9568.6324394622625</v>
      </c>
      <c r="F12" s="79">
        <f t="shared" si="2"/>
        <v>797.38603662185517</v>
      </c>
      <c r="G12" s="79">
        <f t="shared" si="3"/>
        <v>199641.49</v>
      </c>
      <c r="H12" s="13">
        <v>4</v>
      </c>
      <c r="I12" s="79">
        <f t="shared" si="4"/>
        <v>49910.372499999998</v>
      </c>
      <c r="J12" s="79">
        <f t="shared" si="5"/>
        <v>4159.1977083333331</v>
      </c>
      <c r="K12" s="79">
        <f t="shared" si="6"/>
        <v>4957</v>
      </c>
    </row>
    <row r="13" spans="1:11" x14ac:dyDescent="0.25">
      <c r="A13" t="s">
        <v>31</v>
      </c>
      <c r="B13" s="195">
        <v>1115641.08</v>
      </c>
      <c r="C13" s="94">
        <f t="shared" si="0"/>
        <v>0.74772351739659004</v>
      </c>
      <c r="D13" s="95">
        <v>6.4100000000000004E-2</v>
      </c>
      <c r="E13" s="79">
        <f t="shared" si="1"/>
        <v>53471.647746591734</v>
      </c>
      <c r="F13" s="79">
        <f t="shared" si="2"/>
        <v>4455.9706455493115</v>
      </c>
      <c r="G13" s="79">
        <f t="shared" si="3"/>
        <v>1115641.08</v>
      </c>
      <c r="H13" s="13">
        <v>10</v>
      </c>
      <c r="I13" s="79">
        <f t="shared" si="4"/>
        <v>111564.10800000001</v>
      </c>
      <c r="J13" s="79">
        <f t="shared" si="5"/>
        <v>9297.009</v>
      </c>
      <c r="K13" s="79">
        <f t="shared" si="6"/>
        <v>13753</v>
      </c>
    </row>
    <row r="14" spans="1:11" x14ac:dyDescent="0.25">
      <c r="B14" s="120"/>
    </row>
    <row r="15" spans="1:11" x14ac:dyDescent="0.25">
      <c r="B15" s="121">
        <f>SUM(B8:B13)</f>
        <v>3512540.46</v>
      </c>
      <c r="D15" s="183">
        <f>AVERAGE(D8:D13)</f>
        <v>6.4100000000000004E-2</v>
      </c>
      <c r="E15" s="14">
        <f>SUM(E8:E13)</f>
        <v>168352.82380671325</v>
      </c>
      <c r="F15" s="22">
        <f>SUM(F8:F13)</f>
        <v>14029.401983892771</v>
      </c>
      <c r="G15" s="14">
        <f>SUM(G8:G13)</f>
        <v>3512540.46</v>
      </c>
      <c r="I15" s="14">
        <f>SUM(I8:I13)</f>
        <v>489089.69116666669</v>
      </c>
      <c r="J15" s="22">
        <f>SUM(J8:J13)</f>
        <v>40757.474263888886</v>
      </c>
      <c r="K15" s="22">
        <f>SUM(K8:K13)</f>
        <v>54789</v>
      </c>
    </row>
    <row r="19" spans="1:7" x14ac:dyDescent="0.25">
      <c r="A19" s="16" t="s">
        <v>266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183</v>
      </c>
      <c r="C25" s="198">
        <f>675186+9307627+(1433258*0.5)</f>
        <v>10699442</v>
      </c>
      <c r="D25" s="199">
        <f>C25/C27</f>
        <v>0.74772351739659004</v>
      </c>
      <c r="E25" s="198" t="s">
        <v>291</v>
      </c>
      <c r="F25" s="198"/>
      <c r="G25" s="200"/>
    </row>
    <row r="26" spans="1:7" x14ac:dyDescent="0.25">
      <c r="A26" s="201"/>
      <c r="B26" s="202" t="s">
        <v>182</v>
      </c>
      <c r="C26" s="203">
        <v>3609914</v>
      </c>
      <c r="D26" s="204">
        <f>C26/C27</f>
        <v>0.25227648260340996</v>
      </c>
      <c r="E26" s="198" t="s">
        <v>291</v>
      </c>
      <c r="F26" s="203"/>
      <c r="G26" s="205"/>
    </row>
    <row r="27" spans="1:7" ht="15.75" thickBot="1" x14ac:dyDescent="0.3">
      <c r="A27" s="206"/>
      <c r="B27" s="207"/>
      <c r="C27" s="208">
        <f>C25+C26</f>
        <v>14309356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0.74772351739659004</v>
      </c>
      <c r="D8" s="95">
        <v>6.4100000000000004E-2</v>
      </c>
      <c r="E8" s="79">
        <f>B8*C8*D8</f>
        <v>61733.314154926971</v>
      </c>
      <c r="F8" s="79">
        <f>E8/12</f>
        <v>5144.4428462439146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8118</v>
      </c>
    </row>
    <row r="10" spans="1:12" x14ac:dyDescent="0.25">
      <c r="B10" s="14">
        <f>SUM(B8:B8)</f>
        <v>1288013.82</v>
      </c>
      <c r="E10" s="14">
        <f>SUM(E8:E8)</f>
        <v>61733.314154926971</v>
      </c>
      <c r="F10" s="22">
        <f>SUM(F8:F8)</f>
        <v>5144.4428462439146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8118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1607</v>
      </c>
      <c r="L14" s="215">
        <f>+K14*12</f>
        <v>19284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756</v>
      </c>
      <c r="L15" s="215">
        <f t="shared" ref="L15:L18" si="1">+K15*12</f>
        <v>9072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5576</v>
      </c>
      <c r="L16" s="215">
        <f t="shared" si="1"/>
        <v>66912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181</v>
      </c>
      <c r="L17" s="215">
        <f t="shared" si="1"/>
        <v>2172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8120</v>
      </c>
      <c r="L18" s="106">
        <f t="shared" si="1"/>
        <v>97440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0.74772351739659004</v>
      </c>
      <c r="J8" s="95">
        <v>6.4100000000000004E-2</v>
      </c>
      <c r="L8" s="79">
        <f>F8*H8*J8</f>
        <v>30980.030913753351</v>
      </c>
      <c r="N8" s="79">
        <f>L8/12</f>
        <v>2581.6692428127794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5108</v>
      </c>
    </row>
    <row r="10" spans="3:27" x14ac:dyDescent="0.25">
      <c r="F10" s="14">
        <f>SUM(F8:F8)</f>
        <v>646372.36</v>
      </c>
      <c r="L10" s="14">
        <f>SUM(L8:L8)</f>
        <v>30980.030913753351</v>
      </c>
      <c r="N10" s="22">
        <f>SUM(N8:N8)</f>
        <v>2581.6692428127794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5108</v>
      </c>
    </row>
    <row r="13" spans="3:27" x14ac:dyDescent="0.25">
      <c r="C13" t="s">
        <v>61</v>
      </c>
      <c r="F13" s="8" t="s">
        <v>296</v>
      </c>
      <c r="T13" s="24" t="s">
        <v>259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1011</v>
      </c>
      <c r="AA14" s="241">
        <f>+Z14*12</f>
        <v>12132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476</v>
      </c>
      <c r="AA15" s="241">
        <f t="shared" ref="AA15:AA17" si="1">+Z15*12</f>
        <v>5712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3509</v>
      </c>
      <c r="AA16" s="242">
        <f t="shared" si="1"/>
        <v>42108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114</v>
      </c>
      <c r="AA17" s="241">
        <f t="shared" si="1"/>
        <v>1368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5110</v>
      </c>
      <c r="AA18" s="71">
        <f>SUM(AA14:AA17)</f>
        <v>61320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44561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244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245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173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265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246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179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168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7" x14ac:dyDescent="0.25">
      <c r="A19" t="s">
        <v>247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173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265</v>
      </c>
      <c r="B22" s="102"/>
      <c r="C22" s="102"/>
      <c r="D22" s="102"/>
      <c r="E22" s="102"/>
      <c r="F22" s="102"/>
      <c r="G22" s="102"/>
    </row>
    <row r="23" spans="1:7" x14ac:dyDescent="0.25">
      <c r="A23" t="s">
        <v>174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186</v>
      </c>
      <c r="C25" s="118"/>
      <c r="D25" s="118"/>
      <c r="E25" s="118"/>
      <c r="F25" s="118"/>
      <c r="G25" s="118"/>
    </row>
    <row r="26" spans="1:7" x14ac:dyDescent="0.25">
      <c r="A26" t="s">
        <v>185</v>
      </c>
    </row>
    <row r="27" spans="1:7" x14ac:dyDescent="0.25">
      <c r="A27" t="s">
        <v>246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179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44561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177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172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173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217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220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178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179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168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8" x14ac:dyDescent="0.25">
      <c r="A19" t="s">
        <v>172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173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176</v>
      </c>
      <c r="B22" s="102"/>
      <c r="C22" s="102"/>
      <c r="D22" s="102"/>
      <c r="E22" s="102"/>
      <c r="F22" s="102"/>
      <c r="G22" s="102"/>
    </row>
    <row r="23" spans="1:8" x14ac:dyDescent="0.25">
      <c r="A23" t="s">
        <v>174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220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186</v>
      </c>
      <c r="C25" s="118"/>
      <c r="D25" s="118"/>
      <c r="E25" s="118"/>
      <c r="F25" s="118"/>
      <c r="G25" s="118"/>
    </row>
    <row r="26" spans="1:8" x14ac:dyDescent="0.25">
      <c r="A26" t="s">
        <v>185</v>
      </c>
    </row>
    <row r="27" spans="1:8" x14ac:dyDescent="0.25">
      <c r="A27" t="s">
        <v>178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179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44196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177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172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173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217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220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178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179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168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8" x14ac:dyDescent="0.25">
      <c r="A19" t="s">
        <v>172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173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176</v>
      </c>
      <c r="B22" s="102"/>
      <c r="C22" s="102"/>
      <c r="D22" s="102"/>
      <c r="E22" s="102"/>
      <c r="F22" s="102"/>
      <c r="G22" s="102"/>
    </row>
    <row r="23" spans="1:8" x14ac:dyDescent="0.25">
      <c r="A23" t="s">
        <v>174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220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186</v>
      </c>
      <c r="C25" s="118"/>
      <c r="D25" s="118"/>
      <c r="E25" s="118"/>
      <c r="F25" s="118"/>
      <c r="G25" s="118"/>
    </row>
    <row r="26" spans="1:8" x14ac:dyDescent="0.25">
      <c r="A26" t="s">
        <v>185</v>
      </c>
    </row>
    <row r="27" spans="1:8" x14ac:dyDescent="0.25">
      <c r="A27" t="s">
        <v>178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179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286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285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266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183</v>
      </c>
      <c r="C25" s="198">
        <f>581993+9535881+(776344*0.5)</f>
        <v>10506046</v>
      </c>
      <c r="D25" s="199">
        <f>C25/C27</f>
        <v>0.7855011155173548</v>
      </c>
      <c r="E25" s="198" t="s">
        <v>258</v>
      </c>
      <c r="F25" s="198"/>
      <c r="G25" s="200"/>
    </row>
    <row r="26" spans="1:7" x14ac:dyDescent="0.25">
      <c r="A26" s="201"/>
      <c r="B26" s="202" t="s">
        <v>182</v>
      </c>
      <c r="C26" s="203">
        <v>2868914</v>
      </c>
      <c r="D26" s="204">
        <f>C26/C27</f>
        <v>0.21449888448264517</v>
      </c>
      <c r="E26" s="198" t="s">
        <v>258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218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233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219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232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221</v>
      </c>
    </row>
    <row r="43" spans="1:23" x14ac:dyDescent="0.25">
      <c r="N43" t="s">
        <v>222</v>
      </c>
      <c r="O43" t="s">
        <v>223</v>
      </c>
      <c r="P43" t="s">
        <v>224</v>
      </c>
      <c r="R43" t="s">
        <v>225</v>
      </c>
      <c r="S43" t="s">
        <v>226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222</v>
      </c>
      <c r="O44" t="s">
        <v>223</v>
      </c>
      <c r="P44" t="s">
        <v>227</v>
      </c>
      <c r="R44" t="s">
        <v>225</v>
      </c>
      <c r="S44" t="s">
        <v>228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222</v>
      </c>
      <c r="O45" t="s">
        <v>229</v>
      </c>
      <c r="P45" t="s">
        <v>230</v>
      </c>
      <c r="R45" t="s">
        <v>225</v>
      </c>
      <c r="S45" t="s">
        <v>231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183</v>
      </c>
      <c r="C48" s="198">
        <f>492+6852+(1087*0.5)</f>
        <v>7887.5</v>
      </c>
      <c r="D48" s="199">
        <f>C48/C50</f>
        <v>0.68369956225891737</v>
      </c>
      <c r="E48" s="198" t="s">
        <v>235</v>
      </c>
      <c r="F48" s="198"/>
      <c r="G48" s="200"/>
    </row>
    <row r="49" spans="1:7" x14ac:dyDescent="0.25">
      <c r="A49" s="201"/>
      <c r="B49" s="202" t="s">
        <v>182</v>
      </c>
      <c r="C49" s="203">
        <v>3649</v>
      </c>
      <c r="D49" s="204">
        <f>C49/C50</f>
        <v>0.31630043774108263</v>
      </c>
      <c r="E49" s="203" t="s">
        <v>235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34"/>
  <sheetViews>
    <sheetView zoomScaleNormal="100" workbookViewId="0">
      <selection activeCell="F23" sqref="F23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5703125" bestFit="1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2" x14ac:dyDescent="0.25">
      <c r="A1" s="16" t="s">
        <v>95</v>
      </c>
      <c r="F1" s="20" t="str">
        <f>+'Commodity OK'!H2</f>
        <v>Data Input May 23 billing =May invoices = Apr Flow  data= Apr Sales Volume</v>
      </c>
      <c r="G1" s="16"/>
      <c r="H1" s="16"/>
      <c r="I1" s="16"/>
      <c r="J1" s="16"/>
      <c r="K1" s="16"/>
      <c r="L1" s="16"/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2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294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2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2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2" x14ac:dyDescent="0.25">
      <c r="B7" t="s">
        <v>17</v>
      </c>
      <c r="F7" s="112">
        <f>6464.23-SUM('Direct Charges'!F25:F28)</f>
        <v>4950.1899999999996</v>
      </c>
      <c r="G7" s="8"/>
      <c r="H7" s="79">
        <f>F7*R$4</f>
        <v>979.65726869685159</v>
      </c>
      <c r="I7" s="8"/>
      <c r="J7" s="79">
        <f>F7*R$5</f>
        <v>460.43488336981676</v>
      </c>
      <c r="K7" s="8"/>
      <c r="L7" s="79">
        <f>F7*R$6</f>
        <v>3399.8218407715535</v>
      </c>
      <c r="M7" s="8"/>
      <c r="N7" s="79">
        <f>F7*R$7</f>
        <v>110.27600716177771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2" x14ac:dyDescent="0.25">
      <c r="B8" s="54" t="s">
        <v>15</v>
      </c>
      <c r="C8" s="54"/>
      <c r="D8" s="54"/>
      <c r="F8" s="112">
        <v>9498.99</v>
      </c>
      <c r="G8" s="8"/>
      <c r="H8" s="79">
        <f t="shared" ref="H8:H19" si="0">F8*R$4</f>
        <v>1879.8782670521146</v>
      </c>
      <c r="I8" s="8"/>
      <c r="J8" s="79">
        <f>F8*R$5</f>
        <v>883.53504669135043</v>
      </c>
      <c r="K8" s="8"/>
      <c r="L8" s="79">
        <f>F8*R$6</f>
        <v>6523.9664876036231</v>
      </c>
      <c r="M8" s="8"/>
      <c r="N8" s="79">
        <f>F8*R$7</f>
        <v>211.61019865291129</v>
      </c>
      <c r="O8" s="8"/>
      <c r="R8" s="151">
        <f>SUM(R4:R7)</f>
        <v>1</v>
      </c>
      <c r="S8" s="7"/>
      <c r="T8" s="151"/>
      <c r="U8" s="102"/>
    </row>
    <row r="9" spans="1:22" x14ac:dyDescent="0.25">
      <c r="B9" t="s">
        <v>18</v>
      </c>
      <c r="F9" s="112"/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102"/>
      <c r="V9" s="55"/>
    </row>
    <row r="10" spans="1:22" x14ac:dyDescent="0.25">
      <c r="B10" s="54" t="s">
        <v>19</v>
      </c>
      <c r="C10" s="54"/>
      <c r="D10" s="54"/>
      <c r="F10" s="112">
        <v>84787.520000000004</v>
      </c>
      <c r="G10" s="8"/>
      <c r="H10" s="79">
        <f>IF(N10=2000,(F10-N10)*(R4/(R8-R7)),(F10*R4))</f>
        <v>16757.197719917607</v>
      </c>
      <c r="I10" s="8"/>
      <c r="J10" s="83">
        <f>IF(N10=2000,(F10-N10)*(R5/(R8-R7)),(F10*R5))</f>
        <v>7875.8139446447212</v>
      </c>
      <c r="K10" s="8"/>
      <c r="L10" s="83">
        <f>IF(N10=2000,(F10-N10)*(R6/(R8-R7)),(F10*R6))</f>
        <v>58154.508335437677</v>
      </c>
      <c r="M10" s="8"/>
      <c r="N10" s="83">
        <f>IF((F10*R$7&lt;2000),(2000),F10*R$7)</f>
        <v>2000</v>
      </c>
      <c r="O10" s="8"/>
      <c r="P10" s="8"/>
      <c r="Q10" s="8"/>
      <c r="U10" s="73"/>
    </row>
    <row r="11" spans="1:22" x14ac:dyDescent="0.25">
      <c r="B11" t="s">
        <v>20</v>
      </c>
      <c r="F11" s="112">
        <f>11941.83-SUM('Direct Charges'!F34:F39)</f>
        <v>8255.11</v>
      </c>
      <c r="G11" s="8"/>
      <c r="H11" s="79">
        <f t="shared" si="0"/>
        <v>1633.7107293643412</v>
      </c>
      <c r="I11" s="8"/>
      <c r="J11" s="79">
        <f>F11*R$5</f>
        <v>767.83731736660786</v>
      </c>
      <c r="K11" s="8"/>
      <c r="L11" s="79">
        <f>F11*R$6</f>
        <v>5669.6618263080127</v>
      </c>
      <c r="M11" s="8"/>
      <c r="N11" s="79">
        <f>F11*R$7</f>
        <v>183.90012696103847</v>
      </c>
      <c r="O11" s="8"/>
      <c r="U11" s="73"/>
    </row>
    <row r="12" spans="1:22" x14ac:dyDescent="0.25">
      <c r="B12" t="s">
        <v>21</v>
      </c>
      <c r="F12" s="156">
        <f>29571.51-SUM('Direct Charges'!F42:F45)</f>
        <v>11302.389999999996</v>
      </c>
      <c r="G12" s="8"/>
      <c r="H12" s="79">
        <f t="shared" si="0"/>
        <v>2236.7764706297344</v>
      </c>
      <c r="I12" s="8"/>
      <c r="J12" s="79">
        <f>F12*R$5</f>
        <v>1051.275733143613</v>
      </c>
      <c r="K12" s="8"/>
      <c r="L12" s="79">
        <f>F12*R$6</f>
        <v>7762.5530282510344</v>
      </c>
      <c r="M12" s="8"/>
      <c r="N12" s="79">
        <f>F12*R$7</f>
        <v>251.78476797561396</v>
      </c>
      <c r="O12" s="8"/>
    </row>
    <row r="13" spans="1:22" x14ac:dyDescent="0.25">
      <c r="B13" t="s">
        <v>25</v>
      </c>
      <c r="F13" s="112">
        <v>21357.08</v>
      </c>
      <c r="G13" s="8"/>
      <c r="H13" s="79">
        <f t="shared" si="0"/>
        <v>4226.6294142528186</v>
      </c>
      <c r="I13" s="8"/>
      <c r="J13" s="79">
        <f>F13*R$5</f>
        <v>1986.4984250947637</v>
      </c>
      <c r="K13" s="8"/>
      <c r="L13" s="79">
        <f>F13*R$6</f>
        <v>14668.177795015008</v>
      </c>
      <c r="M13" s="8"/>
      <c r="N13" s="79">
        <f>F13*R$7</f>
        <v>475.7743656374119</v>
      </c>
      <c r="O13" s="8"/>
    </row>
    <row r="14" spans="1:22" x14ac:dyDescent="0.25">
      <c r="B14" t="s">
        <v>26</v>
      </c>
      <c r="F14" s="112">
        <v>0</v>
      </c>
      <c r="G14" s="8"/>
      <c r="H14" s="79">
        <f>F14*R$4</f>
        <v>0</v>
      </c>
      <c r="I14" s="8"/>
      <c r="J14" s="79">
        <f>F14*R$5</f>
        <v>0</v>
      </c>
      <c r="K14" s="8"/>
      <c r="L14" s="79">
        <f>F14*R$6</f>
        <v>0</v>
      </c>
      <c r="M14" s="8"/>
      <c r="N14" s="79">
        <f>F14*R$7</f>
        <v>0</v>
      </c>
      <c r="O14" s="8"/>
    </row>
    <row r="15" spans="1:22" x14ac:dyDescent="0.25">
      <c r="B15" t="s">
        <v>27</v>
      </c>
      <c r="F15" s="112">
        <v>12865.52</v>
      </c>
      <c r="G15" s="8"/>
      <c r="H15" s="79">
        <f>IF(N15=1000,(F15-N15)*(R4/(R8-R7)),(F15*R4))</f>
        <v>2401.7250992617824</v>
      </c>
      <c r="I15" s="8"/>
      <c r="J15" s="83">
        <f>IF(N15=1000,(F15-N15)*(R5/(R8-R7)),(F15*R5))</f>
        <v>1128.8009095629491</v>
      </c>
      <c r="K15" s="8"/>
      <c r="L15" s="83">
        <f>IF(N15=1000,(F15-N15)*(R6/(R8-R7)),(F15*R6))</f>
        <v>8334.9939911752699</v>
      </c>
      <c r="M15" s="8"/>
      <c r="N15" s="83">
        <f>IF((F15*R$7&lt;1000),(1000),F15*R$7)</f>
        <v>1000</v>
      </c>
      <c r="O15" s="8"/>
      <c r="Q15" s="8"/>
    </row>
    <row r="16" spans="1:22" x14ac:dyDescent="0.25">
      <c r="B16" t="s">
        <v>201</v>
      </c>
      <c r="F16" s="112">
        <v>2356.35</v>
      </c>
      <c r="G16" s="8"/>
      <c r="H16" s="79">
        <v>0</v>
      </c>
      <c r="I16" s="8"/>
      <c r="J16" s="79">
        <v>0</v>
      </c>
      <c r="K16" s="8"/>
      <c r="L16" s="79">
        <f>+F16</f>
        <v>2356.35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6561.68</v>
      </c>
      <c r="G18" s="8"/>
      <c r="H18" s="79">
        <f t="shared" si="0"/>
        <v>1298.575914634137</v>
      </c>
      <c r="I18" s="8"/>
      <c r="J18" s="79">
        <f>F18*R$5</f>
        <v>610.32533408011807</v>
      </c>
      <c r="K18" s="8"/>
      <c r="L18" s="79">
        <f>F18*R$6</f>
        <v>4506.6033780832431</v>
      </c>
      <c r="M18" s="8"/>
      <c r="N18" s="79">
        <f>F18*R$7</f>
        <v>146.17537320250207</v>
      </c>
      <c r="O18" s="8"/>
    </row>
    <row r="19" spans="1:19" x14ac:dyDescent="0.25">
      <c r="B19" t="s">
        <v>30</v>
      </c>
      <c r="F19" s="112">
        <v>7395.69</v>
      </c>
      <c r="G19" s="8"/>
      <c r="H19" s="79">
        <f t="shared" si="0"/>
        <v>1463.6289648535953</v>
      </c>
      <c r="I19" s="8"/>
      <c r="J19" s="79">
        <f>F19*R$5</f>
        <v>687.89958821566859</v>
      </c>
      <c r="K19" s="8"/>
      <c r="L19" s="79">
        <f>F19*R$6</f>
        <v>5079.4067277368686</v>
      </c>
      <c r="M19" s="8"/>
      <c r="N19" s="79">
        <f>F19*R$7</f>
        <v>164.75471919386686</v>
      </c>
      <c r="O19" s="8"/>
      <c r="R19" t="s">
        <v>193</v>
      </c>
      <c r="S19" t="s">
        <v>191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33511.011644041471</v>
      </c>
      <c r="S20" s="55">
        <f>+H21-R20</f>
        <v>-633.23179537849501</v>
      </c>
    </row>
    <row r="21" spans="1:19" x14ac:dyDescent="0.25">
      <c r="F21" s="84">
        <f>SUM(F6:F19)</f>
        <v>169330.52000000002</v>
      </c>
      <c r="G21" s="23"/>
      <c r="H21" s="84">
        <f>SUM(H6:H19)</f>
        <v>32877.779848662976</v>
      </c>
      <c r="I21" s="23"/>
      <c r="J21" s="84">
        <f>SUM(J6:J19)</f>
        <v>15452.42118216961</v>
      </c>
      <c r="K21" s="23"/>
      <c r="L21" s="84">
        <f>SUM(L6:L19)</f>
        <v>116456.04341038231</v>
      </c>
      <c r="M21" s="23"/>
      <c r="N21" s="84">
        <f>SUM(N6:N19)</f>
        <v>4544.2755587851216</v>
      </c>
      <c r="O21" s="23"/>
      <c r="P21" s="244" t="s">
        <v>11</v>
      </c>
      <c r="Q21" s="244"/>
      <c r="R21" s="150">
        <f>+F21*R5</f>
        <v>15750.037519196321</v>
      </c>
      <c r="S21" s="55">
        <f>+J21-R21</f>
        <v>-297.61633702671134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116297.2734794431</v>
      </c>
      <c r="S22" s="55">
        <f>+L21-R22</f>
        <v>158.76993093920464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3772.1973573191226</v>
      </c>
      <c r="S23" s="55">
        <f>+N21-R23</f>
        <v>772.07820146599897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169330.52000000002</v>
      </c>
      <c r="S24" s="153">
        <f>SUM(S20:S23)</f>
        <v>-2.7284841053187847E-12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16647</v>
      </c>
      <c r="G27" s="6"/>
      <c r="H27" s="79">
        <f t="shared" ref="H27:H29" si="1">F27*R$4</f>
        <v>3294.4906260156663</v>
      </c>
      <c r="I27" s="8"/>
      <c r="J27" s="85">
        <f t="shared" ref="J27:J29" si="2">F27*R$5</f>
        <v>1548.39703192349</v>
      </c>
      <c r="K27" s="8"/>
      <c r="L27" s="79">
        <f t="shared" ref="L27:L29" si="3">F27*R$6</f>
        <v>11433.265022822165</v>
      </c>
      <c r="M27" s="8"/>
      <c r="N27" s="79">
        <f t="shared" ref="N27:N29" si="4">F27*R$7</f>
        <v>370.84731923867849</v>
      </c>
      <c r="O27" s="8"/>
    </row>
    <row r="28" spans="1:19" x14ac:dyDescent="0.25">
      <c r="B28" t="s">
        <v>32</v>
      </c>
      <c r="F28" s="79">
        <f>'2023 NUC Rent'!K9</f>
        <v>5483</v>
      </c>
      <c r="G28" s="6"/>
      <c r="H28" s="79">
        <f t="shared" si="1"/>
        <v>1085.1019464434371</v>
      </c>
      <c r="I28" s="8"/>
      <c r="J28" s="85">
        <f t="shared" si="2"/>
        <v>509.99344783062986</v>
      </c>
      <c r="K28" s="8"/>
      <c r="L28" s="79">
        <f t="shared" si="3"/>
        <v>3765.7591229731443</v>
      </c>
      <c r="M28" s="8"/>
      <c r="N28" s="79">
        <f t="shared" si="4"/>
        <v>122.14548275278874</v>
      </c>
      <c r="O28" s="8"/>
    </row>
    <row r="29" spans="1:19" x14ac:dyDescent="0.25">
      <c r="B29" t="s">
        <v>47</v>
      </c>
      <c r="F29" s="79">
        <f>'2023 NUC Rent'!K10</f>
        <v>8702</v>
      </c>
      <c r="G29" s="6"/>
      <c r="H29" s="79">
        <f t="shared" si="1"/>
        <v>1722.1515845250392</v>
      </c>
      <c r="I29" s="8"/>
      <c r="J29" s="85">
        <f t="shared" si="2"/>
        <v>809.4041552110416</v>
      </c>
      <c r="K29" s="8"/>
      <c r="L29" s="79">
        <f t="shared" si="3"/>
        <v>5976.5887083918115</v>
      </c>
      <c r="M29" s="8"/>
      <c r="N29" s="79">
        <f t="shared" si="4"/>
        <v>193.8555518721079</v>
      </c>
      <c r="O29" s="8"/>
    </row>
    <row r="30" spans="1:19" x14ac:dyDescent="0.25">
      <c r="B30" t="s">
        <v>48</v>
      </c>
      <c r="F30" s="79">
        <f>'2023 NUC Rent'!K11</f>
        <v>5247</v>
      </c>
      <c r="G30" s="6"/>
      <c r="H30" s="79">
        <f>F30*R$4</f>
        <v>1038.396847161903</v>
      </c>
      <c r="I30" s="8"/>
      <c r="J30" s="85">
        <f>F30*R$5</f>
        <v>488.04224343740924</v>
      </c>
      <c r="K30" s="8"/>
      <c r="L30" s="79">
        <f>F30*R$6</f>
        <v>3603.6728284224127</v>
      </c>
      <c r="M30" s="8"/>
      <c r="N30" s="79">
        <f>F30*R$7</f>
        <v>116.88808097827511</v>
      </c>
      <c r="O30" s="8"/>
    </row>
    <row r="31" spans="1:19" x14ac:dyDescent="0.25">
      <c r="B31" t="s">
        <v>41</v>
      </c>
      <c r="F31" s="79">
        <f>'2023 NUC Rent'!K12</f>
        <v>4957</v>
      </c>
      <c r="G31" s="6"/>
      <c r="H31" s="79">
        <f>F31*R$4</f>
        <v>981.00498787527226</v>
      </c>
      <c r="I31" s="8"/>
      <c r="J31" s="79">
        <f>F31*R$5</f>
        <v>461.06830583557036</v>
      </c>
      <c r="K31" s="8"/>
      <c r="L31" s="79">
        <f>F31*R$6</f>
        <v>3404.4989918982083</v>
      </c>
      <c r="M31" s="8"/>
      <c r="N31" s="79">
        <f>F31*R$7</f>
        <v>110.42771439094906</v>
      </c>
      <c r="O31" s="8"/>
    </row>
    <row r="32" spans="1:19" x14ac:dyDescent="0.25">
      <c r="B32" t="s">
        <v>31</v>
      </c>
      <c r="F32" s="79">
        <f>'2023 NUC Rent'!K13</f>
        <v>13753</v>
      </c>
      <c r="G32" s="6"/>
      <c r="H32" s="79">
        <f>F32*R$4</f>
        <v>2721.7594509277019</v>
      </c>
      <c r="I32" s="8"/>
      <c r="J32" s="79">
        <f>F32*R$5</f>
        <v>1279.2157373727252</v>
      </c>
      <c r="K32" s="8"/>
      <c r="L32" s="79">
        <f>F32*R$6</f>
        <v>9445.6474955771755</v>
      </c>
      <c r="M32" s="8"/>
      <c r="N32" s="79">
        <f>F32*R$7</f>
        <v>306.37731612239713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54789</v>
      </c>
      <c r="G34" s="20"/>
      <c r="H34" s="84">
        <f>SUM(H27:H32)</f>
        <v>10842.905442949021</v>
      </c>
      <c r="I34" s="23"/>
      <c r="J34" s="84">
        <f>SUM(J27:J32)</f>
        <v>5096.1209216108664</v>
      </c>
      <c r="K34" s="23"/>
      <c r="L34" s="84">
        <f>SUM(L27:L32)</f>
        <v>37629.432170084918</v>
      </c>
      <c r="M34" s="23"/>
      <c r="N34" s="84">
        <f>SUM(N27:N32)</f>
        <v>1220.5414653551964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271</v>
      </c>
      <c r="T13" s="24" t="s">
        <v>259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236</v>
      </c>
      <c r="T13" s="24" t="s">
        <v>216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38" activePane="bottomRight" state="frozen"/>
      <selection pane="topRight" activeCell="E1" sqref="E1"/>
      <selection pane="bottomLeft" activeCell="A5" sqref="A5"/>
      <selection pane="bottomRight" activeCell="J57" sqref="J57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May 23 billing =May invoices = Apr Flow  data= Apr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294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68572.06</v>
      </c>
      <c r="G6" s="60"/>
      <c r="H6" s="85">
        <f>ROUNDUP(IF(N6=2500,(F6-L6-N6)*(Q4/(Q8-Q6-Q7)),(F6*R4)),0)</f>
        <v>36075</v>
      </c>
      <c r="I6" s="60"/>
      <c r="J6" s="227">
        <f>ROUNDUP(IF(SUM(H6,L6,N6,F6*R5)&gt;F6,((F6-L6-N6)*(Q5/(Q8-Q6-Q7))),(F6*R5)),0)</f>
        <v>21889</v>
      </c>
      <c r="K6" s="60"/>
      <c r="L6" s="85">
        <f>ROUNDUP(IF((F6*R$6&lt;2500),(2500),F6*R$6),0)</f>
        <v>4342</v>
      </c>
      <c r="M6" s="60"/>
      <c r="N6" s="85">
        <f>ROUNDUP(IF((F6*R$7&lt;2500),(2500),F6*R$7),0)</f>
        <v>6268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13539.35</v>
      </c>
      <c r="G7" s="60"/>
      <c r="H7" s="85">
        <f>ROUNDUP(F7*R$4,0)</f>
        <v>7123</v>
      </c>
      <c r="I7" s="60"/>
      <c r="J7" s="227">
        <f>ROUNDUP(F7*R$5,0)</f>
        <v>4322</v>
      </c>
      <c r="K7" s="60"/>
      <c r="L7" s="85">
        <f>ROUNDUP(F7*R$6,0)</f>
        <v>858</v>
      </c>
      <c r="M7" s="60"/>
      <c r="N7" s="85">
        <f>ROUNDUP(F7*R$7,0)</f>
        <v>1238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9139.26</v>
      </c>
      <c r="G9" s="60"/>
      <c r="H9" s="85">
        <v>0</v>
      </c>
      <c r="I9" s="60"/>
      <c r="J9" s="227">
        <v>0</v>
      </c>
      <c r="K9" s="60"/>
      <c r="L9" s="85">
        <f>ROUNDUP(F9,0)</f>
        <v>9140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1078.78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3399.8218407715535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4478.6018407715537</v>
      </c>
      <c r="G13" s="60"/>
      <c r="H13" s="85">
        <f>ROUNDUP(F13*R$4,0)</f>
        <v>2357</v>
      </c>
      <c r="I13" s="60"/>
      <c r="J13" s="227">
        <f>ROUNDUP(F13*R$5,0)</f>
        <v>1430</v>
      </c>
      <c r="K13" s="60"/>
      <c r="L13" s="85">
        <f>ROUNDUP(F13*R$6,0)</f>
        <v>284</v>
      </c>
      <c r="M13" s="60"/>
      <c r="N13" s="85">
        <f>ROUNDUP(F13*R$7,0)</f>
        <v>410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2994.23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6523.9664876036231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9518.1964876036236</v>
      </c>
      <c r="G17" s="60"/>
      <c r="H17" s="85">
        <f>ROUNDUP(F17*R$4,0)</f>
        <v>5008</v>
      </c>
      <c r="I17" s="60"/>
      <c r="J17" s="227">
        <f>ROUNDUP(F17*R$5,0)</f>
        <v>3039</v>
      </c>
      <c r="K17" s="60"/>
      <c r="L17" s="85">
        <f>ROUNDUP(F17*R$6,0)</f>
        <v>603</v>
      </c>
      <c r="M17" s="60"/>
      <c r="N17" s="85">
        <f>ROUNDUP(F17*R$7,0)</f>
        <v>870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58154.508335437677</v>
      </c>
      <c r="G19" s="60"/>
      <c r="H19" s="85">
        <f>ROUNDUP(F19*R$4,0)</f>
        <v>30595</v>
      </c>
      <c r="I19" s="60"/>
      <c r="J19" s="227">
        <f>ROUNDUP(F19*R$5,0)</f>
        <v>18564</v>
      </c>
      <c r="K19" s="60"/>
      <c r="L19" s="85">
        <f>ROUNDUP(F19*R$6,0)</f>
        <v>3683</v>
      </c>
      <c r="M19" s="60"/>
      <c r="N19" s="85">
        <f>ROUNDUP(F19*R$7,0)</f>
        <v>5315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3025.55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5669.6618263080127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8695.211826308012</v>
      </c>
      <c r="G23" s="60"/>
      <c r="H23" s="85">
        <f>ROUNDUP(F23*R$4,0)</f>
        <v>4575</v>
      </c>
      <c r="I23" s="60"/>
      <c r="J23" s="227">
        <f>ROUNDUP(F23*R$5,0)</f>
        <v>2776</v>
      </c>
      <c r="K23" s="60"/>
      <c r="L23" s="85">
        <f>ROUNDUP(F23*R$6,0)</f>
        <v>551</v>
      </c>
      <c r="M23" s="60"/>
      <c r="N23" s="85">
        <f>ROUNDUP(F23*R$7,0)</f>
        <v>795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13627.27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7762.5530282510344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21389.823028251034</v>
      </c>
      <c r="G27" s="60"/>
      <c r="H27" s="85">
        <f>ROUNDUP(F27*R$4,0)</f>
        <v>11253</v>
      </c>
      <c r="I27" s="60"/>
      <c r="J27" s="227">
        <f>ROUNDUP(F27*R$5,0)</f>
        <v>6828</v>
      </c>
      <c r="K27" s="60"/>
      <c r="L27" s="85">
        <f>ROUNDUP(F27*R$6,0)</f>
        <v>1355</v>
      </c>
      <c r="M27" s="60"/>
      <c r="N27" s="85">
        <f>ROUNDUP(F27*R$7,0)</f>
        <v>1955</v>
      </c>
    </row>
    <row r="28" spans="2:22" x14ac:dyDescent="0.25">
      <c r="B28" t="s">
        <v>25</v>
      </c>
      <c r="F28" s="85">
        <f>'Allocation Charges'!L13</f>
        <v>14668.177795015008</v>
      </c>
      <c r="G28" s="60"/>
      <c r="H28" s="85">
        <f>ROUNDUP(F28*R$4,0)</f>
        <v>7717</v>
      </c>
      <c r="I28" s="60"/>
      <c r="J28" s="227">
        <f>ROUNDUP(F28*R$5,0)</f>
        <v>4683</v>
      </c>
      <c r="K28" s="60"/>
      <c r="L28" s="85">
        <f>ROUNDUP(F28*R$6,0)</f>
        <v>929</v>
      </c>
      <c r="M28" s="60"/>
      <c r="N28" s="85">
        <f>ROUNDUP(F28*R$7,0)</f>
        <v>1341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741.67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0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741.67</v>
      </c>
      <c r="G32" s="60"/>
      <c r="H32" s="85">
        <f>ROUNDUP(F32*R$4,0)</f>
        <v>391</v>
      </c>
      <c r="I32" s="60"/>
      <c r="J32" s="227">
        <f>ROUNDUP(F32*R$5,0)</f>
        <v>237</v>
      </c>
      <c r="K32" s="60"/>
      <c r="L32" s="85">
        <f>ROUNDUP(F32*R$6,0)</f>
        <v>47</v>
      </c>
      <c r="M32" s="60"/>
      <c r="N32" s="85">
        <f>ROUNDUP(F32*R$7,0)</f>
        <v>68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25704.45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8334.9939911752699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34039.443991175271</v>
      </c>
      <c r="G36" s="60"/>
      <c r="H36" s="85">
        <f>ROUNDUP(F36*R$4,0)</f>
        <v>17908</v>
      </c>
      <c r="I36" s="60"/>
      <c r="J36" s="227">
        <f>ROUNDUP(F36*R$5,0)</f>
        <v>10866</v>
      </c>
      <c r="K36" s="60"/>
      <c r="L36" s="85">
        <f>ROUNDUP(F36*R$6,0)</f>
        <v>2156</v>
      </c>
      <c r="M36" s="60"/>
      <c r="N36" s="85">
        <f>ROUNDUP(F36*R$7,0)</f>
        <v>3111</v>
      </c>
    </row>
    <row r="37" spans="1:17" x14ac:dyDescent="0.25">
      <c r="B37" t="s">
        <v>201</v>
      </c>
      <c r="F37" s="85">
        <f>'Allocation Charges'!L16</f>
        <v>2356.35</v>
      </c>
      <c r="G37" s="60"/>
      <c r="H37" s="85">
        <f>ROUNDUP(F37*R$4,0)</f>
        <v>1240</v>
      </c>
      <c r="I37" s="60"/>
      <c r="J37" s="227">
        <f>ROUNDUP(F37*R$5,0)</f>
        <v>753</v>
      </c>
      <c r="K37" s="60"/>
      <c r="L37" s="85">
        <f>ROUNDUP(F37*R$6,0)</f>
        <v>150</v>
      </c>
      <c r="M37" s="60"/>
      <c r="N37" s="85">
        <f>ROUNDUP(F37*R$7,0)</f>
        <v>216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4506.6033780832431</v>
      </c>
      <c r="G39" s="60"/>
      <c r="H39" s="85">
        <f>ROUNDUP(F39*R$4,0)</f>
        <v>2371</v>
      </c>
      <c r="I39" s="60"/>
      <c r="J39" s="227">
        <f>ROUNDUP(F39*R$5,0)</f>
        <v>1439</v>
      </c>
      <c r="K39" s="60"/>
      <c r="L39" s="85">
        <f>ROUNDUP(F39*R$6,0)</f>
        <v>286</v>
      </c>
      <c r="M39" s="60"/>
      <c r="N39" s="85">
        <f>ROUNDUP(F39*R$7,0)</f>
        <v>412</v>
      </c>
    </row>
    <row r="40" spans="1:17" x14ac:dyDescent="0.25">
      <c r="B40" t="s">
        <v>30</v>
      </c>
      <c r="F40" s="85">
        <f>'Allocation Charges'!L19</f>
        <v>5079.4067277368686</v>
      </c>
      <c r="G40" s="60"/>
      <c r="H40" s="85">
        <f>ROUNDUP(F40*R$4,0)</f>
        <v>2673</v>
      </c>
      <c r="I40" s="60"/>
      <c r="J40" s="227">
        <f>ROUNDUP(F40*R$5,0)</f>
        <v>1622</v>
      </c>
      <c r="K40" s="60"/>
      <c r="L40" s="85">
        <f>ROUNDUP(F40*R$6,0)</f>
        <v>322</v>
      </c>
      <c r="M40" s="60"/>
      <c r="N40" s="85">
        <f>ROUNDUP(F40*R$7,0)</f>
        <v>465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254878.66341038232</v>
      </c>
      <c r="G42" s="60"/>
      <c r="H42" s="224">
        <f>SUM(H6:H41)</f>
        <v>129286</v>
      </c>
      <c r="I42" s="60"/>
      <c r="J42" s="224">
        <f>SUM(J6:J41)</f>
        <v>78448</v>
      </c>
      <c r="K42" s="60"/>
      <c r="L42" s="224">
        <f>SUM(L6:L41)</f>
        <v>24706</v>
      </c>
      <c r="M42" s="60"/>
      <c r="N42" s="224">
        <f>SUM(N6:N41)</f>
        <v>22464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11433.265022822165</v>
      </c>
      <c r="G46" s="8"/>
      <c r="H46" s="85">
        <f t="shared" ref="H46:H51" si="0">ROUNDUP(F46*R$4,0)</f>
        <v>6015</v>
      </c>
      <c r="I46" s="8"/>
      <c r="J46" s="227">
        <f t="shared" ref="J46:J51" si="1">ROUNDUP(F46*R$5,0)</f>
        <v>3650</v>
      </c>
      <c r="K46" s="8"/>
      <c r="L46" s="85">
        <f t="shared" ref="L46:L51" si="2">ROUNDUP(F46*R$6,0)</f>
        <v>724</v>
      </c>
      <c r="M46" s="8"/>
      <c r="N46" s="85">
        <f t="shared" ref="N46:N51" si="3">ROUNDUP(F46*R$7,0)</f>
        <v>1045</v>
      </c>
    </row>
    <row r="47" spans="1:17" x14ac:dyDescent="0.25">
      <c r="B47" t="s">
        <v>102</v>
      </c>
      <c r="F47" s="85">
        <f>'Allocation Charges'!L28</f>
        <v>3765.7591229731443</v>
      </c>
      <c r="G47" s="8"/>
      <c r="H47" s="85">
        <f t="shared" si="0"/>
        <v>1982</v>
      </c>
      <c r="I47" s="8"/>
      <c r="J47" s="227">
        <f t="shared" si="1"/>
        <v>1203</v>
      </c>
      <c r="K47" s="8"/>
      <c r="L47" s="85">
        <f t="shared" si="2"/>
        <v>239</v>
      </c>
      <c r="M47" s="8"/>
      <c r="N47" s="85">
        <f t="shared" si="3"/>
        <v>345</v>
      </c>
    </row>
    <row r="48" spans="1:17" x14ac:dyDescent="0.25">
      <c r="B48" t="s">
        <v>103</v>
      </c>
      <c r="F48" s="85">
        <f>'Allocation Charges'!L29</f>
        <v>5976.5887083918115</v>
      </c>
      <c r="G48" s="8"/>
      <c r="H48" s="85">
        <f t="shared" si="0"/>
        <v>3145</v>
      </c>
      <c r="I48" s="8"/>
      <c r="J48" s="227">
        <f t="shared" si="1"/>
        <v>1908</v>
      </c>
      <c r="K48" s="8"/>
      <c r="L48" s="85">
        <f t="shared" si="2"/>
        <v>379</v>
      </c>
      <c r="M48" s="8"/>
      <c r="N48" s="85">
        <f t="shared" si="3"/>
        <v>547</v>
      </c>
    </row>
    <row r="49" spans="1:14" x14ac:dyDescent="0.25">
      <c r="B49" t="s">
        <v>104</v>
      </c>
      <c r="F49" s="85">
        <f>'Allocation Charges'!L30</f>
        <v>3603.6728284224127</v>
      </c>
      <c r="G49" s="8"/>
      <c r="H49" s="85">
        <f t="shared" si="0"/>
        <v>1896</v>
      </c>
      <c r="I49" s="8"/>
      <c r="J49" s="227">
        <f t="shared" si="1"/>
        <v>1151</v>
      </c>
      <c r="K49" s="8"/>
      <c r="L49" s="85">
        <f t="shared" si="2"/>
        <v>229</v>
      </c>
      <c r="M49" s="8"/>
      <c r="N49" s="85">
        <f t="shared" si="3"/>
        <v>330</v>
      </c>
    </row>
    <row r="50" spans="1:14" x14ac:dyDescent="0.25">
      <c r="B50" t="s">
        <v>105</v>
      </c>
      <c r="F50" s="85">
        <f>'Allocation Charges'!L31</f>
        <v>3404.4989918982083</v>
      </c>
      <c r="G50" s="8"/>
      <c r="H50" s="85">
        <f t="shared" si="0"/>
        <v>1792</v>
      </c>
      <c r="I50" s="8"/>
      <c r="J50" s="227">
        <f t="shared" si="1"/>
        <v>1087</v>
      </c>
      <c r="K50" s="8"/>
      <c r="L50" s="85">
        <f t="shared" si="2"/>
        <v>216</v>
      </c>
      <c r="M50" s="8"/>
      <c r="N50" s="85">
        <f t="shared" si="3"/>
        <v>312</v>
      </c>
    </row>
    <row r="51" spans="1:14" x14ac:dyDescent="0.25">
      <c r="B51" t="s">
        <v>106</v>
      </c>
      <c r="F51" s="85">
        <f>'Allocation Charges'!L32</f>
        <v>9445.6474955771755</v>
      </c>
      <c r="G51" s="8"/>
      <c r="H51" s="85">
        <f t="shared" si="0"/>
        <v>4970</v>
      </c>
      <c r="I51" s="8"/>
      <c r="J51" s="227">
        <f t="shared" si="1"/>
        <v>3016</v>
      </c>
      <c r="K51" s="8"/>
      <c r="L51" s="85">
        <f t="shared" si="2"/>
        <v>599</v>
      </c>
      <c r="M51" s="8"/>
      <c r="N51" s="85">
        <f t="shared" si="3"/>
        <v>864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37629.432170084918</v>
      </c>
      <c r="G53" s="8"/>
      <c r="H53" s="224">
        <f>SUM(H46:H51)</f>
        <v>19800</v>
      </c>
      <c r="I53" s="8"/>
      <c r="J53" s="225">
        <f>SUM(J46:J51)</f>
        <v>12015</v>
      </c>
      <c r="K53" s="8"/>
      <c r="L53" s="224">
        <f>SUM(L46:L51)</f>
        <v>2386</v>
      </c>
      <c r="M53" s="8"/>
      <c r="N53" s="224">
        <f>SUM(N46:N51)</f>
        <v>3443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0</v>
      </c>
      <c r="G57" s="8"/>
      <c r="H57" s="85">
        <v>0</v>
      </c>
      <c r="I57" s="8"/>
      <c r="J57" s="227">
        <f>ROUNDUP('Commodity OK'!F24+'Commodity OK'!F25,0)</f>
        <v>0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118329</v>
      </c>
      <c r="G58" s="120"/>
      <c r="H58" s="85">
        <f>ROUNDUP('Commodity OK'!Q6-H59,0)</f>
        <v>60526</v>
      </c>
      <c r="I58" s="120"/>
      <c r="J58" s="227">
        <f>ROUNDUP('Commodity OK'!Q8-J59-J57,0)</f>
        <v>32394</v>
      </c>
      <c r="K58" s="120"/>
      <c r="L58" s="227">
        <f>ROUNDUP('Commodity OK'!Q7-L59,0)</f>
        <v>6959</v>
      </c>
      <c r="M58" s="120"/>
      <c r="N58" s="227">
        <f>ROUNDUP('Commodity OK'!Q9-N59-N60,0)</f>
        <v>18450</v>
      </c>
    </row>
    <row r="59" spans="1:14" x14ac:dyDescent="0.25">
      <c r="A59" s="16"/>
      <c r="B59" t="s">
        <v>109</v>
      </c>
      <c r="F59" s="85">
        <f>SUM(H59:N59)</f>
        <v>12416</v>
      </c>
      <c r="G59" s="120"/>
      <c r="H59" s="85">
        <f>ROUNDUP(('Commodity OK'!F42-'Commodity OK'!F39)*'Commodity OK'!O6,0)</f>
        <v>6348</v>
      </c>
      <c r="I59" s="120"/>
      <c r="J59" s="227">
        <f>ROUNDUP(('Commodity OK'!F42-'Commodity OK'!F39)*'Commodity OK'!O8,0)</f>
        <v>3398</v>
      </c>
      <c r="K59" s="120"/>
      <c r="L59" s="227">
        <f>ROUNDUP(('Commodity OK'!F42-'Commodity OK'!F39)*'Commodity OK'!O7,0)</f>
        <v>730</v>
      </c>
      <c r="M59" s="120"/>
      <c r="N59" s="227">
        <f>ROUNDUP(('Commodity OK'!F42-'Commodity OK'!F39)*'Commodity OK'!O9,0)</f>
        <v>1940</v>
      </c>
    </row>
    <row r="60" spans="1:14" x14ac:dyDescent="0.25">
      <c r="A60" s="16"/>
      <c r="B60" t="s">
        <v>114</v>
      </c>
      <c r="F60" s="85">
        <f>SUM(H60:N60)</f>
        <v>49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49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130794</v>
      </c>
      <c r="G62" s="226"/>
      <c r="H62" s="224">
        <f>SUM(H57:H60)</f>
        <v>66874</v>
      </c>
      <c r="I62" s="226"/>
      <c r="J62" s="224">
        <f>SUM(J57:J60)</f>
        <v>35792</v>
      </c>
      <c r="K62" s="226"/>
      <c r="L62" s="224">
        <f>SUM(L57:L60)</f>
        <v>7689</v>
      </c>
      <c r="M62" s="226"/>
      <c r="N62" s="225">
        <f>SUM(N57:N60)</f>
        <v>20439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423302.09558046726</v>
      </c>
      <c r="G66" s="120"/>
      <c r="H66" s="224">
        <f>H53+H42+H62</f>
        <v>215960</v>
      </c>
      <c r="I66" s="120"/>
      <c r="J66" s="225">
        <f>J53+J42+J62</f>
        <v>126255</v>
      </c>
      <c r="K66" s="120"/>
      <c r="L66" s="225">
        <f>L53+L42+L62</f>
        <v>34781</v>
      </c>
      <c r="M66" s="120"/>
      <c r="N66" s="225">
        <f>N53+N42+N62</f>
        <v>46346</v>
      </c>
    </row>
    <row r="68" spans="4:14" x14ac:dyDescent="0.25">
      <c r="F68" s="6">
        <f>SUM(H66:N66)</f>
        <v>423342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tabSelected="1" zoomScaleNormal="100" workbookViewId="0">
      <selection activeCell="J17" sqref="J17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301</v>
      </c>
      <c r="G2" s="97"/>
      <c r="H2" s="97" t="s">
        <v>302</v>
      </c>
      <c r="I2" s="99"/>
      <c r="J2" s="54"/>
    </row>
    <row r="3" spans="2:21" x14ac:dyDescent="0.25">
      <c r="M3" s="101" t="s">
        <v>299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303</v>
      </c>
      <c r="N4" s="19"/>
      <c r="O4" s="19" t="s">
        <v>79</v>
      </c>
      <c r="P4" s="19"/>
      <c r="Q4" s="19" t="s">
        <v>80</v>
      </c>
      <c r="R4" s="19"/>
      <c r="S4" s="177" t="s">
        <v>304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298</v>
      </c>
      <c r="D6" s="88">
        <v>197</v>
      </c>
      <c r="E6" s="27"/>
      <c r="F6" s="218">
        <v>37.43</v>
      </c>
      <c r="H6" s="6">
        <f t="shared" ref="H6:H16" si="0">F6/D6</f>
        <v>0.19</v>
      </c>
      <c r="K6" t="s">
        <v>33</v>
      </c>
      <c r="M6" s="132">
        <v>322340</v>
      </c>
      <c r="O6" s="25">
        <f>+M6/$M$11</f>
        <v>0.51129613268256779</v>
      </c>
      <c r="Q6" s="6">
        <f>O6*F44</f>
        <v>66873.525593199636</v>
      </c>
      <c r="S6" s="132">
        <v>452410</v>
      </c>
      <c r="U6" s="110" t="s">
        <v>153</v>
      </c>
    </row>
    <row r="7" spans="2:21" x14ac:dyDescent="0.25">
      <c r="C7" s="127" t="s">
        <v>142</v>
      </c>
      <c r="D7" s="88">
        <f>3837+624</f>
        <v>4461</v>
      </c>
      <c r="E7" s="27"/>
      <c r="F7" s="218">
        <f>1383+1253.2</f>
        <v>2636.2</v>
      </c>
      <c r="H7" s="6">
        <f t="shared" si="0"/>
        <v>0.59094373458865723</v>
      </c>
      <c r="K7" t="s">
        <v>82</v>
      </c>
      <c r="M7" s="132">
        <v>37060</v>
      </c>
      <c r="O7" s="25">
        <f t="shared" ref="O7:O9" si="1">+M7/$M$11</f>
        <v>5.8784620826506061E-2</v>
      </c>
      <c r="Q7" s="6">
        <f>O7*F44</f>
        <v>7688.5675326797127</v>
      </c>
      <c r="S7" s="132">
        <v>33906</v>
      </c>
    </row>
    <row r="8" spans="2:21" x14ac:dyDescent="0.25">
      <c r="C8" s="127" t="s">
        <v>165</v>
      </c>
      <c r="D8" s="88">
        <v>70</v>
      </c>
      <c r="E8" s="27"/>
      <c r="F8" s="218">
        <v>544.46</v>
      </c>
      <c r="H8" s="6">
        <f t="shared" si="0"/>
        <v>7.7780000000000005</v>
      </c>
      <c r="K8" t="s">
        <v>83</v>
      </c>
      <c r="M8" s="132">
        <v>172520</v>
      </c>
      <c r="O8" s="25">
        <f t="shared" si="1"/>
        <v>0.27365145129489543</v>
      </c>
      <c r="Q8" s="6">
        <f>O8*F44</f>
        <v>35791.46440199417</v>
      </c>
      <c r="S8" s="132">
        <v>498902</v>
      </c>
    </row>
    <row r="9" spans="2:21" x14ac:dyDescent="0.25">
      <c r="C9" s="127" t="s">
        <v>64</v>
      </c>
      <c r="D9" s="88">
        <v>17679</v>
      </c>
      <c r="E9" s="27"/>
      <c r="F9" s="218">
        <v>20233.5</v>
      </c>
      <c r="H9" s="6">
        <f t="shared" si="0"/>
        <v>1.1444934668250466</v>
      </c>
      <c r="K9" t="s">
        <v>110</v>
      </c>
      <c r="M9" s="132">
        <v>98517</v>
      </c>
      <c r="O9" s="25">
        <f t="shared" si="1"/>
        <v>0.15626779519603068</v>
      </c>
      <c r="Q9" s="6">
        <f>O9*F44</f>
        <v>20438.602472126477</v>
      </c>
      <c r="S9" s="132">
        <v>70354</v>
      </c>
    </row>
    <row r="10" spans="2:21" x14ac:dyDescent="0.25">
      <c r="C10" s="127" t="s">
        <v>65</v>
      </c>
      <c r="D10" s="88">
        <v>798</v>
      </c>
      <c r="E10" s="27"/>
      <c r="F10" s="218">
        <v>872.68</v>
      </c>
      <c r="H10" s="6">
        <f t="shared" si="0"/>
        <v>1.0935839598997492</v>
      </c>
    </row>
    <row r="11" spans="2:21" x14ac:dyDescent="0.25">
      <c r="C11" s="127" t="s">
        <v>66</v>
      </c>
      <c r="D11" s="88">
        <v>61</v>
      </c>
      <c r="E11" s="27"/>
      <c r="F11" s="218">
        <v>160.30000000000001</v>
      </c>
      <c r="H11" s="6">
        <f t="shared" si="0"/>
        <v>2.6278688524590166</v>
      </c>
      <c r="M11" s="28">
        <f>SUM(M6:M10)</f>
        <v>630437</v>
      </c>
      <c r="N11" s="32"/>
      <c r="O11" s="33">
        <f>SUM(O6:O9)</f>
        <v>1</v>
      </c>
      <c r="P11" s="32"/>
      <c r="Q11" s="30">
        <f>SUM(Q6:Q9)</f>
        <v>130792.16</v>
      </c>
      <c r="R11" s="32"/>
      <c r="S11" s="28">
        <f>SUM(S6:S10)</f>
        <v>1055572</v>
      </c>
    </row>
    <row r="12" spans="2:21" x14ac:dyDescent="0.25">
      <c r="C12" s="127" t="s">
        <v>67</v>
      </c>
      <c r="D12" s="88">
        <v>16</v>
      </c>
      <c r="E12" s="27"/>
      <c r="F12" s="218">
        <v>138.12</v>
      </c>
      <c r="H12" s="6">
        <f t="shared" si="0"/>
        <v>8.6325000000000003</v>
      </c>
      <c r="K12" s="222"/>
    </row>
    <row r="13" spans="2:21" x14ac:dyDescent="0.25">
      <c r="C13" s="127" t="s">
        <v>68</v>
      </c>
      <c r="D13" s="88">
        <v>81</v>
      </c>
      <c r="E13" s="27"/>
      <c r="F13" s="218">
        <v>179.53</v>
      </c>
      <c r="H13" s="6">
        <f t="shared" si="0"/>
        <v>2.2164197530864196</v>
      </c>
      <c r="M13" t="s">
        <v>203</v>
      </c>
      <c r="Q13" s="6"/>
    </row>
    <row r="14" spans="2:21" x14ac:dyDescent="0.25">
      <c r="C14" s="127" t="s">
        <v>69</v>
      </c>
      <c r="D14" s="88">
        <v>5431</v>
      </c>
      <c r="E14" s="27"/>
      <c r="F14" s="218">
        <v>2507.5700000000002</v>
      </c>
      <c r="H14" s="6">
        <f t="shared" si="0"/>
        <v>0.46171423310624199</v>
      </c>
      <c r="O14" t="s">
        <v>212</v>
      </c>
    </row>
    <row r="15" spans="2:21" x14ac:dyDescent="0.25">
      <c r="C15" s="127" t="s">
        <v>70</v>
      </c>
      <c r="D15" s="88">
        <v>282</v>
      </c>
      <c r="E15" s="27"/>
      <c r="F15" s="218">
        <v>547.04</v>
      </c>
      <c r="H15" s="6">
        <f t="shared" si="0"/>
        <v>1.9398581560283688</v>
      </c>
      <c r="O15" s="7" t="s">
        <v>208</v>
      </c>
      <c r="Q15" s="134">
        <v>345476.08</v>
      </c>
      <c r="S15" t="s">
        <v>238</v>
      </c>
    </row>
    <row r="16" spans="2:21" x14ac:dyDescent="0.25">
      <c r="C16" s="127" t="s">
        <v>71</v>
      </c>
      <c r="D16" s="88">
        <v>1850</v>
      </c>
      <c r="E16" s="27"/>
      <c r="F16" s="218">
        <v>1534.8</v>
      </c>
      <c r="H16" s="6">
        <f t="shared" si="0"/>
        <v>0.82962162162162156</v>
      </c>
      <c r="O16" s="7" t="s">
        <v>210</v>
      </c>
      <c r="Q16" s="102">
        <v>5976.73</v>
      </c>
      <c r="S16" t="s">
        <v>238</v>
      </c>
    </row>
    <row r="17" spans="3:24" x14ac:dyDescent="0.25">
      <c r="C17" s="127" t="s">
        <v>181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211</v>
      </c>
      <c r="Q17" s="102">
        <v>9164.16</v>
      </c>
      <c r="S17" t="s">
        <v>238</v>
      </c>
    </row>
    <row r="18" spans="3:24" ht="15.75" thickBot="1" x14ac:dyDescent="0.3">
      <c r="C18" s="16" t="s">
        <v>163</v>
      </c>
      <c r="D18" s="28">
        <f>SUM(D6:D17)</f>
        <v>31011</v>
      </c>
      <c r="E18" s="31"/>
      <c r="F18" s="30">
        <f>SUM(F6:F17)</f>
        <v>29886.329999999998</v>
      </c>
      <c r="G18" s="20"/>
      <c r="H18" s="6">
        <f>F18/D18</f>
        <v>0.96373319144819569</v>
      </c>
      <c r="I18" s="20"/>
      <c r="J18" s="6"/>
      <c r="M18" s="6"/>
      <c r="O18" s="6" t="s">
        <v>146</v>
      </c>
      <c r="Q18" s="104">
        <f>SUM(Q15:Q17)</f>
        <v>360616.97</v>
      </c>
      <c r="S18" t="s">
        <v>239</v>
      </c>
    </row>
    <row r="19" spans="3:24" ht="15.75" thickTop="1" x14ac:dyDescent="0.25">
      <c r="K19" s="6"/>
      <c r="M19" s="6"/>
      <c r="O19" s="6" t="s">
        <v>209</v>
      </c>
      <c r="Q19" s="6">
        <f>+F41</f>
        <v>6202.2000000000007</v>
      </c>
      <c r="S19" t="s">
        <v>239</v>
      </c>
      <c r="W19" s="6"/>
    </row>
    <row r="20" spans="3:24" x14ac:dyDescent="0.25">
      <c r="O20" s="6" t="s">
        <v>50</v>
      </c>
      <c r="Q20" s="174">
        <f>+Q18+Q19</f>
        <v>366819.17</v>
      </c>
      <c r="S20" t="s">
        <v>239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236027.00999999998</v>
      </c>
      <c r="S21" t="s">
        <v>239</v>
      </c>
    </row>
    <row r="22" spans="3:24" x14ac:dyDescent="0.25">
      <c r="Q22" s="6"/>
      <c r="X22" s="6"/>
    </row>
    <row r="23" spans="3:24" x14ac:dyDescent="0.25">
      <c r="C23" s="127" t="s">
        <v>213</v>
      </c>
      <c r="D23" s="88">
        <v>197</v>
      </c>
      <c r="F23" s="218">
        <v>571.29999999999995</v>
      </c>
      <c r="H23" s="6">
        <f t="shared" ref="H23:H35" si="2">F23/D23</f>
        <v>2.9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264</v>
      </c>
      <c r="D25" s="88"/>
      <c r="F25" s="63"/>
      <c r="H25" s="6" t="e">
        <f t="shared" si="2"/>
        <v>#DIV/0!</v>
      </c>
      <c r="J25" t="s">
        <v>139</v>
      </c>
      <c r="S25" s="6"/>
    </row>
    <row r="26" spans="3:24" x14ac:dyDescent="0.25">
      <c r="C26" s="127" t="s">
        <v>180</v>
      </c>
      <c r="D26" s="88">
        <v>2032</v>
      </c>
      <c r="F26" s="218">
        <v>4742.68</v>
      </c>
      <c r="H26" s="6">
        <f t="shared" si="2"/>
        <v>2.3339960629921261</v>
      </c>
      <c r="S26" s="6"/>
    </row>
    <row r="27" spans="3:24" x14ac:dyDescent="0.25">
      <c r="C27" s="127" t="s">
        <v>288</v>
      </c>
      <c r="D27" s="88">
        <v>5294</v>
      </c>
      <c r="F27" s="218">
        <v>12313.51</v>
      </c>
      <c r="H27" s="6">
        <f t="shared" si="2"/>
        <v>2.3259369097091045</v>
      </c>
      <c r="S27" s="6"/>
    </row>
    <row r="28" spans="3:24" x14ac:dyDescent="0.25">
      <c r="C28" s="127" t="s">
        <v>289</v>
      </c>
      <c r="D28" s="88">
        <v>1536</v>
      </c>
      <c r="F28" s="218">
        <v>3383.81</v>
      </c>
      <c r="H28" s="6">
        <f t="shared" si="2"/>
        <v>2.2030013020833334</v>
      </c>
      <c r="S28" s="6"/>
    </row>
    <row r="29" spans="3:24" x14ac:dyDescent="0.25">
      <c r="C29" s="127" t="s">
        <v>290</v>
      </c>
      <c r="D29" s="88">
        <v>17022</v>
      </c>
      <c r="F29" s="218">
        <v>43697.18</v>
      </c>
      <c r="H29" s="6">
        <f t="shared" si="2"/>
        <v>2.5671002232405122</v>
      </c>
      <c r="O29" s="6"/>
      <c r="Q29" s="6"/>
    </row>
    <row r="30" spans="3:24" x14ac:dyDescent="0.25">
      <c r="C30" s="127" t="s">
        <v>297</v>
      </c>
      <c r="D30" s="88">
        <v>7</v>
      </c>
      <c r="F30" s="218">
        <v>50.78</v>
      </c>
      <c r="H30" s="6">
        <f t="shared" si="2"/>
        <v>7.2542857142857144</v>
      </c>
    </row>
    <row r="31" spans="3:24" x14ac:dyDescent="0.25">
      <c r="C31" s="127" t="s">
        <v>275</v>
      </c>
      <c r="D31" s="88">
        <v>546</v>
      </c>
      <c r="F31" s="218">
        <v>2334</v>
      </c>
      <c r="H31" s="6">
        <f t="shared" si="2"/>
        <v>4.2747252747252746</v>
      </c>
    </row>
    <row r="32" spans="3:24" x14ac:dyDescent="0.25">
      <c r="C32" s="127" t="s">
        <v>111</v>
      </c>
      <c r="D32" s="88">
        <v>3653</v>
      </c>
      <c r="F32" s="218">
        <v>15233.01</v>
      </c>
      <c r="H32" s="6">
        <f t="shared" ref="H32:H34" si="3">F32/D32</f>
        <v>4.17</v>
      </c>
    </row>
    <row r="33" spans="3:22" x14ac:dyDescent="0.25">
      <c r="C33" s="127" t="s">
        <v>274</v>
      </c>
      <c r="D33" s="88"/>
      <c r="F33" s="218"/>
      <c r="H33" s="6" t="e">
        <f t="shared" si="3"/>
        <v>#DIV/0!</v>
      </c>
    </row>
    <row r="34" spans="3:22" x14ac:dyDescent="0.25">
      <c r="C34" t="s">
        <v>196</v>
      </c>
      <c r="D34" s="88"/>
      <c r="F34" s="218">
        <v>6116.99</v>
      </c>
      <c r="H34" s="6" t="e">
        <f t="shared" si="3"/>
        <v>#DIV/0!</v>
      </c>
      <c r="J34" s="6"/>
    </row>
    <row r="35" spans="3:22" x14ac:dyDescent="0.25">
      <c r="D35" s="28">
        <f>SUM(D23:D34)</f>
        <v>30287</v>
      </c>
      <c r="E35" s="16"/>
      <c r="F35" s="89">
        <f>SUM(F23:F34)</f>
        <v>88443.260000000009</v>
      </c>
      <c r="H35" s="6">
        <f t="shared" si="2"/>
        <v>2.9201723511737714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630</v>
      </c>
      <c r="J38" t="s">
        <v>260</v>
      </c>
      <c r="K38" s="74" t="s">
        <v>137</v>
      </c>
    </row>
    <row r="39" spans="3:22" ht="15.75" thickBot="1" x14ac:dyDescent="0.3">
      <c r="C39" t="s">
        <v>112</v>
      </c>
      <c r="F39" s="218">
        <v>48.39</v>
      </c>
      <c r="Q39" s="6"/>
      <c r="S39" s="6"/>
    </row>
    <row r="40" spans="3:22" ht="15.75" thickBot="1" x14ac:dyDescent="0.3">
      <c r="C40" t="s">
        <v>76</v>
      </c>
      <c r="F40" s="109">
        <f>+D18*0.18</f>
        <v>5581.98</v>
      </c>
      <c r="J40" s="76" t="s">
        <v>198</v>
      </c>
      <c r="K40" s="74"/>
      <c r="S40" s="54"/>
    </row>
    <row r="41" spans="3:22" ht="15.75" thickBot="1" x14ac:dyDescent="0.3">
      <c r="C41" t="s">
        <v>136</v>
      </c>
      <c r="F41" s="6">
        <f>D18*0.2</f>
        <v>6202.2000000000007</v>
      </c>
      <c r="J41" s="76" t="s">
        <v>200</v>
      </c>
    </row>
    <row r="42" spans="3:22" x14ac:dyDescent="0.25">
      <c r="F42" s="30">
        <f>SUM(F38:F41)</f>
        <v>12462.57</v>
      </c>
      <c r="J42" s="163" t="s">
        <v>163</v>
      </c>
      <c r="K42" s="166" t="s">
        <v>199</v>
      </c>
      <c r="L42" s="164"/>
      <c r="M42" s="165" t="s">
        <v>50</v>
      </c>
    </row>
    <row r="43" spans="3:22" ht="15.75" thickBot="1" x14ac:dyDescent="0.3">
      <c r="C43" s="102">
        <f>112890.99+6116.99</f>
        <v>119007.98000000001</v>
      </c>
      <c r="D43" s="117" t="s">
        <v>240</v>
      </c>
      <c r="J43" s="161">
        <f>+D18</f>
        <v>31011</v>
      </c>
      <c r="K43" s="148">
        <v>0.18</v>
      </c>
      <c r="L43" s="148"/>
      <c r="M43" s="162">
        <f>+J43*K43</f>
        <v>5581.98</v>
      </c>
      <c r="S43" s="54"/>
      <c r="T43" s="54"/>
      <c r="U43" s="54"/>
      <c r="V43" s="170"/>
    </row>
    <row r="44" spans="3:22" x14ac:dyDescent="0.25">
      <c r="C44" s="6">
        <f>+F18+F35+F38+F39</f>
        <v>119007.98000000001</v>
      </c>
      <c r="D44" s="15" t="s">
        <v>39</v>
      </c>
      <c r="E44" s="16"/>
      <c r="F44" s="174">
        <f>F18+F35+F42</f>
        <v>130792.16</v>
      </c>
    </row>
    <row r="45" spans="3:22" x14ac:dyDescent="0.25">
      <c r="C45" s="6">
        <f>+C44-C43</f>
        <v>0</v>
      </c>
      <c r="F45" s="99">
        <f>F44-F41-F40</f>
        <v>119007.98000000001</v>
      </c>
      <c r="H45" s="178">
        <f>F45-F34</f>
        <v>112890.99</v>
      </c>
      <c r="I45" s="178"/>
      <c r="J45" s="179" t="s">
        <v>214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27" zoomScaleNormal="100" workbookViewId="0">
      <selection activeCell="I48" sqref="I4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272</v>
      </c>
      <c r="F1" s="6" t="str">
        <f>+'Commodity OK'!H2</f>
        <v>Data Input May 23 billing =May invoices = Apr Flow  data= Apr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1901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12917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188.15</v>
      </c>
      <c r="G11" s="6"/>
      <c r="J11" s="1"/>
    </row>
    <row r="12" spans="1:16" x14ac:dyDescent="0.25">
      <c r="C12" t="s">
        <v>38</v>
      </c>
      <c r="F12" s="6">
        <f>'Allocation Charges'!J7</f>
        <v>460.43488336981676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649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884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7876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81.93</v>
      </c>
      <c r="G19" s="6"/>
    </row>
    <row r="20" spans="2:7" x14ac:dyDescent="0.25">
      <c r="C20" t="s">
        <v>38</v>
      </c>
      <c r="F20" s="6">
        <f>'Allocation Charges'!J11</f>
        <v>767.83731736660786</v>
      </c>
      <c r="G20" s="6"/>
    </row>
    <row r="21" spans="2:7" x14ac:dyDescent="0.25">
      <c r="D21" s="7" t="s">
        <v>39</v>
      </c>
      <c r="E21" s="36"/>
      <c r="F21" s="229">
        <f>ROUNDUP(F20+F19,0)</f>
        <v>850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1740.85</v>
      </c>
      <c r="G23" s="6"/>
    </row>
    <row r="24" spans="2:7" x14ac:dyDescent="0.25">
      <c r="C24" t="s">
        <v>38</v>
      </c>
      <c r="F24" s="6">
        <f>'Allocation Charges'!J12</f>
        <v>1051.275733143613</v>
      </c>
      <c r="G24" s="6"/>
    </row>
    <row r="25" spans="2:7" x14ac:dyDescent="0.25">
      <c r="D25" s="7" t="s">
        <v>39</v>
      </c>
      <c r="E25" s="36"/>
      <c r="F25" s="229">
        <f>ROUNDUP(F24+F23,0)</f>
        <v>2793</v>
      </c>
      <c r="G25" s="6"/>
    </row>
    <row r="26" spans="2:7" x14ac:dyDescent="0.25">
      <c r="B26" t="s">
        <v>25</v>
      </c>
      <c r="F26" s="85">
        <f>ROUNDUP('Allocation Charges'!J13,0)</f>
        <v>1987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0</v>
      </c>
      <c r="G29" s="6"/>
    </row>
    <row r="30" spans="2:7" x14ac:dyDescent="0.25">
      <c r="D30" s="7" t="s">
        <v>39</v>
      </c>
      <c r="E30" s="36"/>
      <c r="F30" s="229">
        <f>ROUNDUP(F29+F28,0)</f>
        <v>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346.65</v>
      </c>
      <c r="G32" s="6"/>
    </row>
    <row r="33" spans="1:7" x14ac:dyDescent="0.25">
      <c r="C33" t="s">
        <v>38</v>
      </c>
      <c r="F33" s="6">
        <f>'Allocation Charges'!J15</f>
        <v>1128.8009095629491</v>
      </c>
      <c r="G33" s="6"/>
    </row>
    <row r="34" spans="1:7" x14ac:dyDescent="0.25">
      <c r="D34" s="7" t="s">
        <v>39</v>
      </c>
      <c r="E34" s="36"/>
      <c r="F34" s="229">
        <f>ROUNDUP(F33+F32,0)</f>
        <v>1476</v>
      </c>
      <c r="G34" s="6"/>
    </row>
    <row r="35" spans="1:7" x14ac:dyDescent="0.25">
      <c r="B35" t="s">
        <v>201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611</v>
      </c>
      <c r="G37" s="6"/>
    </row>
    <row r="38" spans="1:7" x14ac:dyDescent="0.25">
      <c r="B38" t="s">
        <v>30</v>
      </c>
      <c r="F38" s="85">
        <f>ROUNDUP('Allocation Charges'!J19,0)</f>
        <v>688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32632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295</v>
      </c>
      <c r="G43" s="6"/>
    </row>
    <row r="44" spans="1:7" x14ac:dyDescent="0.25">
      <c r="B44" t="s">
        <v>46</v>
      </c>
      <c r="F44" s="85">
        <f>ROUNDUP('Allocation Charges'!J27,0)</f>
        <v>1549</v>
      </c>
      <c r="G44" s="6"/>
    </row>
    <row r="45" spans="1:7" x14ac:dyDescent="0.25">
      <c r="B45" t="s">
        <v>32</v>
      </c>
      <c r="F45" s="85">
        <f>ROUNDUP('Allocation Charges'!J28,0)</f>
        <v>510</v>
      </c>
      <c r="G45" s="6"/>
    </row>
    <row r="46" spans="1:7" x14ac:dyDescent="0.25">
      <c r="B46" t="s">
        <v>47</v>
      </c>
      <c r="F46" s="85">
        <f>ROUNDUP('Allocation Charges'!J29,0)</f>
        <v>810</v>
      </c>
      <c r="G46" s="6"/>
    </row>
    <row r="47" spans="1:7" x14ac:dyDescent="0.25">
      <c r="B47" t="s">
        <v>48</v>
      </c>
      <c r="F47" s="85">
        <f>ROUNDUP('Allocation Charges'!J30,0)</f>
        <v>489</v>
      </c>
      <c r="G47" s="6"/>
    </row>
    <row r="48" spans="1:7" x14ac:dyDescent="0.25">
      <c r="B48" t="s">
        <v>41</v>
      </c>
      <c r="F48" s="85">
        <f>ROUNDUP('Allocation Charges'!J31,0)</f>
        <v>462</v>
      </c>
      <c r="G48" s="6"/>
    </row>
    <row r="49" spans="1:8" x14ac:dyDescent="0.25">
      <c r="B49" t="s">
        <v>31</v>
      </c>
      <c r="F49" s="85">
        <f>ROUNDUP('Allocation Charges'!J32,0)</f>
        <v>1280</v>
      </c>
      <c r="G49" s="6"/>
    </row>
    <row r="50" spans="1:8" x14ac:dyDescent="0.25">
      <c r="F50" s="6"/>
    </row>
    <row r="51" spans="1:8" x14ac:dyDescent="0.25">
      <c r="F51" s="224">
        <f>SUM(F44:F49)</f>
        <v>5100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267</v>
      </c>
      <c r="F53" s="6">
        <f>ROUNDUP('Commodity TN KY'!I20,0)</f>
        <v>1634</v>
      </c>
      <c r="H53" s="106">
        <f>'Commodity TN KY'!E15*'Commodity TN KY'!G20</f>
        <v>424.7195025028235</v>
      </c>
    </row>
    <row r="54" spans="1:8" x14ac:dyDescent="0.25">
      <c r="A54" s="16"/>
      <c r="B54" t="s">
        <v>268</v>
      </c>
      <c r="F54" s="6">
        <f>ROUNDUP('Commodity TN KY'!I27,0)</f>
        <v>0</v>
      </c>
      <c r="H54" s="106">
        <f>+'Commodity TN KY'!E27</f>
        <v>0</v>
      </c>
    </row>
    <row r="55" spans="1:8" x14ac:dyDescent="0.25">
      <c r="A55" s="16"/>
      <c r="B55" t="s">
        <v>269</v>
      </c>
      <c r="F55" s="6">
        <f>ROUNDUP('Commodity TN KY'!I28,0)</f>
        <v>686</v>
      </c>
      <c r="H55" s="106">
        <f>+'Commodity TN KY'!E28</f>
        <v>556</v>
      </c>
    </row>
    <row r="56" spans="1:8" x14ac:dyDescent="0.25">
      <c r="F56" s="223">
        <f>SUM(F53:F55)</f>
        <v>2320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40052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topLeftCell="A22" zoomScaleNormal="100" workbookViewId="0">
      <selection activeCell="J40" sqref="J40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273</v>
      </c>
      <c r="F1" s="6" t="str">
        <f>+'Commodity OK'!H2</f>
        <v>Data Input May 23 billing =May invoices = Apr Flow  data= Apr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13775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1896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247.11</v>
      </c>
      <c r="G11" s="6"/>
      <c r="J11" s="1"/>
    </row>
    <row r="12" spans="1:11" x14ac:dyDescent="0.25">
      <c r="C12" t="s">
        <v>38</v>
      </c>
      <c r="F12" s="60">
        <f>'Allocation Charges'!H7</f>
        <v>979.65726869685159</v>
      </c>
      <c r="G12" s="6"/>
      <c r="J12" s="1"/>
    </row>
    <row r="13" spans="1:11" x14ac:dyDescent="0.25">
      <c r="D13" s="7" t="s">
        <v>39</v>
      </c>
      <c r="F13" s="86">
        <f>ROUNDUP(F11+F12,0)</f>
        <v>1227</v>
      </c>
      <c r="G13" s="6"/>
      <c r="J13" s="1"/>
    </row>
    <row r="14" spans="1:11" x14ac:dyDescent="0.25">
      <c r="B14" t="s">
        <v>15</v>
      </c>
      <c r="F14" s="83">
        <f>ROUNDUP('Allocation Charges'!H8,0)</f>
        <v>1880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16758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20.54</v>
      </c>
      <c r="G18" s="6"/>
    </row>
    <row r="19" spans="2:7" x14ac:dyDescent="0.25">
      <c r="C19" t="s">
        <v>38</v>
      </c>
      <c r="F19" s="60">
        <f>'Allocation Charges'!H11</f>
        <v>1633.7107293643412</v>
      </c>
      <c r="G19" s="6"/>
    </row>
    <row r="20" spans="2:7" x14ac:dyDescent="0.25">
      <c r="D20" s="7" t="s">
        <v>39</v>
      </c>
      <c r="F20" s="86">
        <f>ROUNDUP(F18+F19,0)</f>
        <v>1655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2676</v>
      </c>
      <c r="G22" s="6"/>
    </row>
    <row r="23" spans="2:7" x14ac:dyDescent="0.25">
      <c r="C23" t="s">
        <v>38</v>
      </c>
      <c r="F23" s="60">
        <f>'Allocation Charges'!H12</f>
        <v>2236.7764706297344</v>
      </c>
      <c r="G23" s="6"/>
    </row>
    <row r="24" spans="2:7" x14ac:dyDescent="0.25">
      <c r="D24" s="7" t="s">
        <v>39</v>
      </c>
      <c r="F24" s="86">
        <f>ROUNDUP(F22+F23,0)</f>
        <v>4913</v>
      </c>
      <c r="G24" s="6"/>
    </row>
    <row r="25" spans="2:7" x14ac:dyDescent="0.25">
      <c r="B25" t="s">
        <v>25</v>
      </c>
      <c r="F25" s="83">
        <f>ROUNDUP('Allocation Charges'!H13,0)</f>
        <v>4227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348</v>
      </c>
      <c r="G27" s="6"/>
    </row>
    <row r="28" spans="2:7" x14ac:dyDescent="0.25">
      <c r="C28" t="s">
        <v>38</v>
      </c>
      <c r="F28" s="60">
        <f>'Allocation Charges'!H14</f>
        <v>0</v>
      </c>
      <c r="G28" s="6"/>
    </row>
    <row r="29" spans="2:7" x14ac:dyDescent="0.25">
      <c r="D29" s="7" t="s">
        <v>39</v>
      </c>
      <c r="F29" s="86">
        <f>ROUNDUP(F27+F28,0)</f>
        <v>348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2238.2800000000002</v>
      </c>
      <c r="G31" s="6"/>
    </row>
    <row r="32" spans="2:7" x14ac:dyDescent="0.25">
      <c r="C32" t="s">
        <v>38</v>
      </c>
      <c r="F32" s="60">
        <f>'Allocation Charges'!H15</f>
        <v>2401.7250992617824</v>
      </c>
      <c r="G32" s="6"/>
    </row>
    <row r="33" spans="1:10" x14ac:dyDescent="0.25">
      <c r="D33" s="7" t="s">
        <v>39</v>
      </c>
      <c r="F33" s="86">
        <f>ROUNDUP(F31+F32,0)</f>
        <v>4641</v>
      </c>
      <c r="G33" s="6"/>
    </row>
    <row r="34" spans="1:10" x14ac:dyDescent="0.25">
      <c r="B34" t="s">
        <v>201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1299</v>
      </c>
      <c r="G36" s="6"/>
    </row>
    <row r="37" spans="1:10" x14ac:dyDescent="0.25">
      <c r="B37" t="s">
        <v>30</v>
      </c>
      <c r="F37" s="83">
        <f>ROUNDUP('Allocation Charges'!H19,0)</f>
        <v>1464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54083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295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3295</v>
      </c>
      <c r="G44" s="6"/>
    </row>
    <row r="45" spans="1:10" x14ac:dyDescent="0.25">
      <c r="B45" t="s">
        <v>32</v>
      </c>
      <c r="F45" s="79">
        <f>ROUNDUP('Allocation Charges'!H28,0)</f>
        <v>1086</v>
      </c>
      <c r="G45" s="6"/>
    </row>
    <row r="46" spans="1:10" x14ac:dyDescent="0.25">
      <c r="B46" t="s">
        <v>47</v>
      </c>
      <c r="F46" s="79">
        <f>ROUNDUP('Allocation Charges'!H29,0)</f>
        <v>1723</v>
      </c>
      <c r="G46" s="6"/>
    </row>
    <row r="47" spans="1:10" x14ac:dyDescent="0.25">
      <c r="B47" t="s">
        <v>48</v>
      </c>
      <c r="F47" s="79">
        <f>ROUNDUP('Allocation Charges'!H30,0)</f>
        <v>1039</v>
      </c>
      <c r="G47" s="6"/>
      <c r="J47" s="8"/>
    </row>
    <row r="48" spans="1:10" x14ac:dyDescent="0.25">
      <c r="B48" t="s">
        <v>41</v>
      </c>
      <c r="F48" s="79">
        <f>ROUNDUP('Allocation Charges'!H31,0)</f>
        <v>982</v>
      </c>
      <c r="G48" s="6"/>
      <c r="J48" s="8"/>
    </row>
    <row r="49" spans="1:10" x14ac:dyDescent="0.25">
      <c r="B49" t="s">
        <v>31</v>
      </c>
      <c r="F49" s="79">
        <f>ROUNDUP('Allocation Charges'!H32,0)</f>
        <v>2722</v>
      </c>
      <c r="J49" s="8"/>
    </row>
    <row r="50" spans="1:10" x14ac:dyDescent="0.25">
      <c r="F50" s="8"/>
    </row>
    <row r="51" spans="1:10" x14ac:dyDescent="0.25">
      <c r="F51" s="84">
        <f>SUM(F43:F49)</f>
        <v>10847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27528</v>
      </c>
      <c r="H53" s="114">
        <f>'Commodity TN KY'!E15*'Commodity TN KY'!G19</f>
        <v>7156.2804974971768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92458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C1" zoomScaleNormal="100" workbookViewId="0">
      <selection activeCell="N14" sqref="N14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2305 file =</v>
      </c>
      <c r="J1" s="99"/>
      <c r="K1" s="100" t="str">
        <f>+'Commodity OK'!H2</f>
        <v>Data Input May 23 billing =May invoices = Apr Flow  data= Apr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197</v>
      </c>
      <c r="D6" s="48"/>
      <c r="E6" s="90" t="s">
        <v>237</v>
      </c>
      <c r="F6" s="48"/>
      <c r="G6" s="157"/>
      <c r="H6" s="49"/>
      <c r="I6" s="175"/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>
        <v>519</v>
      </c>
      <c r="F7" s="51"/>
      <c r="G7" s="49">
        <f t="shared" ref="G7:G14" si="0">I7/E7</f>
        <v>4.1316955684007706</v>
      </c>
      <c r="H7" s="49"/>
      <c r="I7" s="175">
        <v>2144.35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600+377</f>
        <v>977</v>
      </c>
      <c r="F8" s="48"/>
      <c r="G8" s="49">
        <f>I8/E8</f>
        <v>4.2817400204708296</v>
      </c>
      <c r="H8" s="49"/>
      <c r="I8" s="175">
        <f>2532+1651.26</f>
        <v>4183.26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195</v>
      </c>
      <c r="D9" s="48"/>
      <c r="E9" s="90">
        <v>2084</v>
      </c>
      <c r="F9" s="48"/>
      <c r="G9" s="49">
        <f t="shared" si="0"/>
        <v>2.7171976967370441</v>
      </c>
      <c r="H9" s="49"/>
      <c r="I9" s="175">
        <v>5662.64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207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1234.69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270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241</v>
      </c>
      <c r="D12" s="48"/>
      <c r="E12" s="90">
        <f>491+1004</f>
        <v>1495</v>
      </c>
      <c r="F12" s="48"/>
      <c r="G12" s="49">
        <f>I12/E12</f>
        <v>5.539411371237458</v>
      </c>
      <c r="H12" s="49"/>
      <c r="I12" s="175">
        <f>2310.47+5970.95</f>
        <v>8281.42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190</v>
      </c>
      <c r="D13" s="48"/>
      <c r="E13" s="90">
        <v>2506</v>
      </c>
      <c r="F13" s="48"/>
      <c r="G13" s="49">
        <f>I13/E13</f>
        <v>3.3800000000000003</v>
      </c>
      <c r="H13" s="49"/>
      <c r="I13" s="175">
        <v>8470.2800000000007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243</v>
      </c>
      <c r="D14" s="48"/>
      <c r="E14" s="90"/>
      <c r="F14" s="48"/>
      <c r="G14" s="49" t="e">
        <f t="shared" si="0"/>
        <v>#DIV/0!</v>
      </c>
      <c r="H14" s="49"/>
      <c r="I14" s="175">
        <v>-815.88</v>
      </c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7581</v>
      </c>
      <c r="F15" s="48"/>
      <c r="G15" s="42">
        <f>I15/(E8+E13)</f>
        <v>8.3723112259546362</v>
      </c>
      <c r="H15" s="49"/>
      <c r="I15" s="176">
        <f>SUM(I6:I14)</f>
        <v>29160.76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187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14324+13610+39105+662</f>
        <v>67701</v>
      </c>
      <c r="F19" s="48"/>
      <c r="G19" s="45">
        <f>E19/E22</f>
        <v>0.94397579441988877</v>
      </c>
      <c r="H19" s="48"/>
      <c r="I19" s="168">
        <f>I15*G19</f>
        <v>27527.051586887716</v>
      </c>
      <c r="J19" s="48"/>
      <c r="K19" s="92">
        <f>33489+26626+17218+9198</f>
        <v>86531</v>
      </c>
      <c r="L19" s="48"/>
      <c r="P19" t="s">
        <v>202</v>
      </c>
    </row>
    <row r="20" spans="1:25" x14ac:dyDescent="0.25">
      <c r="A20" s="48"/>
      <c r="B20" s="48"/>
      <c r="C20" s="41" t="s">
        <v>90</v>
      </c>
      <c r="D20" s="41"/>
      <c r="E20" s="92">
        <f>1153+1436+1429</f>
        <v>4018</v>
      </c>
      <c r="F20" s="41"/>
      <c r="G20" s="45">
        <f>E20/E22</f>
        <v>5.6024205580111265E-2</v>
      </c>
      <c r="H20" s="41"/>
      <c r="I20" s="167">
        <f>I15*G20</f>
        <v>1633.7084131122854</v>
      </c>
      <c r="J20" s="41"/>
      <c r="K20" s="92">
        <f>2444+2590+4684</f>
        <v>9718</v>
      </c>
      <c r="L20" s="48"/>
      <c r="P20" t="s">
        <v>215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71719</v>
      </c>
      <c r="F22" s="48"/>
      <c r="G22" s="45">
        <f>SUM(G19:G20)</f>
        <v>1</v>
      </c>
      <c r="H22" s="48"/>
      <c r="I22" s="155">
        <f>SUM(I19:I20)</f>
        <v>29160.760000000002</v>
      </c>
      <c r="J22" s="48"/>
      <c r="K22" s="38">
        <f>SUM(K19:K20)</f>
        <v>96249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194</v>
      </c>
      <c r="V26" s="67"/>
    </row>
    <row r="27" spans="1:25" x14ac:dyDescent="0.25">
      <c r="A27" s="48"/>
      <c r="B27" s="48"/>
      <c r="C27" s="48" t="s">
        <v>188</v>
      </c>
      <c r="D27" s="48"/>
      <c r="E27" s="93"/>
      <c r="F27" s="51"/>
      <c r="G27" s="49" t="e">
        <f>I27/E27</f>
        <v>#DIV/0!</v>
      </c>
      <c r="H27" s="48"/>
      <c r="I27" s="158"/>
      <c r="J27" s="48"/>
      <c r="K27" s="48"/>
      <c r="L27" s="48"/>
      <c r="P27" s="8">
        <f>I35+I20</f>
        <v>2318.9684131122854</v>
      </c>
      <c r="V27" s="27"/>
    </row>
    <row r="28" spans="1:25" x14ac:dyDescent="0.25">
      <c r="A28" s="48"/>
      <c r="B28" s="48"/>
      <c r="C28" s="48" t="s">
        <v>189</v>
      </c>
      <c r="D28" s="48"/>
      <c r="E28" s="90">
        <v>556</v>
      </c>
      <c r="F28" s="48"/>
      <c r="G28" s="49">
        <f>I28/E28</f>
        <v>1.2324820143884891</v>
      </c>
      <c r="H28" s="49"/>
      <c r="I28" s="159">
        <v>685.26</v>
      </c>
      <c r="J28" s="48"/>
      <c r="K28" s="48"/>
      <c r="L28" s="48"/>
      <c r="P28" s="134">
        <f>+E20+E33</f>
        <v>22451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685.26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187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8368+4738+5327</f>
        <v>18433</v>
      </c>
      <c r="F33" s="48"/>
      <c r="G33" s="45">
        <f>E33/E35</f>
        <v>1</v>
      </c>
      <c r="H33" s="48"/>
      <c r="I33" s="49">
        <f>+I27+I28</f>
        <v>685.26</v>
      </c>
      <c r="J33" s="48"/>
      <c r="K33" s="243">
        <f>19378+11583+8422</f>
        <v>39383</v>
      </c>
      <c r="L33" s="48"/>
      <c r="P33" t="s">
        <v>215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18433</v>
      </c>
      <c r="F35" s="48"/>
      <c r="G35" s="45">
        <f>G33</f>
        <v>1</v>
      </c>
      <c r="H35" s="48"/>
      <c r="I35" s="155">
        <f>I33</f>
        <v>685.26</v>
      </c>
      <c r="J35" s="48"/>
      <c r="K35" s="38">
        <f>K33</f>
        <v>39383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171</v>
      </c>
      <c r="H38" s="185"/>
      <c r="I38" s="186">
        <f>+I19</f>
        <v>27527.051586887716</v>
      </c>
      <c r="J38" s="187"/>
    </row>
    <row r="39" spans="1:25" x14ac:dyDescent="0.25">
      <c r="G39" s="188" t="s">
        <v>170</v>
      </c>
      <c r="I39" s="238">
        <f>+I20+I29</f>
        <v>2318.9684131122854</v>
      </c>
      <c r="J39" s="189"/>
      <c r="P39" s="6"/>
    </row>
    <row r="40" spans="1:25" ht="15.75" thickBot="1" x14ac:dyDescent="0.3">
      <c r="G40" s="188"/>
      <c r="I40" s="105">
        <f>SUM(I38:I39)</f>
        <v>29846.02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242</v>
      </c>
      <c r="I42" s="55"/>
      <c r="J42" s="189"/>
    </row>
    <row r="43" spans="1:25" x14ac:dyDescent="0.25">
      <c r="D43" s="16"/>
      <c r="E43" s="20"/>
      <c r="G43" s="188" t="s">
        <v>205</v>
      </c>
      <c r="I43" s="190">
        <v>4868.5200000000004</v>
      </c>
      <c r="J43" s="189"/>
    </row>
    <row r="44" spans="1:25" x14ac:dyDescent="0.25">
      <c r="G44" s="188" t="s">
        <v>206</v>
      </c>
      <c r="I44" s="190">
        <v>24977.5</v>
      </c>
      <c r="J44" s="189"/>
    </row>
    <row r="45" spans="1:25" x14ac:dyDescent="0.25">
      <c r="G45" s="188" t="s">
        <v>204</v>
      </c>
      <c r="I45" s="190">
        <f>+I43+I44</f>
        <v>29846.02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234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38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topLeftCell="D1" zoomScaleNormal="100" workbookViewId="0">
      <selection activeCell="J16" sqref="J16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2305 file =</v>
      </c>
      <c r="M2" s="54"/>
      <c r="N2" s="97" t="str">
        <f>+'Commodity OK'!H2</f>
        <v>Data Input May 23 billing =May invoices = Apr Flow  data= Apr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471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418</v>
      </c>
      <c r="I7" s="68" t="s">
        <v>152</v>
      </c>
      <c r="J7" s="90">
        <v>-10</v>
      </c>
      <c r="L7" s="49">
        <f t="shared" si="0"/>
        <v>-1.98</v>
      </c>
      <c r="N7" s="91">
        <v>19.8</v>
      </c>
      <c r="P7" s="48"/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500</v>
      </c>
      <c r="L8" s="49">
        <f t="shared" si="0"/>
        <v>4.25</v>
      </c>
      <c r="N8" s="91">
        <v>2125</v>
      </c>
      <c r="P8" s="48"/>
    </row>
    <row r="9" spans="1:21" x14ac:dyDescent="0.25">
      <c r="B9" t="s">
        <v>14</v>
      </c>
      <c r="F9" s="231">
        <v>0</v>
      </c>
      <c r="I9" s="68" t="s">
        <v>287</v>
      </c>
      <c r="J9" s="90">
        <v>12200</v>
      </c>
      <c r="L9" s="49">
        <f>N9/J9</f>
        <v>3.1070081967213117</v>
      </c>
      <c r="N9" s="91">
        <v>37905.5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12200</v>
      </c>
      <c r="L10" s="49">
        <f>N10/J10</f>
        <v>0.24</v>
      </c>
      <c r="N10" s="91">
        <v>2928</v>
      </c>
      <c r="P10" s="172" t="s">
        <v>166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12690</v>
      </c>
      <c r="L11" s="72">
        <f t="shared" si="0"/>
        <v>3.3867848699763594</v>
      </c>
      <c r="N11" s="217">
        <f>SUM(N6:N10)</f>
        <v>42978.3</v>
      </c>
      <c r="P11" s="48"/>
    </row>
    <row r="12" spans="1:21" x14ac:dyDescent="0.25">
      <c r="C12" t="s">
        <v>38</v>
      </c>
      <c r="F12" s="231">
        <f>'Allocation Charges'!N7</f>
        <v>110.27600716177771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111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187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212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275200</v>
      </c>
      <c r="K16" s="6"/>
      <c r="L16" s="45">
        <v>1</v>
      </c>
      <c r="M16" s="6"/>
      <c r="N16" s="49">
        <f>L16*N11</f>
        <v>42978.3</v>
      </c>
      <c r="O16" s="6"/>
      <c r="P16" s="92">
        <v>272656</v>
      </c>
    </row>
    <row r="17" spans="2:16" x14ac:dyDescent="0.25">
      <c r="B17" t="s">
        <v>19</v>
      </c>
      <c r="F17" s="231">
        <f>ROUNDUP('Allocation Charges'!N10,0)</f>
        <v>2000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275200</v>
      </c>
      <c r="N18" s="71">
        <f>N16</f>
        <v>42978.3</v>
      </c>
      <c r="P18" s="70">
        <f>P16</f>
        <v>272656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183.90012696103847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184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225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251.78476797561396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477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476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0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0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201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147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165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5661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295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371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123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194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117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111</v>
      </c>
      <c r="G48" s="6"/>
      <c r="I48" s="60"/>
    </row>
    <row r="49" spans="1:9" x14ac:dyDescent="0.25">
      <c r="B49" t="s">
        <v>31</v>
      </c>
      <c r="F49" s="231">
        <f>ROUNDUP('Allocation Charges'!N32,0)</f>
        <v>307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1223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42979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49863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0" sqref="I20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284</v>
      </c>
      <c r="F1" s="6" t="str">
        <f>+'Commodity OK'!H2</f>
        <v>Data Input May 23 billing =May invoices = Apr Flow  data= Apr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281</v>
      </c>
      <c r="I3" s="19"/>
      <c r="J3" s="19" t="s">
        <v>282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283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277</v>
      </c>
      <c r="F7" s="85">
        <f>+'Direct Charges'!P21</f>
        <v>464.42</v>
      </c>
      <c r="G7" s="60"/>
      <c r="H7" s="85">
        <f>ROUNDUP(F7,0)</f>
        <v>465</v>
      </c>
      <c r="I7" s="60"/>
      <c r="J7" s="227"/>
      <c r="K7" s="60"/>
    </row>
    <row r="8" spans="1:12" x14ac:dyDescent="0.25">
      <c r="C8" t="s">
        <v>278</v>
      </c>
      <c r="F8" s="85">
        <f>+'Direct Charges'!P22</f>
        <v>729.81</v>
      </c>
      <c r="G8" s="60"/>
      <c r="H8" s="85"/>
      <c r="I8" s="60"/>
      <c r="J8" s="85">
        <f>ROUNDUP(F8,0)</f>
        <v>730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279</v>
      </c>
      <c r="F11" s="85">
        <f>+'Direct Charges'!F34</f>
        <v>174.51</v>
      </c>
      <c r="G11" s="60"/>
      <c r="H11" s="85">
        <f>ROUNDUP(F11,0)</f>
        <v>175</v>
      </c>
      <c r="I11" s="60"/>
      <c r="J11" s="227"/>
      <c r="K11" s="60"/>
    </row>
    <row r="12" spans="1:12" x14ac:dyDescent="0.25">
      <c r="C12" t="s">
        <v>280</v>
      </c>
      <c r="F12" s="85">
        <f>+'Direct Charges'!F35</f>
        <v>384.19</v>
      </c>
      <c r="G12" s="60"/>
      <c r="H12" s="85"/>
      <c r="I12" s="60"/>
      <c r="J12" s="85">
        <f>ROUNDUP(F12,0)</f>
        <v>385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1752.93</v>
      </c>
      <c r="G14" s="120"/>
      <c r="H14" s="224">
        <f>SUM(H7:H13)</f>
        <v>640</v>
      </c>
      <c r="I14" s="120"/>
      <c r="J14" s="224">
        <f>SUM(J7:J13)</f>
        <v>1115</v>
      </c>
      <c r="K14" s="120"/>
    </row>
    <row r="16" spans="1:12" x14ac:dyDescent="0.25">
      <c r="F16" s="6">
        <f>SUM(H14:K14)</f>
        <v>1755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2023-09-19T20:58:50Z</cp:lastPrinted>
  <dcterms:created xsi:type="dcterms:W3CDTF">2013-02-08T00:44:54Z</dcterms:created>
  <dcterms:modified xsi:type="dcterms:W3CDTF">2023-09-20T21:02:04Z</dcterms:modified>
</cp:coreProperties>
</file>