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DDB0BAAE-2D1A-46C7-ACB1-DF164F2862C3}" xr6:coauthVersionLast="47" xr6:coauthVersionMax="47" xr10:uidLastSave="{00000000-0000-0000-0000-000000000000}"/>
  <bookViews>
    <workbookView xWindow="-120" yWindow="-120" windowWidth="29040" windowHeight="15720" tabRatio="837" activeTab="2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3" i="4" l="1"/>
  <c r="Q15" i="11" l="1"/>
  <c r="C43" i="11"/>
  <c r="F8" i="11"/>
  <c r="D8" i="11"/>
  <c r="I8" i="28"/>
  <c r="E8" i="28"/>
  <c r="I12" i="28"/>
  <c r="E12" i="28"/>
  <c r="N7" i="15"/>
  <c r="J7" i="15"/>
  <c r="E33" i="28"/>
  <c r="E20" i="28"/>
  <c r="E19" i="28"/>
  <c r="K20" i="28"/>
  <c r="K19" i="28"/>
  <c r="K33" i="28"/>
  <c r="F12" i="4"/>
  <c r="F11" i="4"/>
  <c r="F7" i="4"/>
  <c r="P28" i="28" l="1"/>
  <c r="C25" i="32" l="1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I15" i="32"/>
  <c r="J15" i="32" l="1"/>
  <c r="H8" i="34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F68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G20" i="24" l="1"/>
  <c r="C29" i="24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3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F26" i="15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F40" i="15" l="1"/>
  <c r="N66" i="1" s="1"/>
  <c r="C28" i="2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F28" i="6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F25" i="9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F26" i="8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F45" i="11" s="1"/>
  <c r="H18" i="11"/>
  <c r="H23" i="11"/>
  <c r="H45" i="11" l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<sst xmlns="http://schemas.openxmlformats.org/spreadsheetml/2006/main" count="935" uniqueCount="305">
  <si>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</si>
  <si>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</si>
  <si>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</si>
  <si>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</si>
  <si>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</si>
  <si>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</si>
  <si>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</si>
  <si>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</si>
  <si>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</si>
  <si>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</si>
  <si>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</si>
  <si>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</si>
  <si>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</si>
  <si>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</si>
  <si>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</si>
  <si>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</si>
  <si>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</si>
  <si>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</si>
  <si>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</si>
  <si>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</si>
  <si>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</si>
  <si>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</si>
  <si>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</si>
  <si>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</si>
  <si>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</si>
  <si>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</si>
  <si>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</si>
  <si>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</si>
  <si>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</si>
  <si>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</si>
  <si>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</si>
  <si>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</si>
  <si>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</si>
  <si>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</si>
  <si>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</si>
  <si>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</si>
  <si>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</si>
  <si>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</si>
  <si>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</si>
  <si>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</si>
  <si>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</si>
  <si>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</si>
  <si>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</si>
  <si>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</si>
  <si>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</si>
  <si>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</si>
  <si>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</si>
  <si>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</si>
  <si>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</si>
  <si>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</si>
  <si>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</si>
  <si>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</si>
  <si>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</si>
  <si>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</si>
  <si>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</si>
  <si>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</si>
  <si>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</si>
  <si>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</si>
  <si>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</si>
  <si>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</si>
  <si>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</si>
  <si>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</si>
  <si>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</si>
  <si>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</si>
  <si>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</si>
  <si>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</si>
  <si>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</si>
  <si>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</si>
  <si>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</si>
  <si>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</si>
  <si>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</si>
  <si>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</si>
  <si>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</si>
  <si>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</si>
  <si>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</si>
  <si>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</si>
  <si>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</si>
  <si>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</si>
  <si>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</si>
  <si>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</si>
  <si>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</si>
  <si>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</si>
  <si>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</si>
  <si>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</si>
  <si>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</si>
  <si>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</si>
  <si>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</si>
  <si>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</si>
  <si>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</si>
  <si>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</si>
  <si>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</si>
  <si>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</si>
  <si>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</si>
  <si>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</si>
  <si>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</si>
  <si>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</si>
  <si>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</si>
  <si>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</si>
  <si>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</si>
  <si>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</si>
  <si>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</si>
  <si>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</si>
  <si>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</si>
  <si>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</si>
  <si>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</si>
  <si>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</si>
  <si>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</si>
  <si>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</si>
  <si>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</si>
  <si>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</si>
  <si>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</si>
  <si>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</si>
  <si>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</si>
  <si>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</si>
  <si>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</si>
  <si>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</si>
  <si>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</si>
  <si>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</si>
  <si>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</si>
  <si>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</si>
  <si>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</si>
  <si>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</si>
  <si>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</si>
  <si>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</si>
  <si>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</si>
  <si>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</si>
  <si>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</si>
  <si>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</si>
  <si>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</si>
  <si>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</si>
  <si>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</si>
  <si>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</si>
  <si>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</si>
  <si>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</si>
  <si>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</si>
  <si>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</si>
  <si>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</si>
  <si>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</si>
  <si>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</si>
  <si>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</si>
  <si>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</si>
  <si>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</si>
  <si>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</si>
  <si>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</si>
  <si>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</si>
  <si>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</si>
  <si>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</si>
  <si>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</si>
  <si>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</si>
  <si>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</si>
  <si>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</si>
  <si>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</si>
  <si>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</si>
  <si>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</si>
  <si>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</si>
  <si>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</si>
  <si>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</si>
  <si>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</si>
  <si>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</si>
  <si>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</si>
  <si>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</si>
  <si>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</si>
  <si>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</si>
  <si>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</si>
  <si>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</si>
  <si>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</si>
  <si>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</si>
  <si>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</si>
  <si>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</si>
  <si>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</si>
  <si>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</si>
  <si>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</si>
  <si>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</si>
  <si>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</si>
  <si>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</si>
  <si>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</si>
  <si>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</si>
  <si>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</si>
  <si>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</si>
  <si>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</si>
  <si>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</si>
  <si>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</si>
  <si>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</si>
  <si>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</si>
  <si>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</si>
  <si>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</si>
  <si>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</si>
  <si>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</si>
  <si>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</si>
  <si>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</si>
  <si>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</si>
  <si>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</si>
  <si>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</si>
  <si>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</si>
  <si>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</si>
  <si>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</si>
  <si>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</si>
  <si>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</si>
  <si>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</si>
  <si>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</si>
  <si>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</si>
  <si>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</si>
  <si>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</si>
  <si>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</si>
  <si>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</si>
  <si>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</si>
  <si>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</si>
  <si>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</si>
  <si>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</si>
  <si>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</si>
  <si>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</si>
  <si>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</si>
  <si>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</si>
  <si>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</si>
  <si>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</si>
  <si>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</si>
  <si>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</si>
  <si>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</si>
  <si>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</si>
  <si>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</si>
  <si>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</si>
  <si>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</si>
  <si>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</si>
  <si>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</si>
  <si>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</si>
  <si>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</si>
  <si>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</si>
  <si>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</si>
  <si>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</si>
  <si>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</si>
  <si>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</si>
  <si>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</si>
  <si>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</si>
  <si>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</si>
  <si>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</si>
  <si>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</si>
  <si>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</si>
  <si>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</si>
  <si>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</si>
  <si>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</si>
  <si>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</si>
  <si>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</si>
  <si>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</si>
  <si>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</si>
  <si>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</si>
  <si>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</si>
  <si>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</si>
  <si>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</si>
  <si>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</si>
  <si>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</si>
  <si>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</si>
  <si>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</si>
  <si>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</si>
  <si>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</si>
  <si>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</si>
  <si>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</si>
  <si>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</si>
  <si>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</si>
  <si>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</si>
  <si>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</si>
  <si>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</si>
  <si>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</si>
  <si>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</si>
  <si>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</si>
  <si>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</si>
  <si>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</si>
  <si>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</si>
  <si>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</si>
  <si>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</si>
  <si>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</si>
  <si>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</si>
  <si>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</si>
  <si>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</si>
  <si>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</si>
  <si>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</si>
  <si>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</si>
  <si>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</si>
  <si>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</si>
  <si>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</si>
  <si>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</si>
  <si>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</si>
  <si>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</si>
  <si>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</si>
  <si>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</si>
  <si>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</si>
  <si>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</si>
  <si>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</si>
  <si>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</si>
  <si>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</si>
  <si>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</si>
  <si>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</si>
  <si>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</si>
  <si>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</si>
  <si>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</si>
  <si>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</si>
  <si>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</si>
  <si>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</si>
  <si>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</si>
  <si>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</si>
  <si>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</si>
  <si>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BB 2311</t>
  </si>
  <si>
    <t>Oct .23 Usage</t>
  </si>
  <si>
    <t>Prior Month = Sept Usage</t>
  </si>
  <si>
    <t>2312 file =</t>
  </si>
  <si>
    <r>
      <t xml:space="preserve">Data Input Dec 23 billing =Dec invoices = Nov </t>
    </r>
    <r>
      <rPr>
        <b/>
        <u val="singleAccounting"/>
        <sz val="11"/>
        <color theme="1"/>
        <rFont val="Calibri"/>
        <family val="2"/>
        <scheme val="minor"/>
      </rPr>
      <t>Flow  data= Nov Sales Volume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</si>
</sst>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5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9.png"/><Relationship Id="rId1" Type="http://schemas.openxmlformats.org/officeDocument/2006/relationships/image" Target="../media/image1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27</xdr:col>
      <xdr:colOff>172245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B01D46-6EC6-BDB7-0CCF-E3AAB258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190500"/>
          <a:ext cx="5696745" cy="7325747"/>
        </a:xfrm>
        <a:prstGeom prst="rect">
          <a:avLst/>
        </a:prstGeom>
      </xdr:spPr>
    </xdr:pic>
    <xdr:clientData/>
  </xdr:twoCellAnchor>
  <xdr:twoCellAnchor editAs="oneCell">
    <xdr:from>
      <xdr:col>18</xdr:col>
      <xdr:colOff>105833</xdr:colOff>
      <xdr:row>39</xdr:row>
      <xdr:rowOff>105833</xdr:rowOff>
    </xdr:from>
    <xdr:to>
      <xdr:col>27</xdr:col>
      <xdr:colOff>116130</xdr:colOff>
      <xdr:row>69</xdr:row>
      <xdr:rowOff>11367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6FE88-E256-468D-213D-3EE31CF0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5333" y="7535333"/>
          <a:ext cx="5534797" cy="5620534"/>
        </a:xfrm>
        <a:prstGeom prst="rect">
          <a:avLst/>
        </a:prstGeom>
      </xdr:spPr>
    </xdr:pic>
    <xdr:clientData/>
  </xdr:twoCellAnchor>
  <xdr:twoCellAnchor editAs="oneCell">
    <xdr:from>
      <xdr:col>17</xdr:col>
      <xdr:colOff>582083</xdr:colOff>
      <xdr:row>69</xdr:row>
      <xdr:rowOff>21167</xdr:rowOff>
    </xdr:from>
    <xdr:to>
      <xdr:col>27</xdr:col>
      <xdr:colOff>102390</xdr:colOff>
      <xdr:row>106</xdr:row>
      <xdr:rowOff>22151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6D3E62-CA74-A75D-01BA-1E082C67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7750" y="13165667"/>
          <a:ext cx="5658640" cy="70494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106</xdr:row>
      <xdr:rowOff>0</xdr:rowOff>
    </xdr:from>
    <xdr:to>
      <xdr:col>27</xdr:col>
      <xdr:colOff>153192</xdr:colOff>
      <xdr:row>109</xdr:row>
      <xdr:rowOff>28659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E93555-40B3-BEF3-1F25-B25CBB9A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9500" y="20193000"/>
          <a:ext cx="5677692" cy="600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20</xdr:col>
      <xdr:colOff>535235</xdr:colOff>
      <xdr:row>78</xdr:row>
      <xdr:rowOff>96061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C657C4-44C9-E48C-B09F-B9BDD8A6E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3146335" cy="581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40</xdr:col>
      <xdr:colOff>106608</xdr:colOff>
      <xdr:row>17</xdr:row>
      <xdr:rowOff>124215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569510-CFC7-56C0-3688-B21408F2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571500"/>
          <a:ext cx="13136808" cy="2791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19</xdr:row>
      <xdr:rowOff>0</xdr:rowOff>
    </xdr:from>
    <xdr:to>
      <xdr:col>28</xdr:col>
      <xdr:colOff>449514</xdr:colOff>
      <xdr:row>26</xdr:row>
      <xdr:rowOff>57344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0E24AC-C68D-EE88-545D-A08896B3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3619500"/>
          <a:ext cx="13174914" cy="13908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61</xdr:row>
      <xdr:rowOff>23813</xdr:rowOff>
    </xdr:from>
    <xdr:to>
      <xdr:col>22</xdr:col>
      <xdr:colOff>291334</xdr:colOff>
      <xdr:row>97</xdr:row>
      <xdr:rowOff>110507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0406" y="11680032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178593</xdr:rowOff>
    </xdr:from>
    <xdr:to>
      <xdr:col>15</xdr:col>
      <xdr:colOff>496173</xdr:colOff>
      <xdr:row>95</xdr:row>
      <xdr:rowOff>36682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3188" y="11263312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398317</xdr:colOff>
      <xdr:row>23</xdr:row>
      <xdr:rowOff>105348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067480-381D-E90F-9B1B-C99D93D4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94156" y="381000"/>
          <a:ext cx="4648849" cy="41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30</xdr:row>
      <xdr:rowOff>11907</xdr:rowOff>
    </xdr:from>
    <xdr:to>
      <xdr:col>12</xdr:col>
      <xdr:colOff>606321</xdr:colOff>
      <xdr:row>45</xdr:row>
      <xdr:rowOff>78990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EFA67B-0030-C865-5CE5-CAE379DB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093" y="5762626"/>
          <a:ext cx="10631384" cy="29245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58</xdr:row>
      <xdr:rowOff>47625</xdr:rowOff>
    </xdr:from>
    <xdr:to>
      <xdr:col>6</xdr:col>
      <xdr:colOff>205624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1" y="11132344"/>
          <a:ext cx="5992061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41" activePane="bottomRight" state="frozen"/>
      <selection pane="topRight" activeCell="E1" sqref="E1"/>
      <selection pane="bottomLeft" activeCell="A5" sqref="A5"/>
      <selection pane="bottomRight" activeCell="F72" sqref="F72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Dec 23 billing =Dec invoices = Nov Flow  data= Nov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275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16361.65</v>
      </c>
      <c r="G7" s="56"/>
      <c r="H7" s="79">
        <f>F7</f>
        <v>16361.65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11950.97</v>
      </c>
      <c r="G8" s="56"/>
      <c r="H8" s="79"/>
      <c r="I8" s="8"/>
      <c r="J8" s="79">
        <f>F8</f>
        <v>11950.97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-3</v>
      </c>
      <c r="G9" s="56"/>
      <c r="H9" s="79"/>
      <c r="I9" s="8"/>
      <c r="J9" s="79"/>
      <c r="K9" s="8"/>
      <c r="L9" s="79"/>
      <c r="M9" s="8"/>
      <c r="N9" s="79">
        <f>F9</f>
        <v>-3</v>
      </c>
      <c r="P9" s="79"/>
    </row>
    <row r="10" spans="1:16" x14ac:dyDescent="0.25">
      <c r="C10" t="s">
        <v>3</v>
      </c>
      <c r="F10" s="112">
        <v>116363.56</v>
      </c>
      <c r="G10" s="56"/>
      <c r="H10" s="79"/>
      <c r="I10" s="8"/>
      <c r="J10" s="79"/>
      <c r="K10" s="8"/>
      <c r="L10" s="79">
        <f>F10</f>
        <v>116363.56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7511.73</v>
      </c>
      <c r="G13" s="56"/>
      <c r="H13" s="79">
        <f>F13</f>
        <v>7511.73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374.98</v>
      </c>
      <c r="G14" s="56"/>
      <c r="H14" s="79"/>
      <c r="I14" s="8"/>
      <c r="J14" s="79">
        <f>F14</f>
        <v>374.98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98.28</v>
      </c>
      <c r="G15" s="56"/>
      <c r="H15" s="79"/>
      <c r="I15" s="8"/>
      <c r="J15" s="79"/>
      <c r="K15" s="8"/>
      <c r="L15" s="79"/>
      <c r="M15" s="8"/>
      <c r="N15" s="79">
        <f>F15</f>
        <v>98.28</v>
      </c>
      <c r="P15" s="79"/>
    </row>
    <row r="16" spans="1:16" x14ac:dyDescent="0.25">
      <c r="C16" t="s">
        <v>7</v>
      </c>
      <c r="F16" s="112">
        <v>16750.09</v>
      </c>
      <c r="G16" s="56"/>
      <c r="H16" s="79"/>
      <c r="I16" s="8"/>
      <c r="J16" s="79"/>
      <c r="K16" s="8"/>
      <c r="L16" s="79">
        <f>F16</f>
        <v>16750.09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13921.27</v>
      </c>
      <c r="G18" s="56"/>
      <c r="H18" s="79"/>
      <c r="I18" s="8"/>
      <c r="J18" s="79"/>
      <c r="K18" s="8"/>
      <c r="L18" s="79">
        <f>F18</f>
        <v>13921.27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282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276</v>
      </c>
      <c r="F21" s="112">
        <v>1179.26</v>
      </c>
      <c r="G21" s="56"/>
      <c r="H21" s="79"/>
      <c r="I21" s="8"/>
      <c r="J21" s="79"/>
      <c r="K21" s="8"/>
      <c r="L21" s="79"/>
      <c r="M21" s="8"/>
      <c r="N21" s="79"/>
      <c r="P21" s="79">
        <f>+F21</f>
        <v>1179.26</v>
      </c>
    </row>
    <row r="22" spans="2:16" x14ac:dyDescent="0.25">
      <c r="C22" t="s">
        <v>277</v>
      </c>
      <c r="F22" s="112">
        <v>697.52</v>
      </c>
      <c r="G22" s="56"/>
      <c r="H22" s="79"/>
      <c r="I22" s="8"/>
      <c r="J22" s="79"/>
      <c r="K22" s="8"/>
      <c r="L22" s="79"/>
      <c r="M22" s="8"/>
      <c r="N22" s="79"/>
      <c r="P22" s="79">
        <f>+F22</f>
        <v>697.52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1986.19</v>
      </c>
      <c r="G25" s="56"/>
      <c r="H25" s="79">
        <f>F25</f>
        <v>1986.19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217.85</v>
      </c>
      <c r="G26" s="56"/>
      <c r="H26" s="79"/>
      <c r="I26" s="8"/>
      <c r="J26" s="79">
        <f>F26</f>
        <v>217.85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2585.63</v>
      </c>
      <c r="G28" s="56"/>
      <c r="H28" s="79"/>
      <c r="I28" s="8"/>
      <c r="J28" s="79"/>
      <c r="K28" s="8"/>
      <c r="L28" s="79">
        <f>F28</f>
        <v>2585.63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5270.13</v>
      </c>
      <c r="G31" s="56"/>
      <c r="H31" s="79"/>
      <c r="I31" s="8"/>
      <c r="J31" s="79"/>
      <c r="K31" s="8"/>
      <c r="L31" s="79">
        <f>F31</f>
        <v>5270.13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278</v>
      </c>
      <c r="F34" s="112">
        <v>98.84</v>
      </c>
      <c r="G34" s="56"/>
      <c r="H34" s="79"/>
      <c r="I34" s="8"/>
      <c r="J34" s="79"/>
      <c r="K34" s="8"/>
      <c r="L34" s="79"/>
      <c r="M34" s="8"/>
      <c r="N34" s="79"/>
      <c r="P34" s="79">
        <f>+F34</f>
        <v>98.84</v>
      </c>
    </row>
    <row r="35" spans="2:16" x14ac:dyDescent="0.25">
      <c r="C35" t="s">
        <v>279</v>
      </c>
      <c r="F35" s="112">
        <v>285.27999999999997</v>
      </c>
      <c r="G35" s="56"/>
      <c r="H35" s="79"/>
      <c r="I35" s="8"/>
      <c r="J35" s="79"/>
      <c r="K35" s="8"/>
      <c r="L35" s="79"/>
      <c r="M35" s="8"/>
      <c r="N35" s="79"/>
      <c r="P35" s="79">
        <f>+F35</f>
        <v>285.27999999999997</v>
      </c>
    </row>
    <row r="36" spans="2:16" x14ac:dyDescent="0.25">
      <c r="C36" t="s">
        <v>120</v>
      </c>
      <c r="F36" s="112">
        <v>20.73</v>
      </c>
      <c r="G36" s="56"/>
      <c r="H36" s="79">
        <f>F36</f>
        <v>20.73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81.93</v>
      </c>
      <c r="G37" s="56"/>
      <c r="H37" s="79"/>
      <c r="I37" s="8"/>
      <c r="J37" s="79">
        <f>F37</f>
        <v>81.93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2459.17</v>
      </c>
      <c r="G39" s="56"/>
      <c r="H39" s="79"/>
      <c r="I39" s="8"/>
      <c r="J39" s="79"/>
      <c r="K39" s="8"/>
      <c r="L39" s="79">
        <f>F39</f>
        <v>2459.17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0</v>
      </c>
      <c r="G42" s="56"/>
      <c r="H42" s="79">
        <f>F42</f>
        <v>0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1711.52</v>
      </c>
      <c r="G43" s="56"/>
      <c r="H43" s="79"/>
      <c r="I43" s="8"/>
      <c r="J43" s="79">
        <f>F43</f>
        <v>1711.52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225</v>
      </c>
      <c r="G44" s="56"/>
      <c r="H44" s="79"/>
      <c r="I44" s="8"/>
      <c r="J44" s="79"/>
      <c r="K44" s="8"/>
      <c r="L44" s="79"/>
      <c r="M44" s="8"/>
      <c r="N44" s="79">
        <f>F44</f>
        <v>225</v>
      </c>
      <c r="P44" s="79"/>
    </row>
    <row r="45" spans="2:16" x14ac:dyDescent="0.25">
      <c r="C45" t="s">
        <v>24</v>
      </c>
      <c r="F45" s="112">
        <v>15723.52</v>
      </c>
      <c r="G45" s="56"/>
      <c r="H45" s="79"/>
      <c r="I45" s="8"/>
      <c r="J45" s="79"/>
      <c r="K45" s="8"/>
      <c r="L45" s="79">
        <f>F45</f>
        <v>15723.52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247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248</v>
      </c>
      <c r="F48" s="112">
        <v>270</v>
      </c>
      <c r="G48" s="56"/>
      <c r="H48" s="79">
        <f>F48</f>
        <v>270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249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250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251</v>
      </c>
      <c r="F51" s="112">
        <v>987.24</v>
      </c>
      <c r="G51" s="56"/>
      <c r="H51" s="79"/>
      <c r="I51" s="8"/>
      <c r="J51" s="79"/>
      <c r="K51" s="8"/>
      <c r="L51" s="79">
        <f>F51</f>
        <v>987.24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252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253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254</v>
      </c>
      <c r="F55" s="112">
        <v>646.65</v>
      </c>
      <c r="G55" s="56"/>
      <c r="H55" s="79"/>
      <c r="I55" s="8"/>
      <c r="J55" s="79">
        <f>F55</f>
        <v>646.65</v>
      </c>
      <c r="K55" s="8"/>
      <c r="L55" s="79"/>
      <c r="M55" s="8"/>
      <c r="N55" s="79"/>
      <c r="P55" s="79"/>
    </row>
    <row r="56" spans="1:16" x14ac:dyDescent="0.25">
      <c r="C56" t="s">
        <v>255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256</v>
      </c>
      <c r="F57" s="112">
        <v>29290.74</v>
      </c>
      <c r="G57" s="56"/>
      <c r="H57" s="79"/>
      <c r="I57" s="8"/>
      <c r="J57" s="79"/>
      <c r="K57" s="8"/>
      <c r="L57" s="79">
        <f>F57</f>
        <v>29290.74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249905.00999999998</v>
      </c>
      <c r="G59" s="57"/>
      <c r="H59" s="113">
        <f>SUM(H7:H57)</f>
        <v>28988.579999999994</v>
      </c>
      <c r="I59" s="23"/>
      <c r="J59" s="113">
        <f>SUM(J7:J57)</f>
        <v>14983.9</v>
      </c>
      <c r="K59" s="23"/>
      <c r="L59" s="113">
        <f>SUM(L7:L57)</f>
        <v>203351.34999999998</v>
      </c>
      <c r="M59" s="23"/>
      <c r="N59" s="113">
        <f>SUM(N7:N57)</f>
        <v>320.27999999999997</v>
      </c>
      <c r="P59" s="113">
        <f>SUM(P7:P57)</f>
        <v>2260.8999999999996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262</v>
      </c>
      <c r="P62" t="s">
        <v>261</v>
      </c>
    </row>
    <row r="63" spans="1:16" x14ac:dyDescent="0.25">
      <c r="D63" s="16" t="s">
        <v>160</v>
      </c>
      <c r="F63" s="115">
        <v>32279.56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341292.59763884783</v>
      </c>
      <c r="P63" s="60">
        <f>+L59+'Allocation Charges'!L21</f>
        <v>341292.59763884789</v>
      </c>
    </row>
    <row r="64" spans="1:16" x14ac:dyDescent="0.25">
      <c r="B64" s="16"/>
      <c r="D64" t="s">
        <v>156</v>
      </c>
      <c r="F64" s="102">
        <f>+F59</f>
        <v>249905.00999999998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67591</v>
      </c>
      <c r="P64" s="60">
        <f>+H59+'Allocation Charges'!H21</f>
        <v>67586.069912540916</v>
      </c>
    </row>
    <row r="65" spans="4:16" x14ac:dyDescent="0.25">
      <c r="D65" t="s">
        <v>157</v>
      </c>
      <c r="F65" s="102">
        <f>+'Allocation Charges'!F21</f>
        <v>199644.35000000003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33131</v>
      </c>
      <c r="P65" s="60">
        <f>+J59+'Allocation Charges'!J21</f>
        <v>33124.56136608003</v>
      </c>
    </row>
    <row r="66" spans="4:16" x14ac:dyDescent="0.25">
      <c r="D66" t="s">
        <v>50</v>
      </c>
      <c r="F66" s="102">
        <f>SUM(F63:F65)</f>
        <v>481828.92000000004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5290</v>
      </c>
      <c r="P66" s="60">
        <f>+N59+'Allocation Charges'!N21</f>
        <v>5285.2310825311988</v>
      </c>
    </row>
    <row r="67" spans="4:16" x14ac:dyDescent="0.25">
      <c r="D67" s="16" t="s">
        <v>158</v>
      </c>
      <c r="F67" s="115">
        <v>481888.51</v>
      </c>
      <c r="G67" s="8"/>
      <c r="H67" s="6" t="s">
        <v>164</v>
      </c>
      <c r="I67" s="8"/>
      <c r="J67" s="8"/>
      <c r="K67" s="8"/>
      <c r="L67" s="8" t="s">
        <v>275</v>
      </c>
      <c r="M67" s="8"/>
      <c r="N67" s="60">
        <f>+'NC Hydro'!F14</f>
        <v>2260.8999999999996</v>
      </c>
      <c r="P67" s="60">
        <f>+P59</f>
        <v>2260.8999999999996</v>
      </c>
    </row>
    <row r="68" spans="4:16" x14ac:dyDescent="0.25">
      <c r="D68" t="s">
        <v>159</v>
      </c>
      <c r="F68" s="102">
        <f>+F66-F67</f>
        <v>-59.589999999967404</v>
      </c>
      <c r="G68" s="8"/>
      <c r="H68" s="8"/>
      <c r="I68" s="8"/>
      <c r="J68" s="8"/>
      <c r="K68" s="8"/>
      <c r="L68" s="8" t="s">
        <v>260</v>
      </c>
      <c r="M68" s="8"/>
      <c r="N68" s="60">
        <f>SUM(N63:N67)</f>
        <v>449565.49763884785</v>
      </c>
      <c r="P68" s="60">
        <f>SUM(P63:P67)</f>
        <v>449549.36000000004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-16.137638847867493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J29"/>
  <sheetViews>
    <sheetView workbookViewId="0">
      <selection activeCell="I20" sqref="I20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167</v>
      </c>
    </row>
    <row r="2" spans="1:10" x14ac:dyDescent="0.25">
      <c r="A2" s="180">
        <v>44926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10" x14ac:dyDescent="0.25">
      <c r="A3" t="s">
        <v>243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244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172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290</v>
      </c>
      <c r="B7" s="102"/>
      <c r="C7" s="102"/>
      <c r="D7" s="102"/>
      <c r="E7" s="134"/>
      <c r="F7" s="102"/>
      <c r="G7" s="102"/>
    </row>
    <row r="8" spans="1:10" x14ac:dyDescent="0.25">
      <c r="A8" t="s">
        <v>173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10" x14ac:dyDescent="0.25">
      <c r="A12" s="142" t="s">
        <v>245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10" x14ac:dyDescent="0.25">
      <c r="A13" s="142" t="s">
        <v>178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10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10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10" x14ac:dyDescent="0.25">
      <c r="A17" s="119" t="s">
        <v>167</v>
      </c>
    </row>
    <row r="18" spans="1:10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10" x14ac:dyDescent="0.25">
      <c r="A19" t="s">
        <v>246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172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290</v>
      </c>
      <c r="B22" s="102"/>
      <c r="C22" s="102"/>
      <c r="D22" s="102"/>
      <c r="E22" s="102"/>
      <c r="F22" s="102"/>
      <c r="G22" s="102"/>
    </row>
    <row r="23" spans="1:10" x14ac:dyDescent="0.25">
      <c r="A23" t="s">
        <v>173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185</v>
      </c>
      <c r="C25" s="118"/>
      <c r="D25" s="118"/>
      <c r="E25" s="118"/>
      <c r="F25" s="118"/>
      <c r="G25" s="118"/>
    </row>
    <row r="26" spans="1:10" x14ac:dyDescent="0.25">
      <c r="A26" t="s">
        <v>184</v>
      </c>
    </row>
    <row r="27" spans="1:10" x14ac:dyDescent="0.25">
      <c r="A27" t="s">
        <v>245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178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J26" sqref="J26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988211.98</v>
      </c>
      <c r="C8" s="94">
        <f t="shared" ref="C8:C13" si="0">$D$25</f>
        <v>0.78440128301953405</v>
      </c>
      <c r="D8" s="95">
        <v>6.4600000000000005E-2</v>
      </c>
      <c r="E8" s="79">
        <f t="shared" ref="E8:E13" si="1">B8*C8*D8</f>
        <v>50074.996527469913</v>
      </c>
      <c r="F8" s="79">
        <f t="shared" ref="F8:F13" si="2">E8/12</f>
        <v>4172.9163772891598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17899</v>
      </c>
    </row>
    <row r="9" spans="1:11" x14ac:dyDescent="0.25">
      <c r="A9" t="s">
        <v>32</v>
      </c>
      <c r="B9" s="195">
        <v>306568.88</v>
      </c>
      <c r="C9" s="94">
        <f t="shared" si="0"/>
        <v>0.78440128301953405</v>
      </c>
      <c r="D9" s="95">
        <v>6.4600000000000005E-2</v>
      </c>
      <c r="E9" s="79">
        <f t="shared" si="1"/>
        <v>15534.557273258659</v>
      </c>
      <c r="F9" s="79">
        <f t="shared" si="2"/>
        <v>1294.5464394382216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5553</v>
      </c>
    </row>
    <row r="10" spans="1:11" x14ac:dyDescent="0.25">
      <c r="A10" t="s">
        <v>47</v>
      </c>
      <c r="B10" s="195">
        <v>705882.72</v>
      </c>
      <c r="C10" s="94">
        <f t="shared" si="0"/>
        <v>0.78440128301953405</v>
      </c>
      <c r="D10" s="95">
        <v>6.4600000000000005E-2</v>
      </c>
      <c r="E10" s="79">
        <f t="shared" si="1"/>
        <v>35768.717105413976</v>
      </c>
      <c r="F10" s="79">
        <f t="shared" si="2"/>
        <v>2980.7264254511647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8864</v>
      </c>
    </row>
    <row r="11" spans="1:11" x14ac:dyDescent="0.25">
      <c r="A11" t="s">
        <v>48</v>
      </c>
      <c r="B11" s="195">
        <v>257154.88</v>
      </c>
      <c r="C11" s="94">
        <f t="shared" si="0"/>
        <v>0.78440128301953405</v>
      </c>
      <c r="D11" s="95">
        <v>6.4600000000000005E-2</v>
      </c>
      <c r="E11" s="79">
        <f t="shared" si="1"/>
        <v>13030.635110315037</v>
      </c>
      <c r="F11" s="79">
        <f t="shared" si="2"/>
        <v>1085.8862591929199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5372</v>
      </c>
    </row>
    <row r="12" spans="1:11" x14ac:dyDescent="0.25">
      <c r="A12" t="s">
        <v>41</v>
      </c>
      <c r="B12" s="195">
        <v>200998.86</v>
      </c>
      <c r="C12" s="94">
        <f t="shared" si="0"/>
        <v>0.78440128301953405</v>
      </c>
      <c r="D12" s="95">
        <v>6.4600000000000005E-2</v>
      </c>
      <c r="E12" s="79">
        <f t="shared" si="1"/>
        <v>10185.079133047355</v>
      </c>
      <c r="F12" s="79">
        <f t="shared" si="2"/>
        <v>848.75659442061294</v>
      </c>
      <c r="G12" s="79">
        <f t="shared" si="3"/>
        <v>200998.86</v>
      </c>
      <c r="H12" s="13">
        <v>4</v>
      </c>
      <c r="I12" s="79">
        <f t="shared" si="4"/>
        <v>50249.714999999997</v>
      </c>
      <c r="J12" s="79">
        <f t="shared" si="5"/>
        <v>4187.4762499999997</v>
      </c>
      <c r="K12" s="79">
        <f t="shared" si="6"/>
        <v>5037</v>
      </c>
    </row>
    <row r="13" spans="1:11" x14ac:dyDescent="0.25">
      <c r="A13" t="s">
        <v>31</v>
      </c>
      <c r="B13" s="195">
        <v>1226221.82</v>
      </c>
      <c r="C13" s="94">
        <f t="shared" si="0"/>
        <v>0.78440128301953405</v>
      </c>
      <c r="D13" s="95">
        <v>6.4600000000000005E-2</v>
      </c>
      <c r="E13" s="79">
        <f t="shared" si="1"/>
        <v>62135.507989295817</v>
      </c>
      <c r="F13" s="79">
        <f t="shared" si="2"/>
        <v>5177.9589991079847</v>
      </c>
      <c r="G13" s="79">
        <f t="shared" si="3"/>
        <v>1226221.82</v>
      </c>
      <c r="H13" s="13">
        <v>10</v>
      </c>
      <c r="I13" s="79">
        <f t="shared" si="4"/>
        <v>122622.182</v>
      </c>
      <c r="J13" s="79">
        <f t="shared" si="5"/>
        <v>10218.515166666666</v>
      </c>
      <c r="K13" s="79">
        <f t="shared" si="6"/>
        <v>15397</v>
      </c>
    </row>
    <row r="14" spans="1:11" x14ac:dyDescent="0.25">
      <c r="B14" s="120"/>
    </row>
    <row r="15" spans="1:11" x14ac:dyDescent="0.25">
      <c r="B15" s="121">
        <f>SUM(B8:B13)</f>
        <v>3685039.1399999997</v>
      </c>
      <c r="D15" s="183">
        <f>AVERAGE(D8:D13)</f>
        <v>6.4600000000000005E-2</v>
      </c>
      <c r="E15" s="14">
        <f>SUM(E8:E13)</f>
        <v>186729.49313880078</v>
      </c>
      <c r="F15" s="22">
        <f>SUM(F8:F13)</f>
        <v>15560.791094900062</v>
      </c>
      <c r="G15" s="14">
        <f>SUM(G8:G13)</f>
        <v>3685039.1399999997</v>
      </c>
      <c r="I15" s="14">
        <f>SUM(I8:I13)</f>
        <v>510687.95500000007</v>
      </c>
      <c r="J15" s="22">
        <f>SUM(J8:J13)</f>
        <v>42557.329583333332</v>
      </c>
      <c r="K15" s="22">
        <f>SUM(K8:K13)</f>
        <v>58122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692536+8955422+(877135*0.5)</f>
        <v>10086525.5</v>
      </c>
      <c r="D25" s="199">
        <f>C25/C27</f>
        <v>0.78440128301953405</v>
      </c>
      <c r="E25" s="198" t="s">
        <v>299</v>
      </c>
      <c r="F25" s="198"/>
      <c r="G25" s="200"/>
    </row>
    <row r="26" spans="1:7" x14ac:dyDescent="0.25">
      <c r="A26" s="201"/>
      <c r="B26" s="202" t="s">
        <v>181</v>
      </c>
      <c r="C26" s="203">
        <v>2772359</v>
      </c>
      <c r="D26" s="204">
        <f>C26/C27</f>
        <v>0.21559871698046593</v>
      </c>
      <c r="E26" s="198" t="s">
        <v>299</v>
      </c>
      <c r="F26" s="203"/>
      <c r="G26" s="205"/>
    </row>
    <row r="27" spans="1:7" ht="15.75" thickBot="1" x14ac:dyDescent="0.3">
      <c r="A27" s="206"/>
      <c r="B27" s="207"/>
      <c r="C27" s="208">
        <f>C25+C26</f>
        <v>12858884.5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0.78440128301953405</v>
      </c>
      <c r="D8" s="95">
        <v>6.4100000000000004E-2</v>
      </c>
      <c r="E8" s="79">
        <f>B8*C8*D8</f>
        <v>64761.492318408535</v>
      </c>
      <c r="F8" s="79">
        <f>E8/12</f>
        <v>5396.7910265340442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8370</v>
      </c>
    </row>
    <row r="10" spans="1:12" x14ac:dyDescent="0.25">
      <c r="B10" s="14">
        <f>SUM(B8:B8)</f>
        <v>1288013.82</v>
      </c>
      <c r="E10" s="14">
        <f>SUM(E8:E8)</f>
        <v>64761.492318408535</v>
      </c>
      <c r="F10" s="22">
        <f>SUM(F8:F8)</f>
        <v>5396.7910265340442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8370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1657</v>
      </c>
      <c r="L14" s="215">
        <f>+K14*12</f>
        <v>19884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779</v>
      </c>
      <c r="L15" s="215">
        <f t="shared" ref="L15:L18" si="1">+K15*12</f>
        <v>9348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5749</v>
      </c>
      <c r="L16" s="215">
        <f t="shared" si="1"/>
        <v>68988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187</v>
      </c>
      <c r="L17" s="215">
        <f t="shared" si="1"/>
        <v>2244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8372</v>
      </c>
      <c r="L18" s="106">
        <f t="shared" si="1"/>
        <v>100464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0.78440128301953405</v>
      </c>
      <c r="J8" s="95">
        <v>6.4100000000000004E-2</v>
      </c>
      <c r="L8" s="79">
        <f>F8*H8*J8</f>
        <v>32499.681274360544</v>
      </c>
      <c r="N8" s="79">
        <f>L8/12</f>
        <v>2708.3067728633787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5235</v>
      </c>
    </row>
    <row r="10" spans="3:27" x14ac:dyDescent="0.25">
      <c r="F10" s="14">
        <f>SUM(F8:F8)</f>
        <v>646372.36</v>
      </c>
      <c r="L10" s="14">
        <f>SUM(L8:L8)</f>
        <v>32499.681274360544</v>
      </c>
      <c r="N10" s="22">
        <f>SUM(N8:N8)</f>
        <v>2708.3067728633787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5235</v>
      </c>
    </row>
    <row r="13" spans="3:27" x14ac:dyDescent="0.25">
      <c r="C13" t="s">
        <v>61</v>
      </c>
      <c r="F13" s="8" t="s">
        <v>293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1037</v>
      </c>
      <c r="AA14" s="241">
        <f>+Z14*12</f>
        <v>12444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487</v>
      </c>
      <c r="AA15" s="241">
        <f t="shared" ref="AA15:AA17" si="1">+Z15*12</f>
        <v>5844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3596</v>
      </c>
      <c r="AA16" s="242">
        <f t="shared" si="1"/>
        <v>43152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117</v>
      </c>
      <c r="AA17" s="241">
        <f t="shared" si="1"/>
        <v>1404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5237</v>
      </c>
      <c r="AA18" s="71">
        <f>SUM(AA14:AA17)</f>
        <v>62844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243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244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172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264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245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167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7" x14ac:dyDescent="0.25">
      <c r="A19" t="s">
        <v>246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172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264</v>
      </c>
      <c r="B22" s="102"/>
      <c r="C22" s="102"/>
      <c r="D22" s="102"/>
      <c r="E22" s="102"/>
      <c r="F22" s="102"/>
      <c r="G22" s="102"/>
    </row>
    <row r="23" spans="1:7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185</v>
      </c>
      <c r="C25" s="118"/>
      <c r="D25" s="118"/>
      <c r="E25" s="118"/>
      <c r="F25" s="118"/>
      <c r="G25" s="118"/>
    </row>
    <row r="26" spans="1:7" x14ac:dyDescent="0.25">
      <c r="A26" t="s">
        <v>184</v>
      </c>
    </row>
    <row r="27" spans="1:7" x14ac:dyDescent="0.25">
      <c r="A27" t="s">
        <v>245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171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172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219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172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219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44196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171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172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219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178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172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219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178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285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581993+9535881+(776344*0.5)</f>
        <v>10506046</v>
      </c>
      <c r="D25" s="199">
        <f>C25/C27</f>
        <v>0.7855011155173548</v>
      </c>
      <c r="E25" s="198" t="s">
        <v>257</v>
      </c>
      <c r="F25" s="198"/>
      <c r="G25" s="200"/>
    </row>
    <row r="26" spans="1:7" x14ac:dyDescent="0.25">
      <c r="A26" s="201"/>
      <c r="B26" s="202" t="s">
        <v>181</v>
      </c>
      <c r="C26" s="203">
        <v>2868914</v>
      </c>
      <c r="D26" s="204">
        <f>C26/C27</f>
        <v>0.21449888448264517</v>
      </c>
      <c r="E26" s="198" t="s">
        <v>257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232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218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231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220</v>
      </c>
    </row>
    <row r="43" spans="1:23" x14ac:dyDescent="0.25">
      <c r="N43" t="s">
        <v>221</v>
      </c>
      <c r="O43" t="s">
        <v>222</v>
      </c>
      <c r="P43" t="s">
        <v>223</v>
      </c>
      <c r="R43" t="s">
        <v>224</v>
      </c>
      <c r="S43" t="s">
        <v>225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221</v>
      </c>
      <c r="O44" t="s">
        <v>222</v>
      </c>
      <c r="P44" t="s">
        <v>226</v>
      </c>
      <c r="R44" t="s">
        <v>224</v>
      </c>
      <c r="S44" t="s">
        <v>227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221</v>
      </c>
      <c r="O45" t="s">
        <v>228</v>
      </c>
      <c r="P45" t="s">
        <v>229</v>
      </c>
      <c r="R45" t="s">
        <v>224</v>
      </c>
      <c r="S45" t="s">
        <v>230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182</v>
      </c>
      <c r="C48" s="198">
        <f>492+6852+(1087*0.5)</f>
        <v>7887.5</v>
      </c>
      <c r="D48" s="199">
        <f>C48/C50</f>
        <v>0.68369956225891737</v>
      </c>
      <c r="E48" s="198" t="s">
        <v>234</v>
      </c>
      <c r="F48" s="198"/>
      <c r="G48" s="200"/>
    </row>
    <row r="49" spans="1:7" x14ac:dyDescent="0.25">
      <c r="A49" s="201"/>
      <c r="B49" s="202" t="s">
        <v>181</v>
      </c>
      <c r="C49" s="203">
        <v>3649</v>
      </c>
      <c r="D49" s="204">
        <f>C49/C50</f>
        <v>0.31630043774108263</v>
      </c>
      <c r="E49" s="203" t="s">
        <v>234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L13" sqref="L13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Dec 23 billing =Dec invoices = Nov Flow  data= Nov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13005.62-SUM('Direct Charges'!F25:F28)</f>
        <v>8215.9500000000007</v>
      </c>
      <c r="G7" s="8"/>
      <c r="H7" s="79">
        <f>F7*R$4</f>
        <v>1625.9608493310154</v>
      </c>
      <c r="I7" s="8"/>
      <c r="J7" s="79">
        <f>F7*R$5</f>
        <v>764.19490565458023</v>
      </c>
      <c r="K7" s="8"/>
      <c r="L7" s="79">
        <f>F7*R$6</f>
        <v>5642.7664903139175</v>
      </c>
      <c r="M7" s="8"/>
      <c r="N7" s="79">
        <f>F7*R$7</f>
        <v>183.0277547004878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15320.69</v>
      </c>
      <c r="G8" s="8"/>
      <c r="H8" s="79">
        <f t="shared" ref="H8:H19" si="0">F8*R$4</f>
        <v>3032.0099470830755</v>
      </c>
      <c r="I8" s="8"/>
      <c r="J8" s="79">
        <f>F8*R$5</f>
        <v>1425.0321933693695</v>
      </c>
      <c r="K8" s="8"/>
      <c r="L8" s="79">
        <f>F8*R$6</f>
        <v>10522.346915510381</v>
      </c>
      <c r="M8" s="8"/>
      <c r="N8" s="79">
        <f>F8*R$7</f>
        <v>341.30094403717362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99158</v>
      </c>
      <c r="G10" s="8"/>
      <c r="H10" s="79">
        <f>IF(N10=2000,(F10-N10)*(R4/(R8-R7)),(F10*R4))</f>
        <v>19623.662010840479</v>
      </c>
      <c r="I10" s="8"/>
      <c r="J10" s="83">
        <f>IF(N10=2000,(F10-N10)*(R5/(R8-R7)),(F10*R5))</f>
        <v>9223.0403611142792</v>
      </c>
      <c r="K10" s="8"/>
      <c r="L10" s="83">
        <f>IF(N10=2000,(F10-N10)*(R6/(R8-R7)),(F10*R6))</f>
        <v>68102.342351955318</v>
      </c>
      <c r="M10" s="8"/>
      <c r="N10" s="83">
        <f>IF((F10*R$7&lt;2000),(2000),F10*R$7)</f>
        <v>2208.9552760899187</v>
      </c>
      <c r="O10" s="8"/>
      <c r="P10" s="8"/>
      <c r="Q10" s="8"/>
      <c r="U10" s="73"/>
    </row>
    <row r="11" spans="1:21" x14ac:dyDescent="0.25">
      <c r="B11" t="s">
        <v>20</v>
      </c>
      <c r="F11" s="112">
        <f>13098.63-SUM('Direct Charges'!F34:F39)</f>
        <v>10152.679999999998</v>
      </c>
      <c r="G11" s="8"/>
      <c r="H11" s="79">
        <f t="shared" si="0"/>
        <v>2009.2454549730719</v>
      </c>
      <c r="I11" s="8"/>
      <c r="J11" s="79">
        <f>F11*R$5</f>
        <v>944.33709245323337</v>
      </c>
      <c r="K11" s="8"/>
      <c r="L11" s="79">
        <f>F11*R$6</f>
        <v>6972.9249193191645</v>
      </c>
      <c r="M11" s="8"/>
      <c r="N11" s="79">
        <f>F11*R$7</f>
        <v>226.17253325452907</v>
      </c>
      <c r="O11" s="8"/>
      <c r="U11" s="73"/>
    </row>
    <row r="12" spans="1:21" x14ac:dyDescent="0.25">
      <c r="B12" t="s">
        <v>21</v>
      </c>
      <c r="F12" s="156">
        <f>30532.93-SUM('Direct Charges'!F42:F45)</f>
        <v>12872.89</v>
      </c>
      <c r="G12" s="8"/>
      <c r="H12" s="79">
        <f t="shared" si="0"/>
        <v>2547.5830741113</v>
      </c>
      <c r="I12" s="8"/>
      <c r="J12" s="79">
        <f>F12*R$5</f>
        <v>1197.3535572942617</v>
      </c>
      <c r="K12" s="8"/>
      <c r="L12" s="79">
        <f>F12*R$6</f>
        <v>8841.1823739795291</v>
      </c>
      <c r="M12" s="8"/>
      <c r="N12" s="79">
        <f>F12*R$7</f>
        <v>286.77099461490906</v>
      </c>
      <c r="O12" s="8"/>
    </row>
    <row r="13" spans="1:21" x14ac:dyDescent="0.25">
      <c r="B13" t="s">
        <v>25</v>
      </c>
      <c r="F13" s="112">
        <v>20872.560000000001</v>
      </c>
      <c r="G13" s="8"/>
      <c r="H13" s="79">
        <v>3791.7336948750358</v>
      </c>
      <c r="I13" s="8"/>
      <c r="J13" s="79">
        <v>1782.0992273058223</v>
      </c>
      <c r="K13" s="8"/>
      <c r="L13" s="79">
        <f>13158.9071424679+1713</f>
        <v>14871.9071424679</v>
      </c>
      <c r="M13" s="8"/>
      <c r="N13" s="79">
        <v>426.8199353512714</v>
      </c>
      <c r="O13" s="8"/>
    </row>
    <row r="14" spans="1:21" x14ac:dyDescent="0.25">
      <c r="B14" t="s">
        <v>26</v>
      </c>
      <c r="F14" s="112">
        <v>0</v>
      </c>
      <c r="G14" s="8"/>
      <c r="H14" s="79">
        <f>F14*R$4</f>
        <v>0</v>
      </c>
      <c r="I14" s="8"/>
      <c r="J14" s="79">
        <f>F14*R$5</f>
        <v>0</v>
      </c>
      <c r="K14" s="8"/>
      <c r="L14" s="79">
        <f>F14*R$6</f>
        <v>0</v>
      </c>
      <c r="M14" s="8"/>
      <c r="N14" s="79">
        <f>F14*R$7</f>
        <v>0</v>
      </c>
      <c r="O14" s="8"/>
    </row>
    <row r="15" spans="1:21" x14ac:dyDescent="0.25">
      <c r="B15" t="s">
        <v>27</v>
      </c>
      <c r="F15" s="112">
        <v>17669.53</v>
      </c>
      <c r="G15" s="8"/>
      <c r="H15" s="79">
        <f>IF(N15=1000,(F15-N15)*(R4/(R8-R7)),(F15*R4))</f>
        <v>3374.1149645272399</v>
      </c>
      <c r="I15" s="8"/>
      <c r="J15" s="83">
        <f>IF(N15=1000,(F15-N15)*(R5/(R8-R7)),(F15*R5))</f>
        <v>1585.8201432374528</v>
      </c>
      <c r="K15" s="8"/>
      <c r="L15" s="83">
        <f>IF(N15=1000,(F15-N15)*(R6/(R8-R7)),(F15*R6))</f>
        <v>11709.594892235307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200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5754.44</v>
      </c>
      <c r="G18" s="8"/>
      <c r="H18" s="79">
        <f t="shared" si="0"/>
        <v>1138.8207267357234</v>
      </c>
      <c r="I18" s="8"/>
      <c r="J18" s="79">
        <f>F18*R$5</f>
        <v>535.24105342595101</v>
      </c>
      <c r="K18" s="8"/>
      <c r="L18" s="79">
        <f>F18*R$6</f>
        <v>3952.1858339597993</v>
      </c>
      <c r="M18" s="8"/>
      <c r="N18" s="79">
        <f>F18*R$7</f>
        <v>128.1923858785259</v>
      </c>
      <c r="O18" s="8"/>
    </row>
    <row r="19" spans="1:19" x14ac:dyDescent="0.25">
      <c r="B19" t="s">
        <v>30</v>
      </c>
      <c r="F19" s="112">
        <v>7348.85</v>
      </c>
      <c r="G19" s="8"/>
      <c r="H19" s="79">
        <f t="shared" si="0"/>
        <v>1454.3591900639892</v>
      </c>
      <c r="I19" s="8"/>
      <c r="J19" s="79">
        <f>F19*R$5</f>
        <v>683.54283222508195</v>
      </c>
      <c r="K19" s="8"/>
      <c r="L19" s="79">
        <f>F19*R$6</f>
        <v>5047.2367191065459</v>
      </c>
      <c r="M19" s="8"/>
      <c r="N19" s="79">
        <f>F19*R$7</f>
        <v>163.71125860438292</v>
      </c>
      <c r="O19" s="8"/>
      <c r="R19" t="s">
        <v>192</v>
      </c>
      <c r="S19" t="s">
        <v>190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39510.208422658186</v>
      </c>
      <c r="S20" s="55">
        <f>+H21-R20</f>
        <v>-912.7185101172654</v>
      </c>
    </row>
    <row r="21" spans="1:19" x14ac:dyDescent="0.25">
      <c r="F21" s="84">
        <f>SUM(F6:F19)</f>
        <v>199644.35000000003</v>
      </c>
      <c r="G21" s="23"/>
      <c r="H21" s="84">
        <f>SUM(H6:H19)</f>
        <v>38597.489912540921</v>
      </c>
      <c r="I21" s="23"/>
      <c r="J21" s="84">
        <f>SUM(J6:J19)</f>
        <v>18140.661366080029</v>
      </c>
      <c r="K21" s="23"/>
      <c r="L21" s="84">
        <f>SUM(L6:L19)</f>
        <v>137941.24763884788</v>
      </c>
      <c r="M21" s="23"/>
      <c r="N21" s="84">
        <f>SUM(N6:N19)</f>
        <v>4964.9510825311991</v>
      </c>
      <c r="O21" s="23"/>
      <c r="P21" s="244" t="s">
        <v>11</v>
      </c>
      <c r="Q21" s="244"/>
      <c r="R21" s="150">
        <f>+F21*R5</f>
        <v>18569.635308481676</v>
      </c>
      <c r="S21" s="55">
        <f>+J21-R21</f>
        <v>-428.97394240164795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137117.00389614145</v>
      </c>
      <c r="S22" s="55">
        <f>+L21-R22</f>
        <v>824.24374270642875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4447.5023727187163</v>
      </c>
      <c r="S23" s="55">
        <f>+N21-R23</f>
        <v>517.44870981248278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199644.35000000003</v>
      </c>
      <c r="S24" s="153">
        <f>SUM(S20:S23)</f>
        <v>-1.8189894035458565E-12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17899</v>
      </c>
      <c r="G27" s="6"/>
      <c r="H27" s="79">
        <f t="shared" ref="H27:H29" si="1">F27*R$4</f>
        <v>3542.2651357634654</v>
      </c>
      <c r="I27" s="8"/>
      <c r="J27" s="85">
        <f t="shared" ref="J27:J29" si="2">F27*R$5</f>
        <v>1664.850031501084</v>
      </c>
      <c r="K27" s="8"/>
      <c r="L27" s="79">
        <f t="shared" ref="L27:L29" si="3">F27*R$6</f>
        <v>12293.146551540454</v>
      </c>
      <c r="M27" s="8"/>
      <c r="N27" s="79">
        <f t="shared" ref="N27:N29" si="4">F27*R$7</f>
        <v>398.73828119499643</v>
      </c>
      <c r="O27" s="8"/>
    </row>
    <row r="28" spans="1:19" x14ac:dyDescent="0.25">
      <c r="B28" t="s">
        <v>32</v>
      </c>
      <c r="F28" s="79">
        <f>'2023 NUC Rent'!K9</f>
        <v>5553</v>
      </c>
      <c r="G28" s="6"/>
      <c r="H28" s="79">
        <f t="shared" si="1"/>
        <v>1098.9551538574515</v>
      </c>
      <c r="I28" s="8"/>
      <c r="J28" s="85">
        <f t="shared" si="2"/>
        <v>516.5043982862461</v>
      </c>
      <c r="K28" s="8"/>
      <c r="L28" s="79">
        <f t="shared" si="3"/>
        <v>3813.8355662720901</v>
      </c>
      <c r="M28" s="8"/>
      <c r="N28" s="79">
        <f t="shared" si="4"/>
        <v>123.70488158421226</v>
      </c>
      <c r="O28" s="8"/>
    </row>
    <row r="29" spans="1:19" x14ac:dyDescent="0.25">
      <c r="B29" t="s">
        <v>47</v>
      </c>
      <c r="F29" s="79">
        <f>'2023 NUC Rent'!K10</f>
        <v>8864</v>
      </c>
      <c r="G29" s="6"/>
      <c r="H29" s="79">
        <f t="shared" si="1"/>
        <v>1754.2118645403295</v>
      </c>
      <c r="I29" s="8"/>
      <c r="J29" s="85">
        <f t="shared" si="2"/>
        <v>824.47235483689644</v>
      </c>
      <c r="K29" s="8"/>
      <c r="L29" s="79">
        <f t="shared" si="3"/>
        <v>6087.8513343122286</v>
      </c>
      <c r="M29" s="8"/>
      <c r="N29" s="79">
        <f t="shared" si="4"/>
        <v>197.46444631054521</v>
      </c>
      <c r="O29" s="8"/>
    </row>
    <row r="30" spans="1:19" x14ac:dyDescent="0.25">
      <c r="B30" t="s">
        <v>48</v>
      </c>
      <c r="F30" s="79">
        <f>'2023 NUC Rent'!K11</f>
        <v>5372</v>
      </c>
      <c r="G30" s="6"/>
      <c r="H30" s="79">
        <f>F30*R$4</f>
        <v>1063.1347175440715</v>
      </c>
      <c r="I30" s="8"/>
      <c r="J30" s="85">
        <f>F30*R$5</f>
        <v>499.66894067958117</v>
      </c>
      <c r="K30" s="8"/>
      <c r="L30" s="79">
        <f>F30*R$6</f>
        <v>3689.5236200276731</v>
      </c>
      <c r="M30" s="8"/>
      <c r="N30" s="79">
        <f>F30*R$7</f>
        <v>119.67272174867428</v>
      </c>
      <c r="O30" s="8"/>
    </row>
    <row r="31" spans="1:19" x14ac:dyDescent="0.25">
      <c r="B31" t="s">
        <v>41</v>
      </c>
      <c r="F31" s="79">
        <f>'2023 NUC Rent'!K12</f>
        <v>5037</v>
      </c>
      <c r="G31" s="6"/>
      <c r="H31" s="79">
        <f>F31*R$4</f>
        <v>996.83722491986009</v>
      </c>
      <c r="I31" s="8"/>
      <c r="J31" s="79">
        <f>F31*R$5</f>
        <v>468.50939207056035</v>
      </c>
      <c r="K31" s="8"/>
      <c r="L31" s="79">
        <f>F31*R$6</f>
        <v>3459.4434985255753</v>
      </c>
      <c r="M31" s="8"/>
      <c r="N31" s="79">
        <f>F31*R$7</f>
        <v>112.20988448400453</v>
      </c>
      <c r="O31" s="8"/>
    </row>
    <row r="32" spans="1:19" x14ac:dyDescent="0.25">
      <c r="B32" t="s">
        <v>31</v>
      </c>
      <c r="F32" s="79">
        <f>'2023 NUC Rent'!K13</f>
        <v>15397</v>
      </c>
      <c r="G32" s="6"/>
      <c r="H32" s="79">
        <f>F32*R$4</f>
        <v>3047.1119221939816</v>
      </c>
      <c r="I32" s="8"/>
      <c r="J32" s="79">
        <f>F32*R$5</f>
        <v>1432.1300595017706</v>
      </c>
      <c r="K32" s="8"/>
      <c r="L32" s="79">
        <f>F32*R$6</f>
        <v>10574.757106769561</v>
      </c>
      <c r="M32" s="8"/>
      <c r="N32" s="79">
        <f>F32*R$7</f>
        <v>343.00091153468685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58122</v>
      </c>
      <c r="G34" s="20"/>
      <c r="H34" s="84">
        <f>SUM(H27:H32)</f>
        <v>11502.516018819158</v>
      </c>
      <c r="I34" s="23"/>
      <c r="J34" s="84">
        <f>SUM(J27:J32)</f>
        <v>5406.1351768761388</v>
      </c>
      <c r="K34" s="23"/>
      <c r="L34" s="84">
        <f>SUM(L27:L32)</f>
        <v>39918.557677447585</v>
      </c>
      <c r="M34" s="23"/>
      <c r="N34" s="84">
        <f>SUM(N27:N32)</f>
        <v>1294.7911268571195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270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235</v>
      </c>
      <c r="T13" s="24" t="s">
        <v>215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28" sqref="F28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Dec 23 billing =Dec invoices = Nov Flow  data= Nov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116363.56</v>
      </c>
      <c r="G6" s="60"/>
      <c r="H6" s="85">
        <f>ROUNDUP(IF(N6=2500,(F6-L6-N6)*(Q4/(Q8-Q6-Q7)),(F6*R4)),0)</f>
        <v>61217</v>
      </c>
      <c r="I6" s="60"/>
      <c r="J6" s="227">
        <f>ROUNDUP(IF(SUM(H6,L6,N6,F6*R5)&gt;F6,((F6-L6-N6)*(Q5/(Q8-Q6-Q7))),(F6*R5)),0)</f>
        <v>37144</v>
      </c>
      <c r="K6" s="60"/>
      <c r="L6" s="85">
        <f>ROUNDUP(IF((F6*R$6&lt;2500),(2500),F6*R$6),0)</f>
        <v>7369</v>
      </c>
      <c r="M6" s="60"/>
      <c r="N6" s="85">
        <f>ROUNDUP(IF((F6*R$7&lt;2500),(2500),F6*R$7),0)</f>
        <v>10635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16750.09</v>
      </c>
      <c r="G7" s="60"/>
      <c r="H7" s="85">
        <f>ROUNDUP(F7*R$4,0)</f>
        <v>8812</v>
      </c>
      <c r="I7" s="60"/>
      <c r="J7" s="227">
        <f>ROUNDUP(F7*R$5,0)</f>
        <v>5347</v>
      </c>
      <c r="K7" s="60"/>
      <c r="L7" s="85">
        <f>ROUNDUP(F7*R$6,0)</f>
        <v>1061</v>
      </c>
      <c r="M7" s="60"/>
      <c r="N7" s="85">
        <f>ROUNDUP(F7*R$7,0)</f>
        <v>1531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13921.27</v>
      </c>
      <c r="G9" s="60"/>
      <c r="H9" s="85">
        <v>0</v>
      </c>
      <c r="I9" s="60"/>
      <c r="J9" s="227">
        <v>0</v>
      </c>
      <c r="K9" s="60"/>
      <c r="L9" s="85">
        <f>ROUNDUP(F9,0)</f>
        <v>13922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2585.63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5642.7664903139175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8228.3964903139167</v>
      </c>
      <c r="G13" s="60"/>
      <c r="H13" s="85">
        <f>ROUNDUP(F13*R$4,0)</f>
        <v>4329</v>
      </c>
      <c r="I13" s="60"/>
      <c r="J13" s="227">
        <f>ROUNDUP(F13*R$5,0)</f>
        <v>2627</v>
      </c>
      <c r="K13" s="60"/>
      <c r="L13" s="85">
        <f>ROUNDUP(F13*R$6,0)</f>
        <v>522</v>
      </c>
      <c r="M13" s="60"/>
      <c r="N13" s="85">
        <f>ROUNDUP(F13*R$7,0)</f>
        <v>753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5270.13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10522.346915510381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15792.476915510382</v>
      </c>
      <c r="G17" s="60"/>
      <c r="H17" s="85">
        <f>ROUNDUP(F17*R$4,0)</f>
        <v>8309</v>
      </c>
      <c r="I17" s="60"/>
      <c r="J17" s="227">
        <f>ROUNDUP(F17*R$5,0)</f>
        <v>5042</v>
      </c>
      <c r="K17" s="60"/>
      <c r="L17" s="85">
        <f>ROUNDUP(F17*R$6,0)</f>
        <v>1000</v>
      </c>
      <c r="M17" s="60"/>
      <c r="N17" s="85">
        <f>ROUNDUP(F17*R$7,0)</f>
        <v>1444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68102.342351955318</v>
      </c>
      <c r="G19" s="60"/>
      <c r="H19" s="85">
        <f>ROUNDUP(F19*R$4,0)</f>
        <v>35828</v>
      </c>
      <c r="I19" s="60"/>
      <c r="J19" s="227">
        <f>ROUNDUP(F19*R$5,0)</f>
        <v>21739</v>
      </c>
      <c r="K19" s="60"/>
      <c r="L19" s="85">
        <f>ROUNDUP(F19*R$6,0)</f>
        <v>4313</v>
      </c>
      <c r="M19" s="60"/>
      <c r="N19" s="85">
        <f>ROUNDUP(F19*R$7,0)</f>
        <v>6225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2459.17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6972.9249193191645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9432.0949193191645</v>
      </c>
      <c r="G23" s="60"/>
      <c r="H23" s="85">
        <f>ROUNDUP(F23*R$4,0)</f>
        <v>4963</v>
      </c>
      <c r="I23" s="60"/>
      <c r="J23" s="227">
        <f>ROUNDUP(F23*R$5,0)</f>
        <v>3011</v>
      </c>
      <c r="K23" s="60"/>
      <c r="L23" s="85">
        <f>ROUNDUP(F23*R$6,0)</f>
        <v>598</v>
      </c>
      <c r="M23" s="60"/>
      <c r="N23" s="85">
        <f>ROUNDUP(F23*R$7,0)</f>
        <v>863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15723.52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8841.1823739795291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24564.70237397953</v>
      </c>
      <c r="G27" s="60"/>
      <c r="H27" s="85">
        <f>ROUNDUP(F27*R$4,0)</f>
        <v>12924</v>
      </c>
      <c r="I27" s="60"/>
      <c r="J27" s="227">
        <f>ROUNDUP(F27*R$5,0)</f>
        <v>7842</v>
      </c>
      <c r="K27" s="60"/>
      <c r="L27" s="85">
        <f>ROUNDUP(F27*R$6,0)</f>
        <v>1556</v>
      </c>
      <c r="M27" s="60"/>
      <c r="N27" s="85">
        <f>ROUNDUP(F27*R$7,0)</f>
        <v>2246</v>
      </c>
    </row>
    <row r="28" spans="2:22" x14ac:dyDescent="0.25">
      <c r="B28" t="s">
        <v>25</v>
      </c>
      <c r="F28" s="85">
        <f>'Allocation Charges'!L13</f>
        <v>14871.9071424679</v>
      </c>
      <c r="G28" s="60"/>
      <c r="H28" s="85">
        <f>ROUNDUP(F28*R$4,0)</f>
        <v>7824</v>
      </c>
      <c r="I28" s="60"/>
      <c r="J28" s="227">
        <f>ROUNDUP(F28*R$5,0)</f>
        <v>4748</v>
      </c>
      <c r="K28" s="60"/>
      <c r="L28" s="85">
        <f>ROUNDUP(F28*R$6,0)</f>
        <v>942</v>
      </c>
      <c r="M28" s="60"/>
      <c r="N28" s="85">
        <f>ROUNDUP(F28*R$7,0)</f>
        <v>1360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987.24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0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987.24</v>
      </c>
      <c r="G32" s="60"/>
      <c r="H32" s="85">
        <f>ROUNDUP(F32*R$4,0)</f>
        <v>520</v>
      </c>
      <c r="I32" s="60"/>
      <c r="J32" s="227">
        <f>ROUNDUP(F32*R$5,0)</f>
        <v>316</v>
      </c>
      <c r="K32" s="60"/>
      <c r="L32" s="85">
        <f>ROUNDUP(F32*R$6,0)</f>
        <v>63</v>
      </c>
      <c r="M32" s="60"/>
      <c r="N32" s="85">
        <f>ROUNDUP(F32*R$7,0)</f>
        <v>91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29290.74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11709.594892235307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41000.334892235311</v>
      </c>
      <c r="G36" s="60"/>
      <c r="H36" s="85">
        <f>ROUNDUP(F36*R$4,0)</f>
        <v>21570</v>
      </c>
      <c r="I36" s="60"/>
      <c r="J36" s="227">
        <f>ROUNDUP(F36*R$5,0)</f>
        <v>13088</v>
      </c>
      <c r="K36" s="60"/>
      <c r="L36" s="85">
        <f>ROUNDUP(F36*R$6,0)</f>
        <v>2597</v>
      </c>
      <c r="M36" s="60"/>
      <c r="N36" s="85">
        <f>ROUNDUP(F36*R$7,0)</f>
        <v>3748</v>
      </c>
    </row>
    <row r="37" spans="1:17" x14ac:dyDescent="0.25">
      <c r="B37" t="s">
        <v>200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7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3952.1858339597993</v>
      </c>
      <c r="G39" s="60"/>
      <c r="H39" s="85">
        <f>ROUNDUP(F39*R$4,0)</f>
        <v>2080</v>
      </c>
      <c r="I39" s="60"/>
      <c r="J39" s="227">
        <f>ROUNDUP(F39*R$5,0)</f>
        <v>1262</v>
      </c>
      <c r="K39" s="60"/>
      <c r="L39" s="85">
        <f>ROUNDUP(F39*R$6,0)</f>
        <v>251</v>
      </c>
      <c r="M39" s="60"/>
      <c r="N39" s="85">
        <f>ROUNDUP(F39*R$7,0)</f>
        <v>362</v>
      </c>
    </row>
    <row r="40" spans="1:17" x14ac:dyDescent="0.25">
      <c r="B40" t="s">
        <v>30</v>
      </c>
      <c r="F40" s="85">
        <f>'Allocation Charges'!L19</f>
        <v>5047.2367191065459</v>
      </c>
      <c r="G40" s="60"/>
      <c r="H40" s="85">
        <f>ROUNDUP(F40*R$4,0)</f>
        <v>2656</v>
      </c>
      <c r="I40" s="60"/>
      <c r="J40" s="227">
        <f>ROUNDUP(F40*R$5,0)</f>
        <v>1612</v>
      </c>
      <c r="K40" s="60"/>
      <c r="L40" s="85">
        <f>ROUNDUP(F40*R$6,0)</f>
        <v>320</v>
      </c>
      <c r="M40" s="60"/>
      <c r="N40" s="85">
        <f>ROUNDUP(F40*R$7,0)</f>
        <v>462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341292.59763884783</v>
      </c>
      <c r="G42" s="60"/>
      <c r="H42" s="224">
        <f>SUM(H6:H41)</f>
        <v>172231</v>
      </c>
      <c r="I42" s="60"/>
      <c r="J42" s="224">
        <f>SUM(J6:J41)</f>
        <v>104506</v>
      </c>
      <c r="K42" s="60"/>
      <c r="L42" s="224">
        <f>SUM(L6:L41)</f>
        <v>34659</v>
      </c>
      <c r="M42" s="60"/>
      <c r="N42" s="224">
        <f>SUM(N6:N41)</f>
        <v>29929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12293.146551540454</v>
      </c>
      <c r="G46" s="8"/>
      <c r="H46" s="85">
        <f t="shared" ref="H46:H51" si="0">ROUNDUP(F46*R$4,0)</f>
        <v>6468</v>
      </c>
      <c r="I46" s="8"/>
      <c r="J46" s="227">
        <f t="shared" ref="J46:J51" si="1">ROUNDUP(F46*R$5,0)</f>
        <v>3925</v>
      </c>
      <c r="K46" s="8"/>
      <c r="L46" s="85">
        <f t="shared" ref="L46:L51" si="2">ROUNDUP(F46*R$6,0)</f>
        <v>779</v>
      </c>
      <c r="M46" s="8"/>
      <c r="N46" s="85">
        <f t="shared" ref="N46:N51" si="3">ROUNDUP(F46*R$7,0)</f>
        <v>1124</v>
      </c>
    </row>
    <row r="47" spans="1:17" x14ac:dyDescent="0.25">
      <c r="B47" t="s">
        <v>102</v>
      </c>
      <c r="F47" s="85">
        <f>'Allocation Charges'!L28</f>
        <v>3813.8355662720901</v>
      </c>
      <c r="G47" s="8"/>
      <c r="H47" s="85">
        <f t="shared" si="0"/>
        <v>2007</v>
      </c>
      <c r="I47" s="8"/>
      <c r="J47" s="227">
        <f t="shared" si="1"/>
        <v>1218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103</v>
      </c>
      <c r="F48" s="85">
        <f>'Allocation Charges'!L29</f>
        <v>6087.8513343122286</v>
      </c>
      <c r="G48" s="8"/>
      <c r="H48" s="85">
        <f t="shared" si="0"/>
        <v>3203</v>
      </c>
      <c r="I48" s="8"/>
      <c r="J48" s="227">
        <f t="shared" si="1"/>
        <v>1944</v>
      </c>
      <c r="K48" s="8"/>
      <c r="L48" s="85">
        <f t="shared" si="2"/>
        <v>386</v>
      </c>
      <c r="M48" s="8"/>
      <c r="N48" s="85">
        <f t="shared" si="3"/>
        <v>557</v>
      </c>
    </row>
    <row r="49" spans="1:14" x14ac:dyDescent="0.25">
      <c r="B49" t="s">
        <v>104</v>
      </c>
      <c r="F49" s="85">
        <f>'Allocation Charges'!L30</f>
        <v>3689.5236200276731</v>
      </c>
      <c r="G49" s="8"/>
      <c r="H49" s="85">
        <f t="shared" si="0"/>
        <v>1941</v>
      </c>
      <c r="I49" s="8"/>
      <c r="J49" s="227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105</v>
      </c>
      <c r="F50" s="85">
        <f>'Allocation Charges'!L31</f>
        <v>3459.4434985255753</v>
      </c>
      <c r="G50" s="8"/>
      <c r="H50" s="85">
        <f t="shared" si="0"/>
        <v>1820</v>
      </c>
      <c r="I50" s="8"/>
      <c r="J50" s="227">
        <f t="shared" si="1"/>
        <v>1105</v>
      </c>
      <c r="K50" s="8"/>
      <c r="L50" s="85">
        <f t="shared" si="2"/>
        <v>220</v>
      </c>
      <c r="M50" s="8"/>
      <c r="N50" s="85">
        <f t="shared" si="3"/>
        <v>317</v>
      </c>
    </row>
    <row r="51" spans="1:14" x14ac:dyDescent="0.25">
      <c r="B51" t="s">
        <v>106</v>
      </c>
      <c r="F51" s="85">
        <f>'Allocation Charges'!L32</f>
        <v>10574.757106769561</v>
      </c>
      <c r="G51" s="8"/>
      <c r="H51" s="85">
        <f t="shared" si="0"/>
        <v>5564</v>
      </c>
      <c r="I51" s="8"/>
      <c r="J51" s="227">
        <f t="shared" si="1"/>
        <v>3376</v>
      </c>
      <c r="K51" s="8"/>
      <c r="L51" s="85">
        <f t="shared" si="2"/>
        <v>670</v>
      </c>
      <c r="M51" s="8"/>
      <c r="N51" s="85">
        <f t="shared" si="3"/>
        <v>967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39918.557677447585</v>
      </c>
      <c r="G53" s="8"/>
      <c r="H53" s="224">
        <f>SUM(H46:H51)</f>
        <v>21003</v>
      </c>
      <c r="I53" s="8"/>
      <c r="J53" s="225">
        <f>SUM(J46:J51)</f>
        <v>12746</v>
      </c>
      <c r="K53" s="8"/>
      <c r="L53" s="224">
        <f>SUM(L46:L51)</f>
        <v>2531</v>
      </c>
      <c r="M53" s="8"/>
      <c r="N53" s="224">
        <f>SUM(N46:N51)</f>
        <v>3652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15466</v>
      </c>
      <c r="G57" s="8"/>
      <c r="H57" s="85">
        <v>0</v>
      </c>
      <c r="I57" s="8"/>
      <c r="J57" s="227">
        <f>ROUNDUP('Commodity OK'!F24+'Commodity OK'!F25,0)</f>
        <v>15466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190629</v>
      </c>
      <c r="G58" s="120"/>
      <c r="H58" s="85">
        <f>ROUNDUP('Commodity OK'!Q6-H59,0)</f>
        <v>73486</v>
      </c>
      <c r="I58" s="120"/>
      <c r="J58" s="227">
        <f>ROUNDUP('Commodity OK'!Q8-J59-J57,0)</f>
        <v>91423</v>
      </c>
      <c r="K58" s="120"/>
      <c r="L58" s="227">
        <f>ROUNDUP('Commodity OK'!Q7-L59,0)</f>
        <v>1922</v>
      </c>
      <c r="M58" s="120"/>
      <c r="N58" s="227">
        <f>ROUNDUP('Commodity OK'!Q9-N59-N60,0)</f>
        <v>23798</v>
      </c>
    </row>
    <row r="59" spans="1:14" x14ac:dyDescent="0.25">
      <c r="A59" s="16"/>
      <c r="B59" t="s">
        <v>109</v>
      </c>
      <c r="F59" s="85">
        <f>SUM(H59:N59)</f>
        <v>16683</v>
      </c>
      <c r="G59" s="120"/>
      <c r="H59" s="85">
        <f>ROUNDUP(('Commodity OK'!F42-'Commodity OK'!F39)*'Commodity OK'!O6,0)</f>
        <v>5947</v>
      </c>
      <c r="I59" s="120"/>
      <c r="J59" s="227">
        <f>ROUNDUP(('Commodity OK'!F42-'Commodity OK'!F39)*'Commodity OK'!O8,0)</f>
        <v>8650</v>
      </c>
      <c r="K59" s="120"/>
      <c r="L59" s="227">
        <f>ROUNDUP(('Commodity OK'!F42-'Commodity OK'!F39)*'Commodity OK'!O7,0)</f>
        <v>156</v>
      </c>
      <c r="M59" s="120"/>
      <c r="N59" s="227">
        <f>ROUNDUP(('Commodity OK'!F42-'Commodity OK'!F39)*'Commodity OK'!O9,0)</f>
        <v>1930</v>
      </c>
    </row>
    <row r="60" spans="1:14" x14ac:dyDescent="0.25">
      <c r="A60" s="16"/>
      <c r="B60" t="s">
        <v>114</v>
      </c>
      <c r="F60" s="85">
        <f>SUM(H60:N60)</f>
        <v>53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53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222831</v>
      </c>
      <c r="G62" s="226"/>
      <c r="H62" s="224">
        <f>SUM(H57:H60)</f>
        <v>79433</v>
      </c>
      <c r="I62" s="226"/>
      <c r="J62" s="224">
        <f>SUM(J57:J60)</f>
        <v>115539</v>
      </c>
      <c r="K62" s="226"/>
      <c r="L62" s="224">
        <f>SUM(L57:L60)</f>
        <v>2078</v>
      </c>
      <c r="M62" s="226"/>
      <c r="N62" s="225">
        <f>SUM(N57:N60)</f>
        <v>25781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604042.15531629534</v>
      </c>
      <c r="G66" s="120"/>
      <c r="H66" s="224">
        <f>H53+H42+H62</f>
        <v>272667</v>
      </c>
      <c r="I66" s="120"/>
      <c r="J66" s="225">
        <f>J53+J42+J62</f>
        <v>232791</v>
      </c>
      <c r="K66" s="120"/>
      <c r="L66" s="225">
        <f>L53+L42+L62</f>
        <v>39268</v>
      </c>
      <c r="M66" s="120"/>
      <c r="N66" s="225">
        <f>N53+N42+N62</f>
        <v>59362</v>
      </c>
    </row>
    <row r="68" spans="4:14" x14ac:dyDescent="0.25">
      <c r="F68" s="6">
        <f>SUM(H66:N66)</f>
        <v>604088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topLeftCell="A3" zoomScaleNormal="100" workbookViewId="0">
      <selection activeCell="J19" sqref="J19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303</v>
      </c>
      <c r="G2" s="97"/>
      <c r="H2" s="97" t="s">
        <v>304</v>
      </c>
      <c r="I2" s="99"/>
      <c r="J2" s="54"/>
    </row>
    <row r="3" spans="2:21" x14ac:dyDescent="0.25">
      <c r="M3" s="101" t="s">
        <v>300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301</v>
      </c>
      <c r="N4" s="19"/>
      <c r="O4" s="19" t="s">
        <v>79</v>
      </c>
      <c r="P4" s="19"/>
      <c r="Q4" s="19" t="s">
        <v>80</v>
      </c>
      <c r="R4" s="19"/>
      <c r="S4" s="177" t="s">
        <v>302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295</v>
      </c>
      <c r="D6" s="88">
        <v>289</v>
      </c>
      <c r="E6" s="27"/>
      <c r="F6" s="218">
        <v>54.91</v>
      </c>
      <c r="H6" s="6">
        <f t="shared" ref="H6:H16" si="0">F6/D6</f>
        <v>0.18999999999999997</v>
      </c>
      <c r="K6" t="s">
        <v>33</v>
      </c>
      <c r="M6" s="132">
        <v>372589</v>
      </c>
      <c r="O6" s="25">
        <f>+M6/$M$11</f>
        <v>0.35647252085942455</v>
      </c>
      <c r="Q6" s="6">
        <f>O6*F44</f>
        <v>79432.472386188034</v>
      </c>
      <c r="S6" s="132">
        <v>205673</v>
      </c>
      <c r="U6" s="110" t="s">
        <v>153</v>
      </c>
    </row>
    <row r="7" spans="2:21" x14ac:dyDescent="0.25">
      <c r="C7" s="127" t="s">
        <v>142</v>
      </c>
      <c r="D7" s="88">
        <v>8863</v>
      </c>
      <c r="E7" s="27"/>
      <c r="F7" s="218">
        <v>11672.39</v>
      </c>
      <c r="H7" s="6">
        <f t="shared" si="0"/>
        <v>1.3169795780209861</v>
      </c>
      <c r="K7" t="s">
        <v>82</v>
      </c>
      <c r="M7" s="132">
        <v>9743</v>
      </c>
      <c r="O7" s="25">
        <f t="shared" ref="O7:O9" si="1">+M7/$M$11</f>
        <v>9.3215628232002912E-3</v>
      </c>
      <c r="Q7" s="6">
        <f>O7*F44</f>
        <v>2077.1160137809493</v>
      </c>
      <c r="S7" s="132">
        <v>4637</v>
      </c>
    </row>
    <row r="8" spans="2:21" x14ac:dyDescent="0.25">
      <c r="C8" s="127" t="s">
        <v>165</v>
      </c>
      <c r="D8" s="88">
        <f>58+840</f>
        <v>898</v>
      </c>
      <c r="E8" s="27"/>
      <c r="F8" s="218">
        <f>544.04+1331.19</f>
        <v>1875.23</v>
      </c>
      <c r="H8" s="6">
        <f t="shared" si="0"/>
        <v>2.0882293986636973</v>
      </c>
      <c r="K8" t="s">
        <v>83</v>
      </c>
      <c r="M8" s="132">
        <v>541950</v>
      </c>
      <c r="O8" s="25">
        <f t="shared" si="1"/>
        <v>0.51850774628280794</v>
      </c>
      <c r="Q8" s="6">
        <f>O8*F44</f>
        <v>115538.6455576912</v>
      </c>
      <c r="S8" s="132">
        <v>253028</v>
      </c>
    </row>
    <row r="9" spans="2:21" x14ac:dyDescent="0.25">
      <c r="C9" s="127" t="s">
        <v>64</v>
      </c>
      <c r="D9" s="88">
        <v>22755</v>
      </c>
      <c r="E9" s="27"/>
      <c r="F9" s="218">
        <v>20429.53</v>
      </c>
      <c r="H9" s="6">
        <f t="shared" si="0"/>
        <v>0.89780399912107223</v>
      </c>
      <c r="K9" t="s">
        <v>110</v>
      </c>
      <c r="M9" s="132">
        <v>120929</v>
      </c>
      <c r="O9" s="25">
        <f t="shared" si="1"/>
        <v>0.11569817003456719</v>
      </c>
      <c r="Q9" s="6">
        <f>O9*F44</f>
        <v>25780.926042339775</v>
      </c>
      <c r="S9" s="132">
        <v>117963</v>
      </c>
    </row>
    <row r="10" spans="2:21" x14ac:dyDescent="0.25">
      <c r="C10" s="127" t="s">
        <v>65</v>
      </c>
      <c r="D10" s="88">
        <v>2494</v>
      </c>
      <c r="E10" s="27"/>
      <c r="F10" s="218">
        <v>1945.78</v>
      </c>
      <c r="H10" s="6">
        <f t="shared" si="0"/>
        <v>0.78018444266238973</v>
      </c>
    </row>
    <row r="11" spans="2:21" x14ac:dyDescent="0.25">
      <c r="C11" s="127" t="s">
        <v>66</v>
      </c>
      <c r="D11" s="88">
        <v>335</v>
      </c>
      <c r="E11" s="27"/>
      <c r="F11" s="218">
        <v>643.86</v>
      </c>
      <c r="H11" s="6">
        <f t="shared" si="0"/>
        <v>1.9219701492537313</v>
      </c>
      <c r="M11" s="28">
        <f>SUM(M6:M10)</f>
        <v>1045211</v>
      </c>
      <c r="N11" s="32"/>
      <c r="O11" s="33">
        <f>SUM(O6:O9)</f>
        <v>1</v>
      </c>
      <c r="P11" s="32"/>
      <c r="Q11" s="30">
        <f>SUM(Q6:Q9)</f>
        <v>222829.15999999995</v>
      </c>
      <c r="R11" s="32"/>
      <c r="S11" s="28">
        <f>SUM(S6:S10)</f>
        <v>581301</v>
      </c>
    </row>
    <row r="12" spans="2:21" x14ac:dyDescent="0.25">
      <c r="C12" s="127" t="s">
        <v>67</v>
      </c>
      <c r="D12" s="88">
        <v>267</v>
      </c>
      <c r="E12" s="27"/>
      <c r="F12" s="218">
        <v>695.39</v>
      </c>
      <c r="H12" s="6">
        <f t="shared" si="0"/>
        <v>2.6044569288389514</v>
      </c>
      <c r="K12" s="222"/>
    </row>
    <row r="13" spans="2:21" x14ac:dyDescent="0.25">
      <c r="C13" s="127" t="s">
        <v>68</v>
      </c>
      <c r="D13" s="88">
        <v>103</v>
      </c>
      <c r="E13" s="27"/>
      <c r="F13" s="218">
        <v>199.92</v>
      </c>
      <c r="H13" s="6">
        <f t="shared" si="0"/>
        <v>1.9409708737864075</v>
      </c>
      <c r="M13" t="s">
        <v>202</v>
      </c>
      <c r="Q13" s="6"/>
    </row>
    <row r="14" spans="2:21" x14ac:dyDescent="0.25">
      <c r="C14" s="127" t="s">
        <v>69</v>
      </c>
      <c r="D14" s="88">
        <v>25</v>
      </c>
      <c r="E14" s="27"/>
      <c r="F14" s="218">
        <v>156.07</v>
      </c>
      <c r="H14" s="6">
        <f t="shared" si="0"/>
        <v>6.2427999999999999</v>
      </c>
      <c r="O14" t="s">
        <v>211</v>
      </c>
    </row>
    <row r="15" spans="2:21" x14ac:dyDescent="0.25">
      <c r="C15" s="127" t="s">
        <v>70</v>
      </c>
      <c r="D15" s="88">
        <v>5165</v>
      </c>
      <c r="E15" s="27"/>
      <c r="F15" s="218">
        <v>2625.59</v>
      </c>
      <c r="H15" s="6">
        <f t="shared" si="0"/>
        <v>0.50834269119070674</v>
      </c>
      <c r="O15" s="7" t="s">
        <v>207</v>
      </c>
      <c r="Q15" s="134">
        <f>201746.83-1000</f>
        <v>200746.83</v>
      </c>
      <c r="S15" t="s">
        <v>237</v>
      </c>
    </row>
    <row r="16" spans="2:21" x14ac:dyDescent="0.25">
      <c r="C16" s="127" t="s">
        <v>71</v>
      </c>
      <c r="D16" s="88">
        <v>945</v>
      </c>
      <c r="E16" s="27"/>
      <c r="F16" s="218">
        <v>788.51</v>
      </c>
      <c r="H16" s="6">
        <f t="shared" si="0"/>
        <v>0.83440211640211637</v>
      </c>
      <c r="O16" s="7" t="s">
        <v>209</v>
      </c>
      <c r="Q16" s="102">
        <v>6037.21</v>
      </c>
      <c r="S16" t="s">
        <v>237</v>
      </c>
    </row>
    <row r="17" spans="3:24" x14ac:dyDescent="0.25">
      <c r="C17" s="127" t="s">
        <v>180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210</v>
      </c>
      <c r="Q17" s="102">
        <v>7600.32</v>
      </c>
      <c r="S17" t="s">
        <v>237</v>
      </c>
    </row>
    <row r="18" spans="3:24" ht="15.75" thickBot="1" x14ac:dyDescent="0.3">
      <c r="C18" s="16" t="s">
        <v>163</v>
      </c>
      <c r="D18" s="28">
        <f>SUM(D6:D17)</f>
        <v>42224</v>
      </c>
      <c r="E18" s="31"/>
      <c r="F18" s="30">
        <f>SUM(F6:F17)</f>
        <v>41581.879999999997</v>
      </c>
      <c r="G18" s="20"/>
      <c r="H18" s="6">
        <f>F18/D18</f>
        <v>0.98479253505115572</v>
      </c>
      <c r="I18" s="20"/>
      <c r="J18" s="6"/>
      <c r="M18" s="6"/>
      <c r="O18" s="6" t="s">
        <v>146</v>
      </c>
      <c r="Q18" s="104">
        <f>SUM(Q15:Q17)</f>
        <v>214384.36</v>
      </c>
      <c r="S18" t="s">
        <v>238</v>
      </c>
    </row>
    <row r="19" spans="3:24" ht="15.75" thickTop="1" x14ac:dyDescent="0.25">
      <c r="K19" s="6"/>
      <c r="M19" s="6"/>
      <c r="O19" s="6" t="s">
        <v>208</v>
      </c>
      <c r="Q19" s="6">
        <f>+F41</f>
        <v>8444.8000000000011</v>
      </c>
      <c r="S19" t="s">
        <v>238</v>
      </c>
      <c r="W19" s="6"/>
    </row>
    <row r="20" spans="3:24" x14ac:dyDescent="0.25">
      <c r="O20" s="6" t="s">
        <v>50</v>
      </c>
      <c r="Q20" s="174">
        <f>+Q18+Q19</f>
        <v>222829.15999999997</v>
      </c>
      <c r="S20" t="s">
        <v>238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0</v>
      </c>
      <c r="S21" t="s">
        <v>238</v>
      </c>
    </row>
    <row r="22" spans="3:24" x14ac:dyDescent="0.25">
      <c r="Q22" s="6"/>
      <c r="X22" s="6"/>
    </row>
    <row r="23" spans="3:24" x14ac:dyDescent="0.25">
      <c r="C23" s="127" t="s">
        <v>212</v>
      </c>
      <c r="D23" s="88">
        <v>289</v>
      </c>
      <c r="F23" s="218">
        <v>1128.26</v>
      </c>
      <c r="H23" s="6">
        <f t="shared" ref="H23:H35" si="2">F23/D23</f>
        <v>3.9040138408304497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263</v>
      </c>
      <c r="D25" s="88">
        <v>4888</v>
      </c>
      <c r="F25" s="63">
        <v>15465.63</v>
      </c>
      <c r="H25" s="6">
        <f t="shared" si="2"/>
        <v>3.1639995908346972</v>
      </c>
      <c r="J25" t="s">
        <v>139</v>
      </c>
      <c r="S25" s="6"/>
    </row>
    <row r="26" spans="3:24" x14ac:dyDescent="0.25">
      <c r="C26" s="127" t="s">
        <v>179</v>
      </c>
      <c r="D26" s="88">
        <v>4377</v>
      </c>
      <c r="F26" s="218">
        <v>14128.95</v>
      </c>
      <c r="H26" s="6">
        <f t="shared" si="2"/>
        <v>3.2279986291980811</v>
      </c>
      <c r="S26" s="6"/>
    </row>
    <row r="27" spans="3:24" x14ac:dyDescent="0.25">
      <c r="C27" s="127" t="s">
        <v>287</v>
      </c>
      <c r="D27" s="88">
        <v>8135</v>
      </c>
      <c r="F27" s="218">
        <v>25950.65</v>
      </c>
      <c r="H27" s="6">
        <f t="shared" si="2"/>
        <v>3.1900000000000004</v>
      </c>
      <c r="S27" s="6"/>
    </row>
    <row r="28" spans="3:24" x14ac:dyDescent="0.25">
      <c r="C28" s="127" t="s">
        <v>288</v>
      </c>
      <c r="D28" s="88">
        <v>842</v>
      </c>
      <c r="F28" s="218">
        <v>2667.88</v>
      </c>
      <c r="H28" s="6">
        <f t="shared" si="2"/>
        <v>3.1685035629453684</v>
      </c>
      <c r="S28" s="6"/>
    </row>
    <row r="29" spans="3:24" x14ac:dyDescent="0.25">
      <c r="C29" s="127" t="s">
        <v>289</v>
      </c>
      <c r="D29" s="88">
        <v>18711</v>
      </c>
      <c r="F29" s="218">
        <v>67254.81</v>
      </c>
      <c r="H29" s="6">
        <f t="shared" si="2"/>
        <v>3.5943995510662177</v>
      </c>
      <c r="O29" s="6"/>
      <c r="Q29" s="6"/>
    </row>
    <row r="30" spans="3:24" x14ac:dyDescent="0.25">
      <c r="C30" s="127" t="s">
        <v>294</v>
      </c>
      <c r="D30" s="88">
        <v>20</v>
      </c>
      <c r="F30" s="218">
        <v>66.099999999999994</v>
      </c>
      <c r="H30" s="6">
        <f t="shared" si="2"/>
        <v>3.3049999999999997</v>
      </c>
    </row>
    <row r="31" spans="3:24" x14ac:dyDescent="0.25">
      <c r="C31" s="127" t="s">
        <v>274</v>
      </c>
      <c r="D31" s="88"/>
      <c r="F31" s="218"/>
      <c r="H31" s="6" t="e">
        <f t="shared" si="2"/>
        <v>#DIV/0!</v>
      </c>
    </row>
    <row r="32" spans="3:24" x14ac:dyDescent="0.25">
      <c r="C32" s="127" t="s">
        <v>111</v>
      </c>
      <c r="D32" s="88">
        <v>5859</v>
      </c>
      <c r="F32" s="218">
        <v>31814.37</v>
      </c>
      <c r="H32" s="6">
        <f t="shared" ref="H32:H34" si="3">F32/D32</f>
        <v>5.43</v>
      </c>
    </row>
    <row r="33" spans="3:22" x14ac:dyDescent="0.25">
      <c r="C33" s="127" t="s">
        <v>273</v>
      </c>
      <c r="D33" s="88"/>
      <c r="F33" s="218"/>
      <c r="H33" s="6" t="e">
        <f t="shared" si="3"/>
        <v>#DIV/0!</v>
      </c>
    </row>
    <row r="34" spans="3:22" x14ac:dyDescent="0.25">
      <c r="C34" t="s">
        <v>195</v>
      </c>
      <c r="D34" s="88"/>
      <c r="F34" s="218">
        <v>6037.21</v>
      </c>
      <c r="H34" s="6" t="e">
        <f t="shared" si="3"/>
        <v>#DIV/0!</v>
      </c>
      <c r="J34" s="6"/>
    </row>
    <row r="35" spans="3:22" x14ac:dyDescent="0.25">
      <c r="D35" s="28">
        <f>SUM(D23:D34)</f>
        <v>43121</v>
      </c>
      <c r="E35" s="16"/>
      <c r="F35" s="89">
        <f>SUM(F23:F34)</f>
        <v>164513.85999999999</v>
      </c>
      <c r="H35" s="6">
        <f t="shared" si="2"/>
        <v>3.8151680155840539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636</v>
      </c>
      <c r="J38" t="s">
        <v>259</v>
      </c>
      <c r="K38" s="74" t="s">
        <v>137</v>
      </c>
    </row>
    <row r="39" spans="3:22" ht="15.75" thickBot="1" x14ac:dyDescent="0.3">
      <c r="C39" t="s">
        <v>112</v>
      </c>
      <c r="F39" s="218">
        <v>52.3</v>
      </c>
      <c r="Q39" s="6"/>
      <c r="S39" s="6"/>
    </row>
    <row r="40" spans="3:22" ht="15.75" thickBot="1" x14ac:dyDescent="0.3">
      <c r="C40" t="s">
        <v>76</v>
      </c>
      <c r="F40" s="109">
        <f>+D18*0.18</f>
        <v>7600.32</v>
      </c>
      <c r="J40" s="76" t="s">
        <v>197</v>
      </c>
      <c r="K40" s="74"/>
      <c r="S40" s="54"/>
    </row>
    <row r="41" spans="3:22" ht="15.75" thickBot="1" x14ac:dyDescent="0.3">
      <c r="C41" t="s">
        <v>136</v>
      </c>
      <c r="F41" s="6">
        <f>D18*0.2</f>
        <v>8444.8000000000011</v>
      </c>
      <c r="J41" s="76" t="s">
        <v>199</v>
      </c>
    </row>
    <row r="42" spans="3:22" x14ac:dyDescent="0.25">
      <c r="F42" s="30">
        <f>SUM(F38:F41)</f>
        <v>16733.419999999998</v>
      </c>
      <c r="J42" s="163" t="s">
        <v>163</v>
      </c>
      <c r="K42" s="166" t="s">
        <v>198</v>
      </c>
      <c r="L42" s="164"/>
      <c r="M42" s="165" t="s">
        <v>50</v>
      </c>
    </row>
    <row r="43" spans="3:22" ht="15.75" thickBot="1" x14ac:dyDescent="0.3">
      <c r="C43" s="102">
        <f>201746.83+6037.21-1000</f>
        <v>206784.03999999998</v>
      </c>
      <c r="D43" s="117" t="s">
        <v>239</v>
      </c>
      <c r="J43" s="161">
        <f>+D18</f>
        <v>42224</v>
      </c>
      <c r="K43" s="148">
        <v>0.18</v>
      </c>
      <c r="L43" s="148"/>
      <c r="M43" s="162">
        <f>+J43*K43</f>
        <v>7600.32</v>
      </c>
      <c r="S43" s="54"/>
      <c r="T43" s="54"/>
      <c r="U43" s="54"/>
      <c r="V43" s="170"/>
    </row>
    <row r="44" spans="3:22" x14ac:dyDescent="0.25">
      <c r="C44" s="6">
        <f>+F18+F35+F38+F39</f>
        <v>206784.03999999998</v>
      </c>
      <c r="D44" s="15" t="s">
        <v>39</v>
      </c>
      <c r="E44" s="16"/>
      <c r="F44" s="174">
        <f>F18+F35+F42</f>
        <v>222829.15999999997</v>
      </c>
    </row>
    <row r="45" spans="3:22" x14ac:dyDescent="0.25">
      <c r="C45" s="6">
        <f>+C44-C43</f>
        <v>0</v>
      </c>
      <c r="F45" s="99">
        <f>F44-F41-F40</f>
        <v>206784.03999999998</v>
      </c>
      <c r="H45" s="178">
        <f>F45-F34</f>
        <v>200746.83</v>
      </c>
      <c r="I45" s="178"/>
      <c r="J45" s="179" t="s">
        <v>213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zoomScaleNormal="100" workbookViewId="0">
      <selection activeCell="H53" sqref="H53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271</v>
      </c>
      <c r="F1" s="6" t="str">
        <f>+'Commodity OK'!H2</f>
        <v>Data Input Dec 23 billing =Dec invoices = Nov Flow  data= Nov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11951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375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217.85</v>
      </c>
      <c r="G11" s="6"/>
      <c r="J11" s="1"/>
    </row>
    <row r="12" spans="1:16" x14ac:dyDescent="0.25">
      <c r="C12" t="s">
        <v>38</v>
      </c>
      <c r="F12" s="6">
        <f>'Allocation Charges'!J7</f>
        <v>764.19490565458023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983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1426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9224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81.93</v>
      </c>
      <c r="G19" s="6"/>
    </row>
    <row r="20" spans="2:7" x14ac:dyDescent="0.25">
      <c r="C20" t="s">
        <v>38</v>
      </c>
      <c r="F20" s="6">
        <f>'Allocation Charges'!J11</f>
        <v>944.33709245323337</v>
      </c>
      <c r="G20" s="6"/>
    </row>
    <row r="21" spans="2:7" x14ac:dyDescent="0.25">
      <c r="D21" s="7" t="s">
        <v>39</v>
      </c>
      <c r="E21" s="36"/>
      <c r="F21" s="229">
        <f>ROUNDUP(F20+F19,0)</f>
        <v>1027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1711.52</v>
      </c>
      <c r="G23" s="6"/>
    </row>
    <row r="24" spans="2:7" x14ac:dyDescent="0.25">
      <c r="C24" t="s">
        <v>38</v>
      </c>
      <c r="F24" s="6">
        <f>'Allocation Charges'!J12</f>
        <v>1197.3535572942617</v>
      </c>
      <c r="G24" s="6"/>
    </row>
    <row r="25" spans="2:7" x14ac:dyDescent="0.25">
      <c r="D25" s="7" t="s">
        <v>39</v>
      </c>
      <c r="E25" s="36"/>
      <c r="F25" s="229">
        <f>ROUNDUP(F24+F23,0)</f>
        <v>2909</v>
      </c>
      <c r="G25" s="6"/>
    </row>
    <row r="26" spans="2:7" x14ac:dyDescent="0.25">
      <c r="B26" t="s">
        <v>25</v>
      </c>
      <c r="F26" s="85">
        <f>ROUNDUP('Allocation Charges'!J13,0)</f>
        <v>1783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0</v>
      </c>
      <c r="G29" s="6"/>
    </row>
    <row r="30" spans="2:7" x14ac:dyDescent="0.25">
      <c r="D30" s="7" t="s">
        <v>39</v>
      </c>
      <c r="E30" s="36"/>
      <c r="F30" s="229">
        <f>ROUNDUP(F29+F28,0)</f>
        <v>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646.65</v>
      </c>
      <c r="G32" s="6"/>
    </row>
    <row r="33" spans="1:7" x14ac:dyDescent="0.25">
      <c r="C33" t="s">
        <v>38</v>
      </c>
      <c r="F33" s="6">
        <f>'Allocation Charges'!J15</f>
        <v>1585.8201432374528</v>
      </c>
      <c r="G33" s="6"/>
    </row>
    <row r="34" spans="1:7" x14ac:dyDescent="0.25">
      <c r="D34" s="7" t="s">
        <v>39</v>
      </c>
      <c r="E34" s="36"/>
      <c r="F34" s="229">
        <f>ROUNDUP(F33+F32,0)</f>
        <v>2233</v>
      </c>
      <c r="G34" s="6"/>
    </row>
    <row r="35" spans="1:7" x14ac:dyDescent="0.25">
      <c r="B35" t="s">
        <v>200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536</v>
      </c>
      <c r="G37" s="6"/>
    </row>
    <row r="38" spans="1:7" x14ac:dyDescent="0.25">
      <c r="B38" t="s">
        <v>30</v>
      </c>
      <c r="F38" s="85">
        <f>ROUNDUP('Allocation Charges'!J19,0)</f>
        <v>684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33131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292</v>
      </c>
      <c r="G43" s="6"/>
    </row>
    <row r="44" spans="1:7" x14ac:dyDescent="0.25">
      <c r="B44" t="s">
        <v>46</v>
      </c>
      <c r="F44" s="85">
        <f>ROUNDUP('Allocation Charges'!J27,0)</f>
        <v>1665</v>
      </c>
      <c r="G44" s="6"/>
    </row>
    <row r="45" spans="1:7" x14ac:dyDescent="0.25">
      <c r="B45" t="s">
        <v>32</v>
      </c>
      <c r="F45" s="85">
        <f>ROUNDUP('Allocation Charges'!J28,0)</f>
        <v>517</v>
      </c>
      <c r="G45" s="6"/>
    </row>
    <row r="46" spans="1:7" x14ac:dyDescent="0.25">
      <c r="B46" t="s">
        <v>47</v>
      </c>
      <c r="F46" s="85">
        <f>ROUNDUP('Allocation Charges'!J29,0)</f>
        <v>825</v>
      </c>
      <c r="G46" s="6"/>
    </row>
    <row r="47" spans="1:7" x14ac:dyDescent="0.25">
      <c r="B47" t="s">
        <v>48</v>
      </c>
      <c r="F47" s="85">
        <f>ROUNDUP('Allocation Charges'!J30,0)</f>
        <v>500</v>
      </c>
      <c r="G47" s="6"/>
    </row>
    <row r="48" spans="1:7" x14ac:dyDescent="0.25">
      <c r="B48" t="s">
        <v>41</v>
      </c>
      <c r="F48" s="85">
        <f>ROUNDUP('Allocation Charges'!J31,0)</f>
        <v>469</v>
      </c>
      <c r="G48" s="6"/>
    </row>
    <row r="49" spans="1:8" x14ac:dyDescent="0.25">
      <c r="B49" t="s">
        <v>31</v>
      </c>
      <c r="F49" s="85">
        <f>ROUNDUP('Allocation Charges'!J32,0)</f>
        <v>1433</v>
      </c>
      <c r="G49" s="6"/>
    </row>
    <row r="50" spans="1:8" x14ac:dyDescent="0.25">
      <c r="F50" s="6"/>
    </row>
    <row r="51" spans="1:8" x14ac:dyDescent="0.25">
      <c r="F51" s="224">
        <f>SUM(F44:F49)</f>
        <v>5409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266</v>
      </c>
      <c r="F53" s="6">
        <f>ROUNDUP('Commodity TN KY'!I20,0)</f>
        <v>4664</v>
      </c>
      <c r="H53" s="106">
        <f>'Commodity TN KY'!E15*'Commodity TN KY'!G20</f>
        <v>1101.1818464485157</v>
      </c>
    </row>
    <row r="54" spans="1:8" x14ac:dyDescent="0.25">
      <c r="A54" s="16"/>
      <c r="B54" t="s">
        <v>267</v>
      </c>
      <c r="F54" s="6">
        <f>ROUNDUP('Commodity TN KY'!I27,0)</f>
        <v>9012</v>
      </c>
      <c r="H54" s="106">
        <f>+'Commodity TN KY'!E27</f>
        <v>3770.6</v>
      </c>
    </row>
    <row r="55" spans="1:8" x14ac:dyDescent="0.25">
      <c r="A55" s="16"/>
      <c r="B55" t="s">
        <v>268</v>
      </c>
      <c r="F55" s="6">
        <f>ROUNDUP('Commodity TN KY'!I28,0)</f>
        <v>2336</v>
      </c>
      <c r="H55" s="106">
        <f>+'Commodity TN KY'!E28</f>
        <v>1895</v>
      </c>
    </row>
    <row r="56" spans="1:8" x14ac:dyDescent="0.25">
      <c r="F56" s="223">
        <f>SUM(F53:F55)</f>
        <v>16012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54552</v>
      </c>
    </row>
  </sheetData>
  <pageMargins left="0.7" right="0.7" top="0.75" bottom="0.75" header="0.3" footer="0.3"/>
  <pageSetup scale="78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J18" sqref="J1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272</v>
      </c>
      <c r="F1" s="6" t="str">
        <f>+'Commodity OK'!H2</f>
        <v>Data Input Dec 23 billing =Dec invoices = Nov Flow  data= Nov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16362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7512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1986.19</v>
      </c>
      <c r="G11" s="6"/>
      <c r="J11" s="1"/>
    </row>
    <row r="12" spans="1:11" x14ac:dyDescent="0.25">
      <c r="C12" t="s">
        <v>38</v>
      </c>
      <c r="F12" s="60">
        <f>'Allocation Charges'!H7</f>
        <v>1625.9608493310154</v>
      </c>
      <c r="G12" s="6"/>
      <c r="J12" s="1"/>
    </row>
    <row r="13" spans="1:11" x14ac:dyDescent="0.25">
      <c r="D13" s="7" t="s">
        <v>39</v>
      </c>
      <c r="F13" s="86">
        <f>ROUNDUP(F11+F12,0)</f>
        <v>3613</v>
      </c>
      <c r="G13" s="6"/>
      <c r="J13" s="1"/>
    </row>
    <row r="14" spans="1:11" x14ac:dyDescent="0.25">
      <c r="B14" t="s">
        <v>15</v>
      </c>
      <c r="F14" s="83">
        <f>ROUNDUP('Allocation Charges'!H8,0)</f>
        <v>3033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19624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20.73</v>
      </c>
      <c r="G18" s="6"/>
    </row>
    <row r="19" spans="2:7" x14ac:dyDescent="0.25">
      <c r="C19" t="s">
        <v>38</v>
      </c>
      <c r="F19" s="60">
        <f>'Allocation Charges'!H11</f>
        <v>2009.2454549730719</v>
      </c>
      <c r="G19" s="6"/>
    </row>
    <row r="20" spans="2:7" x14ac:dyDescent="0.25">
      <c r="D20" s="7" t="s">
        <v>39</v>
      </c>
      <c r="F20" s="86">
        <f>ROUNDUP(F18+F19,0)</f>
        <v>2030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0</v>
      </c>
      <c r="G22" s="6"/>
    </row>
    <row r="23" spans="2:7" x14ac:dyDescent="0.25">
      <c r="C23" t="s">
        <v>38</v>
      </c>
      <c r="F23" s="60">
        <f>'Allocation Charges'!H12</f>
        <v>2547.5830741113</v>
      </c>
      <c r="G23" s="6"/>
    </row>
    <row r="24" spans="2:7" x14ac:dyDescent="0.25">
      <c r="D24" s="7" t="s">
        <v>39</v>
      </c>
      <c r="F24" s="86">
        <f>ROUNDUP(F22+F23,0)</f>
        <v>2548</v>
      </c>
      <c r="G24" s="6"/>
    </row>
    <row r="25" spans="2:7" x14ac:dyDescent="0.25">
      <c r="B25" t="s">
        <v>25</v>
      </c>
      <c r="F25" s="83">
        <f>ROUNDUP('Allocation Charges'!H13,0)</f>
        <v>3792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270</v>
      </c>
      <c r="G27" s="6"/>
    </row>
    <row r="28" spans="2:7" x14ac:dyDescent="0.25">
      <c r="C28" t="s">
        <v>38</v>
      </c>
      <c r="F28" s="60">
        <f>'Allocation Charges'!H14</f>
        <v>0</v>
      </c>
      <c r="G28" s="6"/>
    </row>
    <row r="29" spans="2:7" x14ac:dyDescent="0.25">
      <c r="D29" s="7" t="s">
        <v>39</v>
      </c>
      <c r="F29" s="86">
        <f>ROUNDUP(F27+F28,0)</f>
        <v>270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3374.1149645272399</v>
      </c>
      <c r="G32" s="6"/>
    </row>
    <row r="33" spans="1:10" x14ac:dyDescent="0.25">
      <c r="D33" s="7" t="s">
        <v>39</v>
      </c>
      <c r="F33" s="86">
        <f>ROUNDUP(F31+F32,0)</f>
        <v>6213</v>
      </c>
      <c r="G33" s="6"/>
    </row>
    <row r="34" spans="1:10" x14ac:dyDescent="0.25">
      <c r="B34" t="s">
        <v>200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1139</v>
      </c>
      <c r="G36" s="6"/>
    </row>
    <row r="37" spans="1:10" x14ac:dyDescent="0.25">
      <c r="B37" t="s">
        <v>30</v>
      </c>
      <c r="F37" s="83">
        <f>ROUNDUP('Allocation Charges'!H19,0)</f>
        <v>1455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67591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292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3543</v>
      </c>
      <c r="G44" s="6"/>
    </row>
    <row r="45" spans="1:10" x14ac:dyDescent="0.25">
      <c r="B45" t="s">
        <v>32</v>
      </c>
      <c r="F45" s="79">
        <f>ROUNDUP('Allocation Charges'!H28,0)</f>
        <v>1099</v>
      </c>
      <c r="G45" s="6"/>
    </row>
    <row r="46" spans="1:10" x14ac:dyDescent="0.25">
      <c r="B46" t="s">
        <v>47</v>
      </c>
      <c r="F46" s="79">
        <f>ROUNDUP('Allocation Charges'!H29,0)</f>
        <v>1755</v>
      </c>
      <c r="G46" s="6"/>
    </row>
    <row r="47" spans="1:10" x14ac:dyDescent="0.25">
      <c r="B47" t="s">
        <v>48</v>
      </c>
      <c r="F47" s="79">
        <f>ROUNDUP('Allocation Charges'!H30,0)</f>
        <v>1064</v>
      </c>
      <c r="G47" s="6"/>
      <c r="J47" s="8"/>
    </row>
    <row r="48" spans="1:10" x14ac:dyDescent="0.25">
      <c r="B48" t="s">
        <v>41</v>
      </c>
      <c r="F48" s="79">
        <f>ROUNDUP('Allocation Charges'!H31,0)</f>
        <v>997</v>
      </c>
      <c r="G48" s="6"/>
      <c r="J48" s="8"/>
    </row>
    <row r="49" spans="1:10" x14ac:dyDescent="0.25">
      <c r="B49" t="s">
        <v>31</v>
      </c>
      <c r="F49" s="79">
        <f>ROUNDUP('Allocation Charges'!H32,0)</f>
        <v>3048</v>
      </c>
      <c r="J49" s="8"/>
    </row>
    <row r="50" spans="1:10" x14ac:dyDescent="0.25">
      <c r="F50" s="8"/>
    </row>
    <row r="51" spans="1:10" x14ac:dyDescent="0.25">
      <c r="F51" s="84">
        <f>SUM(F43:F49)</f>
        <v>11506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59786</v>
      </c>
      <c r="H53" s="114">
        <f>'Commodity TN KY'!E15*'Commodity TN KY'!G19</f>
        <v>14116.818153551485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138883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16" zoomScaleNormal="100" workbookViewId="0">
      <selection activeCell="I45" sqref="I45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2312 file =</v>
      </c>
      <c r="J1" s="99"/>
      <c r="K1" s="100" t="str">
        <f>+'Commodity OK'!H2</f>
        <v>Data Input Dec 23 billing =Dec invoices = Nov Flow  data= Nov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196</v>
      </c>
      <c r="D6" s="48"/>
      <c r="E6" s="90" t="s">
        <v>236</v>
      </c>
      <c r="F6" s="48"/>
      <c r="G6" s="157"/>
      <c r="H6" s="49"/>
      <c r="I6" s="175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/>
      <c r="F7" s="51"/>
      <c r="G7" s="49" t="e">
        <f t="shared" ref="G7:G14" si="0">I7/E7</f>
        <v>#DIV/0!</v>
      </c>
      <c r="H7" s="49"/>
      <c r="I7" s="175"/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1936+1717</f>
        <v>3653</v>
      </c>
      <c r="F8" s="48"/>
      <c r="G8" s="49">
        <f>I8/E8</f>
        <v>5.6471940870517381</v>
      </c>
      <c r="H8" s="49"/>
      <c r="I8" s="175">
        <f>11151.36+9477.84</f>
        <v>20629.2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194</v>
      </c>
      <c r="D9" s="48"/>
      <c r="E9" s="90">
        <v>7035</v>
      </c>
      <c r="F9" s="48"/>
      <c r="G9" s="49">
        <f t="shared" si="0"/>
        <v>2.7171997157071783</v>
      </c>
      <c r="H9" s="49"/>
      <c r="I9" s="175">
        <v>19115.5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206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762.11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269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240</v>
      </c>
      <c r="D12" s="48"/>
      <c r="E12" s="90">
        <f>273+253</f>
        <v>526</v>
      </c>
      <c r="F12" s="48"/>
      <c r="G12" s="49">
        <f>I12/E12</f>
        <v>4.2286501901140685</v>
      </c>
      <c r="H12" s="49"/>
      <c r="I12" s="175">
        <f>1002.24+1222.03</f>
        <v>2224.27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189</v>
      </c>
      <c r="D13" s="48"/>
      <c r="E13" s="90">
        <v>4004</v>
      </c>
      <c r="F13" s="48"/>
      <c r="G13" s="49">
        <f>I13/E13</f>
        <v>4.5</v>
      </c>
      <c r="H13" s="49"/>
      <c r="I13" s="175">
        <v>18018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242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15218</v>
      </c>
      <c r="F15" s="48"/>
      <c r="G15" s="42">
        <f>I15/(E8+E13)</f>
        <v>8.4170144965391138</v>
      </c>
      <c r="H15" s="49"/>
      <c r="I15" s="176">
        <f>SUM(I6:I14)</f>
        <v>64449.079999999994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186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33193+20572+18053+2767</f>
        <v>74585</v>
      </c>
      <c r="F19" s="48"/>
      <c r="G19" s="45">
        <f>E19/E22</f>
        <v>0.92763951593846006</v>
      </c>
      <c r="H19" s="48"/>
      <c r="I19" s="168">
        <f>I15*G19</f>
        <v>59785.513373879083</v>
      </c>
      <c r="J19" s="48"/>
      <c r="K19" s="92">
        <f>13196+10878+19762+996</f>
        <v>44832</v>
      </c>
      <c r="L19" s="48"/>
      <c r="P19" t="s">
        <v>201</v>
      </c>
    </row>
    <row r="20" spans="1:25" x14ac:dyDescent="0.25">
      <c r="A20" s="48"/>
      <c r="B20" s="48"/>
      <c r="C20" s="41" t="s">
        <v>90</v>
      </c>
      <c r="D20" s="41"/>
      <c r="E20" s="92">
        <f>1489+1501+2828</f>
        <v>5818</v>
      </c>
      <c r="F20" s="41"/>
      <c r="G20" s="45">
        <f>E20/E22</f>
        <v>7.2360484061539998E-2</v>
      </c>
      <c r="H20" s="41"/>
      <c r="I20" s="167">
        <f>I15*G20</f>
        <v>4663.5666261209162</v>
      </c>
      <c r="J20" s="41"/>
      <c r="K20" s="92">
        <f>712+692+857</f>
        <v>2261</v>
      </c>
      <c r="L20" s="48"/>
      <c r="P20" t="s">
        <v>214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80403</v>
      </c>
      <c r="F22" s="48"/>
      <c r="G22" s="45">
        <f>SUM(G19:G20)</f>
        <v>1</v>
      </c>
      <c r="H22" s="48"/>
      <c r="I22" s="155">
        <f>SUM(I19:I20)</f>
        <v>64449.08</v>
      </c>
      <c r="J22" s="48"/>
      <c r="K22" s="38">
        <f>SUM(K19:K20)</f>
        <v>47093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193</v>
      </c>
      <c r="V26" s="67"/>
    </row>
    <row r="27" spans="1:25" x14ac:dyDescent="0.25">
      <c r="A27" s="48"/>
      <c r="B27" s="48"/>
      <c r="C27" s="48" t="s">
        <v>187</v>
      </c>
      <c r="D27" s="48"/>
      <c r="E27" s="93">
        <v>3770.6</v>
      </c>
      <c r="F27" s="51"/>
      <c r="G27" s="49">
        <f>I27/E27</f>
        <v>2.3900201559433509</v>
      </c>
      <c r="H27" s="48"/>
      <c r="I27" s="158">
        <v>9011.81</v>
      </c>
      <c r="J27" s="48"/>
      <c r="K27" s="48"/>
      <c r="L27" s="48"/>
      <c r="P27" s="8">
        <f>I35+I20</f>
        <v>16010.926626120916</v>
      </c>
      <c r="V27" s="27"/>
    </row>
    <row r="28" spans="1:25" x14ac:dyDescent="0.25">
      <c r="A28" s="48"/>
      <c r="B28" s="48"/>
      <c r="C28" s="48" t="s">
        <v>188</v>
      </c>
      <c r="D28" s="48"/>
      <c r="E28" s="90">
        <v>1895</v>
      </c>
      <c r="F28" s="48"/>
      <c r="G28" s="49">
        <f>I28/E28</f>
        <v>1.2324802110817943</v>
      </c>
      <c r="H28" s="49"/>
      <c r="I28" s="159">
        <v>2335.5500000000002</v>
      </c>
      <c r="J28" s="48"/>
      <c r="K28" s="48"/>
      <c r="L28" s="48"/>
      <c r="P28" s="134">
        <f>+E20+E33</f>
        <v>30438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11347.36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186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13911+6759+3950</f>
        <v>24620</v>
      </c>
      <c r="F33" s="48"/>
      <c r="G33" s="45">
        <f>E33/E35</f>
        <v>1</v>
      </c>
      <c r="H33" s="48"/>
      <c r="I33" s="49">
        <f>+I27+I28</f>
        <v>11347.36</v>
      </c>
      <c r="J33" s="48"/>
      <c r="K33" s="243">
        <f>5202+3250+2731</f>
        <v>11183</v>
      </c>
      <c r="L33" s="48"/>
      <c r="P33" t="s">
        <v>214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24620</v>
      </c>
      <c r="F35" s="48"/>
      <c r="G35" s="45">
        <f>G33</f>
        <v>1</v>
      </c>
      <c r="H35" s="48"/>
      <c r="I35" s="155">
        <f>I33</f>
        <v>11347.36</v>
      </c>
      <c r="J35" s="48"/>
      <c r="K35" s="38">
        <f>K33</f>
        <v>11183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170</v>
      </c>
      <c r="H38" s="185"/>
      <c r="I38" s="186">
        <f>+I19</f>
        <v>59785.513373879083</v>
      </c>
      <c r="J38" s="187"/>
    </row>
    <row r="39" spans="1:25" x14ac:dyDescent="0.25">
      <c r="G39" s="188" t="s">
        <v>169</v>
      </c>
      <c r="I39" s="238">
        <f>+I20+I29</f>
        <v>16010.926626120916</v>
      </c>
      <c r="J39" s="189"/>
      <c r="P39" s="6"/>
    </row>
    <row r="40" spans="1:25" ht="15.75" thickBot="1" x14ac:dyDescent="0.3">
      <c r="G40" s="188"/>
      <c r="I40" s="105">
        <f>SUM(I38:I39)</f>
        <v>75796.44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241</v>
      </c>
      <c r="I42" s="55"/>
      <c r="J42" s="189"/>
    </row>
    <row r="43" spans="1:25" x14ac:dyDescent="0.25">
      <c r="D43" s="16"/>
      <c r="E43" s="20"/>
      <c r="G43" s="188" t="s">
        <v>204</v>
      </c>
      <c r="I43" s="190">
        <v>31976.560000000001</v>
      </c>
      <c r="J43" s="189"/>
    </row>
    <row r="44" spans="1:25" x14ac:dyDescent="0.25">
      <c r="G44" s="188" t="s">
        <v>205</v>
      </c>
      <c r="I44" s="190">
        <v>43819.88</v>
      </c>
      <c r="J44" s="189"/>
    </row>
    <row r="45" spans="1:25" x14ac:dyDescent="0.25">
      <c r="G45" s="188" t="s">
        <v>203</v>
      </c>
      <c r="I45" s="190">
        <f>+I43+I44</f>
        <v>75796.44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233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topLeftCell="A7" zoomScaleNormal="100" workbookViewId="0">
      <selection activeCell="N32" sqref="N32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2312 file =</v>
      </c>
      <c r="M2" s="54"/>
      <c r="N2" s="97" t="str">
        <f>+'Commodity OK'!H2</f>
        <v>Data Input Dec 23 billing =Dec invoices = Nov Flow  data= Nov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-3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99</v>
      </c>
      <c r="I7" s="68" t="s">
        <v>152</v>
      </c>
      <c r="J7" s="90">
        <f>-119+219</f>
        <v>100</v>
      </c>
      <c r="L7" s="49">
        <f t="shared" si="0"/>
        <v>12.438700000000001</v>
      </c>
      <c r="N7" s="91">
        <f>313.16+930.71</f>
        <v>1243.8700000000001</v>
      </c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100</v>
      </c>
      <c r="L8" s="49">
        <f t="shared" si="0"/>
        <v>5.6</v>
      </c>
      <c r="N8" s="91">
        <v>560</v>
      </c>
      <c r="P8" s="48"/>
    </row>
    <row r="9" spans="1:21" x14ac:dyDescent="0.25">
      <c r="B9" t="s">
        <v>14</v>
      </c>
      <c r="F9" s="231">
        <v>0</v>
      </c>
      <c r="I9" s="68" t="s">
        <v>286</v>
      </c>
      <c r="J9" s="90">
        <v>8600</v>
      </c>
      <c r="L9" s="49">
        <f>N9/J9</f>
        <v>3.6841279069767441</v>
      </c>
      <c r="N9" s="91">
        <v>31683.5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8949</v>
      </c>
      <c r="L10" s="49">
        <f>N10/J10</f>
        <v>0.24000000000000002</v>
      </c>
      <c r="N10" s="91">
        <v>2147.7600000000002</v>
      </c>
      <c r="P10" s="172" t="s">
        <v>298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8800</v>
      </c>
      <c r="L11" s="72">
        <f t="shared" si="0"/>
        <v>4.0494465909090911</v>
      </c>
      <c r="N11" s="217">
        <f>SUM(N6:N10)</f>
        <v>35635.130000000005</v>
      </c>
      <c r="P11" s="48"/>
    </row>
    <row r="12" spans="1:21" x14ac:dyDescent="0.25">
      <c r="C12" t="s">
        <v>38</v>
      </c>
      <c r="F12" s="231">
        <f>'Allocation Charges'!N7</f>
        <v>183.0277547004878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184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186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342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149524</v>
      </c>
      <c r="K16" s="6"/>
      <c r="L16" s="45">
        <v>1</v>
      </c>
      <c r="M16" s="6"/>
      <c r="N16" s="49">
        <f>L16*N11</f>
        <v>35635.130000000005</v>
      </c>
      <c r="O16" s="6"/>
      <c r="P16" s="92">
        <v>209076</v>
      </c>
    </row>
    <row r="17" spans="2:16" x14ac:dyDescent="0.25">
      <c r="B17" t="s">
        <v>19</v>
      </c>
      <c r="F17" s="231">
        <f>ROUNDUP('Allocation Charges'!N10,0)</f>
        <v>2209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149524</v>
      </c>
      <c r="N18" s="71">
        <f>N16</f>
        <v>35635.130000000005</v>
      </c>
      <c r="P18" s="70">
        <f>P16</f>
        <v>209076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226.17253325452907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227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225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286.77099461490906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512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427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0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0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200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129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164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5290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292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399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124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198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120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113</v>
      </c>
      <c r="G48" s="6"/>
      <c r="I48" s="60"/>
    </row>
    <row r="49" spans="1:9" x14ac:dyDescent="0.25">
      <c r="B49" t="s">
        <v>31</v>
      </c>
      <c r="F49" s="231">
        <f>ROUNDUP('Allocation Charges'!N32,0)</f>
        <v>344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1298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35636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42224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29" sqref="F29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283</v>
      </c>
      <c r="F1" s="6" t="str">
        <f>+'Commodity OK'!H2</f>
        <v>Data Input Dec 23 billing =Dec invoices = Nov Flow  data= Nov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280</v>
      </c>
      <c r="I3" s="19"/>
      <c r="J3" s="19" t="s">
        <v>281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282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276</v>
      </c>
      <c r="F7" s="85">
        <f>+'Direct Charges'!P21</f>
        <v>1179.26</v>
      </c>
      <c r="G7" s="60"/>
      <c r="H7" s="85">
        <f>ROUNDUP(F7,0)</f>
        <v>1180</v>
      </c>
      <c r="I7" s="60"/>
      <c r="J7" s="227"/>
      <c r="K7" s="60"/>
    </row>
    <row r="8" spans="1:12" x14ac:dyDescent="0.25">
      <c r="C8" t="s">
        <v>277</v>
      </c>
      <c r="F8" s="85">
        <f>+'Direct Charges'!P22</f>
        <v>697.52</v>
      </c>
      <c r="G8" s="60"/>
      <c r="H8" s="85"/>
      <c r="I8" s="60"/>
      <c r="J8" s="85">
        <f>ROUNDUP(F8,0)</f>
        <v>698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278</v>
      </c>
      <c r="F11" s="85">
        <f>+'Direct Charges'!F34</f>
        <v>98.84</v>
      </c>
      <c r="G11" s="60"/>
      <c r="H11" s="85">
        <f>ROUNDUP(F11,0)</f>
        <v>99</v>
      </c>
      <c r="I11" s="60"/>
      <c r="J11" s="227"/>
      <c r="K11" s="60"/>
    </row>
    <row r="12" spans="1:12" x14ac:dyDescent="0.25">
      <c r="C12" t="s">
        <v>279</v>
      </c>
      <c r="F12" s="85">
        <f>+'Direct Charges'!F35</f>
        <v>285.27999999999997</v>
      </c>
      <c r="G12" s="60"/>
      <c r="H12" s="85"/>
      <c r="I12" s="60"/>
      <c r="J12" s="85">
        <f>ROUNDUP(F12,0)</f>
        <v>286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2260.8999999999996</v>
      </c>
      <c r="G14" s="120"/>
      <c r="H14" s="224">
        <f>SUM(H7:H13)</f>
        <v>1279</v>
      </c>
      <c r="I14" s="120"/>
      <c r="J14" s="224">
        <f>SUM(J7:J13)</f>
        <v>984</v>
      </c>
      <c r="K14" s="120"/>
    </row>
    <row r="16" spans="1:12" x14ac:dyDescent="0.25">
      <c r="F16" s="6">
        <f>SUM(H14:K14)</f>
        <v>2263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2024-03-27T23:48:51Z</cp:lastPrinted>
  <dcterms:created xsi:type="dcterms:W3CDTF">2013-02-08T00:44:54Z</dcterms:created>
  <dcterms:modified xsi:type="dcterms:W3CDTF">2024-03-28T00:31:22Z</dcterms:modified>
</cp:coreProperties>
</file>