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Rate Cases\KY\2024\DR\DR 1\39\"/>
    </mc:Choice>
  </mc:AlternateContent>
  <xr:revisionPtr revIDLastSave="0" documentId="13_ncr:1_{E54537CD-5B55-4912-9F64-08F626ED630C}" xr6:coauthVersionLast="47" xr6:coauthVersionMax="47" xr10:uidLastSave="{00000000-0000-0000-0000-000000000000}"/>
  <bookViews>
    <workbookView xWindow="-120" yWindow="-120" windowWidth="29040" windowHeight="15720" tabRatio="837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1" i="1" l="1"/>
  <c r="F66" i="1"/>
  <c r="P69" i="1"/>
  <c r="N63" i="1"/>
  <c r="F16" i="30"/>
  <c r="E19" i="28" l="1"/>
  <c r="E33" i="28"/>
  <c r="E20" i="28"/>
  <c r="I8" i="28"/>
  <c r="E8" i="28"/>
  <c r="I9" i="28"/>
  <c r="E9" i="28"/>
  <c r="C43" i="11"/>
  <c r="F7" i="11"/>
  <c r="D7" i="11"/>
  <c r="F8" i="11"/>
  <c r="D8" i="11"/>
  <c r="F12" i="4"/>
  <c r="F11" i="4"/>
  <c r="F7" i="4"/>
  <c r="K33" i="28"/>
  <c r="K20" i="28"/>
  <c r="K19" i="28"/>
  <c r="R8" i="34" l="1"/>
  <c r="V8" i="34" s="1"/>
  <c r="X8" i="34" s="1"/>
  <c r="F10" i="34"/>
  <c r="V10" i="34" l="1"/>
  <c r="X10" i="34"/>
  <c r="R10" i="34"/>
  <c r="B8" i="33" l="1"/>
  <c r="G8" i="33" s="1"/>
  <c r="G10" i="33" s="1"/>
  <c r="N11" i="15"/>
  <c r="B10" i="33" l="1"/>
  <c r="I8" i="33"/>
  <c r="C25" i="32"/>
  <c r="C27" i="32" s="1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I10" i="33" l="1"/>
  <c r="J8" i="33"/>
  <c r="J10" i="33" s="1"/>
  <c r="G15" i="32"/>
  <c r="I8" i="32"/>
  <c r="J8" i="32" s="1"/>
  <c r="D25" i="32"/>
  <c r="J9" i="32"/>
  <c r="J15" i="32" s="1"/>
  <c r="I15" i="32"/>
  <c r="H8" i="34" l="1"/>
  <c r="L8" i="34" s="1"/>
  <c r="C8" i="33"/>
  <c r="E8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F8" i="33" l="1"/>
  <c r="E10" i="33"/>
  <c r="N8" i="34"/>
  <c r="L10" i="34"/>
  <c r="E15" i="32"/>
  <c r="F8" i="32"/>
  <c r="K8" i="32" s="1"/>
  <c r="Z8" i="34" l="1"/>
  <c r="Z10" i="34" s="1"/>
  <c r="N10" i="34"/>
  <c r="F10" i="33"/>
  <c r="K8" i="33"/>
  <c r="K10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F20" i="31"/>
  <c r="F27" i="31" s="1"/>
  <c r="F29" i="31" s="1"/>
  <c r="Q7" i="6" s="1"/>
  <c r="C24" i="31"/>
  <c r="C3" i="31"/>
  <c r="D24" i="31"/>
  <c r="D28" i="31" s="1"/>
  <c r="E24" i="31"/>
  <c r="E28" i="31" s="1"/>
  <c r="E29" i="31" s="1"/>
  <c r="Q6" i="6" s="1"/>
  <c r="C20" i="31" l="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1" i="15"/>
  <c r="H27" i="11"/>
  <c r="H28" i="11"/>
  <c r="G29" i="31" l="1"/>
  <c r="C12" i="31"/>
  <c r="C14" i="31" s="1"/>
  <c r="E5" i="31"/>
  <c r="E12" i="31" s="1"/>
  <c r="E14" i="31" s="1"/>
  <c r="D5" i="31"/>
  <c r="D12" i="31" s="1"/>
  <c r="D14" i="31" s="1"/>
  <c r="F5" i="31"/>
  <c r="F12" i="31" s="1"/>
  <c r="F14" i="31" s="1"/>
  <c r="R7" i="4" l="1"/>
  <c r="V17" i="34"/>
  <c r="J17" i="33"/>
  <c r="K17" i="33" s="1"/>
  <c r="L17" i="33" s="1"/>
  <c r="R5" i="4"/>
  <c r="V15" i="34"/>
  <c r="Z15" i="34" s="1"/>
  <c r="AA15" i="34" s="1"/>
  <c r="J15" i="33"/>
  <c r="K15" i="33" s="1"/>
  <c r="L15" i="33" s="1"/>
  <c r="R4" i="4"/>
  <c r="V14" i="34"/>
  <c r="Z14" i="34" s="1"/>
  <c r="J14" i="33"/>
  <c r="R6" i="4"/>
  <c r="V16" i="34"/>
  <c r="Z16" i="34" s="1"/>
  <c r="AA16" i="34" s="1"/>
  <c r="J16" i="33"/>
  <c r="K16" i="33" s="1"/>
  <c r="L16" i="33" s="1"/>
  <c r="G14" i="31"/>
  <c r="G5" i="31"/>
  <c r="P28" i="28"/>
  <c r="L9" i="15"/>
  <c r="J18" i="33" l="1"/>
  <c r="K14" i="33"/>
  <c r="V18" i="34"/>
  <c r="Z17" i="34"/>
  <c r="AA17" i="34" s="1"/>
  <c r="AA14" i="34"/>
  <c r="E15" i="28"/>
  <c r="Z18" i="34" l="1"/>
  <c r="AA18" i="34"/>
  <c r="L14" i="33"/>
  <c r="K18" i="33"/>
  <c r="L18" i="33" s="1"/>
  <c r="C25" i="25"/>
  <c r="F12" i="30" l="1"/>
  <c r="J12" i="30" s="1"/>
  <c r="F11" i="30"/>
  <c r="H11" i="30" s="1"/>
  <c r="F1" i="30"/>
  <c r="P35" i="1"/>
  <c r="P34" i="1"/>
  <c r="P22" i="1"/>
  <c r="F8" i="30" s="1"/>
  <c r="J8" i="30" s="1"/>
  <c r="P21" i="1"/>
  <c r="F7" i="30" s="1"/>
  <c r="H7" i="30" s="1"/>
  <c r="J14" i="30" l="1"/>
  <c r="H14" i="30"/>
  <c r="F14" i="30"/>
  <c r="N67" i="1" s="1"/>
  <c r="P59" i="1"/>
  <c r="P67" i="1" s="1"/>
  <c r="K1" i="28" l="1"/>
  <c r="H31" i="11" l="1"/>
  <c r="H33" i="11"/>
  <c r="F55" i="8" l="1"/>
  <c r="F54" i="8"/>
  <c r="H55" i="8" l="1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3" i="9" l="1"/>
  <c r="H53" i="8"/>
  <c r="I20" i="28"/>
  <c r="I19" i="28"/>
  <c r="G15" i="28"/>
  <c r="F53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59" i="1" l="1"/>
  <c r="F64" i="1" s="1"/>
  <c r="F35" i="15"/>
  <c r="F43" i="9"/>
  <c r="F34" i="9"/>
  <c r="F35" i="8"/>
  <c r="N60" i="6" l="1"/>
  <c r="J57" i="6"/>
  <c r="F21" i="4" l="1"/>
  <c r="F10" i="27"/>
  <c r="R8" i="27"/>
  <c r="V8" i="27" s="1"/>
  <c r="F65" i="1" l="1"/>
  <c r="R20" i="4"/>
  <c r="V10" i="27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H8" i="27" s="1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7" i="1" l="1"/>
  <c r="F34" i="6" s="1"/>
  <c r="N56" i="1"/>
  <c r="F32" i="15" s="1"/>
  <c r="J55" i="1"/>
  <c r="F32" i="8" s="1"/>
  <c r="H54" i="1"/>
  <c r="F31" i="9" s="1"/>
  <c r="L51" i="1"/>
  <c r="F30" i="6" s="1"/>
  <c r="N50" i="1"/>
  <c r="F28" i="15" s="1"/>
  <c r="J49" i="1"/>
  <c r="F28" i="8" s="1"/>
  <c r="H48" i="1"/>
  <c r="F27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G20" i="24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C29" i="24" l="1"/>
  <c r="C13" i="24"/>
  <c r="G9" i="24"/>
  <c r="G4" i="24"/>
  <c r="G29" i="24" l="1"/>
  <c r="F5" i="24"/>
  <c r="F12" i="24" s="1"/>
  <c r="F14" i="24" s="1"/>
  <c r="V17" i="27" s="1"/>
  <c r="E5" i="24"/>
  <c r="E12" i="24" s="1"/>
  <c r="E14" i="24" s="1"/>
  <c r="V14" i="27" s="1"/>
  <c r="D5" i="24"/>
  <c r="D12" i="24" s="1"/>
  <c r="D14" i="24" s="1"/>
  <c r="V15" i="27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V16" i="27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6" i="9" s="1"/>
  <c r="H28" i="4"/>
  <c r="F45" i="9" s="1"/>
  <c r="H27" i="4"/>
  <c r="F44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0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28" i="9" s="1"/>
  <c r="F29" i="9" s="1"/>
  <c r="V14" i="13"/>
  <c r="Q8" i="6"/>
  <c r="R4" i="6" s="1"/>
  <c r="J16" i="12"/>
  <c r="J14" i="12"/>
  <c r="G14" i="21"/>
  <c r="J15" i="12"/>
  <c r="J17" i="12"/>
  <c r="F31" i="6" l="1"/>
  <c r="F32" i="6" s="1"/>
  <c r="H32" i="6" s="1"/>
  <c r="H37" i="6"/>
  <c r="J18" i="12"/>
  <c r="J18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8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Q19" i="11" s="1"/>
  <c r="Q20" i="11" s="1"/>
  <c r="N16" i="15"/>
  <c r="F53" i="15" s="1"/>
  <c r="J43" i="11"/>
  <c r="M43" i="11" s="1"/>
  <c r="L11" i="15"/>
  <c r="F42" i="11" l="1"/>
  <c r="H59" i="6" s="1"/>
  <c r="N18" i="15"/>
  <c r="N59" i="6" l="1"/>
  <c r="L59" i="6"/>
  <c r="J59" i="6"/>
  <c r="R21" i="4" l="1"/>
  <c r="R23" i="4"/>
  <c r="R22" i="4"/>
  <c r="F68" i="1" l="1"/>
  <c r="R24" i="4"/>
  <c r="N44" i="1"/>
  <c r="F23" i="15" s="1"/>
  <c r="N38" i="1"/>
  <c r="F19" i="15" s="1"/>
  <c r="N27" i="1"/>
  <c r="F11" i="15" s="1"/>
  <c r="N15" i="1"/>
  <c r="F7" i="15" s="1"/>
  <c r="N9" i="1"/>
  <c r="F6" i="15" s="1"/>
  <c r="N59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6" i="9" s="1"/>
  <c r="L15" i="4"/>
  <c r="F35" i="6" s="1"/>
  <c r="F36" i="6" s="1"/>
  <c r="H36" i="6" s="1"/>
  <c r="H15" i="4"/>
  <c r="F32" i="9" s="1"/>
  <c r="F33" i="9" s="1"/>
  <c r="J15" i="4"/>
  <c r="F33" i="8" s="1"/>
  <c r="F34" i="8" s="1"/>
  <c r="J10" i="4"/>
  <c r="F17" i="8" s="1"/>
  <c r="L10" i="4"/>
  <c r="F20" i="15"/>
  <c r="F21" i="15" s="1"/>
  <c r="F40" i="15" s="1"/>
  <c r="N66" i="1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C28" i="2" l="1"/>
  <c r="E28" i="2" s="1"/>
  <c r="C38" i="2"/>
  <c r="E38" i="2" s="1"/>
  <c r="S23" i="4"/>
  <c r="P66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39" i="1"/>
  <c r="F21" i="6" s="1"/>
  <c r="J37" i="1"/>
  <c r="F19" i="8" s="1"/>
  <c r="H36" i="1"/>
  <c r="F18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5" i="1"/>
  <c r="F25" i="6" s="1"/>
  <c r="J43" i="1"/>
  <c r="F23" i="8" s="1"/>
  <c r="H42" i="1"/>
  <c r="F22" i="9" s="1"/>
  <c r="F48" i="15" l="1"/>
  <c r="F49" i="15"/>
  <c r="F48" i="6"/>
  <c r="F47" i="6"/>
  <c r="J30" i="4"/>
  <c r="F47" i="8" s="1"/>
  <c r="N30" i="4"/>
  <c r="F47" i="15" s="1"/>
  <c r="F34" i="4"/>
  <c r="L31" i="4"/>
  <c r="L31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59" i="1"/>
  <c r="F6" i="8"/>
  <c r="H59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59" i="1"/>
  <c r="F12" i="6"/>
  <c r="F13" i="6" s="1"/>
  <c r="F39" i="6"/>
  <c r="F46" i="6"/>
  <c r="F51" i="6"/>
  <c r="F49" i="6"/>
  <c r="H31" i="4"/>
  <c r="F48" i="9" s="1"/>
  <c r="F59" i="6"/>
  <c r="H32" i="4"/>
  <c r="F49" i="9" s="1"/>
  <c r="H30" i="4"/>
  <c r="F47" i="9" s="1"/>
  <c r="H19" i="4"/>
  <c r="F37" i="9" s="1"/>
  <c r="H17" i="4"/>
  <c r="F35" i="9" s="1"/>
  <c r="H13" i="4"/>
  <c r="F25" i="9" s="1"/>
  <c r="H11" i="4"/>
  <c r="H9" i="4"/>
  <c r="F15" i="9" s="1"/>
  <c r="H18" i="4"/>
  <c r="F36" i="9" s="1"/>
  <c r="H12" i="4"/>
  <c r="H8" i="4"/>
  <c r="F14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S20" i="4" s="1"/>
  <c r="F19" i="9"/>
  <c r="F20" i="9" s="1"/>
  <c r="F12" i="9"/>
  <c r="F13" i="9" s="1"/>
  <c r="F23" i="9"/>
  <c r="F24" i="9" s="1"/>
  <c r="J34" i="4"/>
  <c r="H34" i="4"/>
  <c r="F39" i="9" l="1"/>
  <c r="N64" i="1" s="1"/>
  <c r="N53" i="6"/>
  <c r="P64" i="1"/>
  <c r="H6" i="6"/>
  <c r="J6" i="6" s="1"/>
  <c r="H53" i="6"/>
  <c r="L53" i="6"/>
  <c r="J53" i="6"/>
  <c r="F51" i="8"/>
  <c r="F60" i="8" s="1"/>
  <c r="F51" i="9"/>
  <c r="F57" i="9" l="1"/>
  <c r="J21" i="4"/>
  <c r="F19" i="6"/>
  <c r="F42" i="6" l="1"/>
  <c r="S21" i="4"/>
  <c r="P65" i="1"/>
  <c r="N65" i="1"/>
  <c r="L19" i="6"/>
  <c r="L42" i="6" s="1"/>
  <c r="J19" i="6"/>
  <c r="J42" i="6" s="1"/>
  <c r="N19" i="6"/>
  <c r="N42" i="6" s="1"/>
  <c r="H19" i="6"/>
  <c r="H42" i="6" s="1"/>
  <c r="L21" i="4"/>
  <c r="N68" i="1" l="1"/>
  <c r="N69" i="1" s="1"/>
  <c r="S22" i="4"/>
  <c r="S24" i="4" s="1"/>
  <c r="P63" i="1"/>
  <c r="H35" i="11"/>
  <c r="F18" i="11"/>
  <c r="C44" i="11" s="1"/>
  <c r="P68" i="1" l="1"/>
  <c r="F51" i="15"/>
  <c r="F56" i="15" s="1"/>
  <c r="C45" i="11"/>
  <c r="F44" i="11"/>
  <c r="H18" i="11"/>
  <c r="H23" i="11"/>
  <c r="F45" i="11" l="1"/>
  <c r="H45" i="11" s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<sst xmlns="http://schemas.openxmlformats.org/spreadsheetml/2006/main" count="935" uniqueCount="305">
  <si>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</si>
  <si>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</si>
  <si>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</si>
  <si>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</si>
  <si>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</si>
  <si>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</si>
  <si>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</si>
  <si>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</si>
  <si>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</si>
  <si>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</si>
  <si>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</si>
  <si>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</si>
  <si>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</si>
  <si>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</si>
  <si>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</si>
  <si>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</si>
  <si>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</si>
  <si>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</si>
  <si>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</si>
  <si>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</si>
  <si>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</si>
  <si>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</si>
  <si>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</si>
  <si>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</si>
  <si>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</si>
  <si>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</si>
  <si>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</si>
  <si>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</si>
  <si>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</si>
  <si>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</si>
  <si>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</si>
  <si>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</si>
  <si>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</si>
  <si>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</si>
  <si>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</si>
  <si>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</si>
  <si>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</si>
  <si>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</si>
  <si>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</si>
  <si>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</si>
  <si>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</si>
  <si>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</si>
  <si>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</si>
  <si>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</si>
  <si>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</si>
  <si>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</si>
  <si>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</si>
  <si>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</si>
  <si>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</si>
  <si>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</si>
  <si>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</si>
  <si>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</si>
  <si>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</si>
  <si>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</si>
  <si>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</si>
  <si>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</si>
  <si>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</si>
  <si>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</si>
  <si>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</si>
  <si>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</si>
  <si>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</si>
  <si>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</si>
  <si>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</si>
  <si>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</si>
  <si>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</si>
  <si>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</si>
  <si>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</si>
  <si>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</si>
  <si>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</si>
  <si>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</si>
  <si>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</si>
  <si>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</si>
  <si>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</si>
  <si>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</si>
  <si>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</si>
  <si>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</si>
  <si>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</si>
  <si>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</si>
  <si>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</si>
  <si>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</si>
  <si>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</si>
  <si>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</si>
  <si>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</si>
  <si>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</si>
  <si>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</si>
  <si>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</si>
  <si>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</si>
  <si>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</si>
  <si>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</si>
  <si>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</si>
  <si>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</si>
  <si>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</si>
  <si>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</si>
  <si>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</si>
  <si>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</si>
  <si>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</si>
  <si>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</si>
  <si>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</si>
  <si>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</si>
  <si>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</si>
  <si>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</si>
  <si>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</si>
  <si>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</si>
  <si>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</si>
  <si>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</si>
  <si>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</si>
  <si>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</si>
  <si>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</si>
  <si>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</si>
  <si>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</si>
  <si>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</si>
  <si>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</si>
  <si>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</si>
  <si>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</si>
  <si>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</si>
  <si>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</si>
  <si>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</si>
  <si>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</si>
  <si>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</si>
  <si>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</si>
  <si>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</si>
  <si>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</si>
  <si>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</si>
  <si>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</si>
  <si>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</si>
  <si>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</si>
  <si>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</si>
  <si>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</si>
  <si>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</si>
  <si>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</si>
  <si>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</si>
  <si>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</si>
  <si>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</si>
  <si>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</si>
  <si>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</si>
  <si>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</si>
  <si>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</si>
  <si>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</si>
  <si>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</si>
  <si>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</si>
  <si>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</si>
  <si>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</si>
  <si>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</si>
  <si>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</si>
  <si>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</si>
  <si>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</si>
  <si>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</si>
  <si>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</si>
  <si>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</si>
  <si>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</si>
  <si>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</si>
  <si>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</si>
  <si>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</si>
  <si>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</si>
  <si>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</si>
  <si>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</si>
  <si>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</si>
  <si>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</si>
  <si>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</si>
  <si>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</si>
  <si>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</si>
  <si>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</si>
  <si>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</si>
  <si>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</si>
  <si>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</si>
  <si>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</si>
  <si>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same Cima volume, cannor count twice, DO NOT LOAD VOLUME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</si>
  <si>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</si>
  <si>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</si>
  <si>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</si>
  <si>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</si>
  <si>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</si>
  <si>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</si>
  <si>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</si>
  <si>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</si>
  <si>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</si>
  <si>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</si>
  <si>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</si>
  <si>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</si>
  <si>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</si>
  <si>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</si>
  <si>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</si>
  <si>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</si>
  <si>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</si>
  <si>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</si>
  <si>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</si>
  <si>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</si>
  <si>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</si>
  <si>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</si>
  <si>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</si>
  <si>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</si>
  <si>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</si>
  <si>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</si>
  <si>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</si>
  <si>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</si>
  <si>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</si>
  <si>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</si>
  <si>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</si>
  <si>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</si>
  <si>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</si>
  <si>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</si>
  <si>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</si>
  <si>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</si>
  <si>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</si>
  <si>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</si>
  <si>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</si>
  <si>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</si>
  <si>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</si>
  <si>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</si>
  <si>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</si>
  <si>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</si>
  <si>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</si>
  <si>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</si>
  <si>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</si>
  <si>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</si>
  <si>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</si>
  <si>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</si>
  <si>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</si>
  <si>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</si>
  <si>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</si>
  <si>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</si>
  <si>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</si>
  <si>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</si>
  <si>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</si>
  <si>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</si>
  <si>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</si>
  <si>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</si>
  <si>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</si>
  <si>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</si>
  <si>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</si>
  <si>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</si>
  <si>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</si>
  <si>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</si>
  <si>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</si>
  <si>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</si>
  <si>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</si>
  <si>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</si>
  <si>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</si>
  <si>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</si>
  <si>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</si>
  <si>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</si>
  <si>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</si>
  <si>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</si>
  <si>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</si>
  <si>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</si>
  <si>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</si>
  <si>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</si>
  <si>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</si>
  <si>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</si>
  <si>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</si>
  <si>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</si>
  <si>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</si>
  <si>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</si>
  <si>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</si>
  <si>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</si>
  <si>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</si>
  <si>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</si>
  <si>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</si>
  <si>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</si>
  <si>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</si>
  <si>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</si>
  <si>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</si>
  <si>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</si>
  <si>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</si>
  <si>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</si>
  <si>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</si>
  <si>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</si>
  <si>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</si>
  <si>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</si>
  <si>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</si>
  <si>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</si>
  <si>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</si>
  <si>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</si>
  <si>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</si>
  <si>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</si>
  <si>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</si>
  <si>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</si>
  <si>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</si>
  <si>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</si>
  <si>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</si>
  <si>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</si>
  <si>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</si>
  <si>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</si>
  <si>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</si>
  <si>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</si>
  <si>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</si>
  <si>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</si>
  <si>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</si>
  <si>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</si>
  <si>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</si>
  <si>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</si>
  <si>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data input as of 12/31/22</t>
  </si>
  <si>
    <t>Values set from Q4 2022 numbers for Q1 &amp; Q2 in 2023</t>
  </si>
  <si>
    <t>Monthly Avg Cust Count - 2022</t>
  </si>
  <si>
    <t>Proportional Allocation for 2023</t>
  </si>
  <si>
    <t>2023</t>
  </si>
  <si>
    <t>646K Updated as of 12/31/22</t>
  </si>
  <si>
    <t>Summit (CCF)</t>
  </si>
  <si>
    <t>Symmetry Retl Dustin (small amount)</t>
  </si>
  <si>
    <t>2303 file =</t>
  </si>
  <si>
    <r>
      <t xml:space="preserve">Data Input Mar.23 billing =Mar invoices = Feb </t>
    </r>
    <r>
      <rPr>
        <b/>
        <u val="singleAccounting"/>
        <sz val="11"/>
        <color theme="1"/>
        <rFont val="Calibri"/>
        <family val="2"/>
        <scheme val="minor"/>
      </rPr>
      <t>Flow  data= Feb Sales Volume</t>
    </r>
  </si>
  <si>
    <t>BB 2303</t>
  </si>
  <si>
    <t>Feb.23 Usage</t>
  </si>
  <si>
    <t>Prior Month = Jan Usage</t>
  </si>
  <si>
    <t>Per 12/31/22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</si>
</sst>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167" fontId="0" fillId="2" borderId="0" xfId="37" applyNumberFormat="1" applyFont="1" applyFill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5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27.png"/><Relationship Id="rId1" Type="http://schemas.openxmlformats.org/officeDocument/2006/relationships/image" Target="../media/image12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0</xdr:row>
      <xdr:rowOff>0</xdr:rowOff>
    </xdr:from>
    <xdr:to>
      <xdr:col>27</xdr:col>
      <xdr:colOff>67455</xdr:colOff>
      <xdr:row>41</xdr:row>
      <xdr:rowOff>134459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B01746-4812-4BD0-EC4E-D1595942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9500" y="0"/>
          <a:ext cx="5591955" cy="794495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41</xdr:row>
      <xdr:rowOff>127000</xdr:rowOff>
    </xdr:from>
    <xdr:to>
      <xdr:col>27</xdr:col>
      <xdr:colOff>86508</xdr:colOff>
      <xdr:row>77</xdr:row>
      <xdr:rowOff>99378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991A2A-CC8F-E6BF-FE67-778727036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69500" y="7937500"/>
          <a:ext cx="5611008" cy="6830378"/>
        </a:xfrm>
        <a:prstGeom prst="rect">
          <a:avLst/>
        </a:prstGeom>
      </xdr:spPr>
    </xdr:pic>
    <xdr:clientData/>
  </xdr:twoCellAnchor>
  <xdr:twoCellAnchor editAs="oneCell">
    <xdr:from>
      <xdr:col>17</xdr:col>
      <xdr:colOff>592666</xdr:colOff>
      <xdr:row>77</xdr:row>
      <xdr:rowOff>74084</xdr:rowOff>
    </xdr:from>
    <xdr:to>
      <xdr:col>27</xdr:col>
      <xdr:colOff>122499</xdr:colOff>
      <xdr:row>104</xdr:row>
      <xdr:rowOff>170065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141BB56-A26E-6E8F-FFA1-3C0B0E29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8333" y="14742584"/>
          <a:ext cx="5668166" cy="52394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18</xdr:col>
      <xdr:colOff>630366</xdr:colOff>
      <xdr:row>80</xdr:row>
      <xdr:rowOff>124693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23F592-F92F-4B76-8925-A40336895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2298491" cy="62206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38</xdr:col>
      <xdr:colOff>373175</xdr:colOff>
      <xdr:row>16</xdr:row>
      <xdr:rowOff>372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9EB16F-EB85-10A5-A72A-B5B42CB72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381000"/>
          <a:ext cx="12184175" cy="266737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</xdr:row>
      <xdr:rowOff>0</xdr:rowOff>
    </xdr:from>
    <xdr:to>
      <xdr:col>36</xdr:col>
      <xdr:colOff>573058</xdr:colOff>
      <xdr:row>28</xdr:row>
      <xdr:rowOff>66977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93601E-F383-0404-2624-196CCAFDE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0" y="3238500"/>
          <a:ext cx="11164858" cy="21624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</xdr:row>
      <xdr:rowOff>0</xdr:rowOff>
    </xdr:from>
    <xdr:to>
      <xdr:col>23</xdr:col>
      <xdr:colOff>172910</xdr:colOff>
      <xdr:row>30</xdr:row>
      <xdr:rowOff>143187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493E5B-198E-0E30-35C5-36AA3A49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9525" y="3619500"/>
          <a:ext cx="10459910" cy="22386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5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57</xdr:row>
      <xdr:rowOff>59532</xdr:rowOff>
    </xdr:from>
    <xdr:to>
      <xdr:col>15</xdr:col>
      <xdr:colOff>577084</xdr:colOff>
      <xdr:row>93</xdr:row>
      <xdr:rowOff>146226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25" y="10953751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29</xdr:row>
      <xdr:rowOff>142875</xdr:rowOff>
    </xdr:from>
    <xdr:to>
      <xdr:col>13</xdr:col>
      <xdr:colOff>58660</xdr:colOff>
      <xdr:row>46</xdr:row>
      <xdr:rowOff>67116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3FDF9-0470-1B41-8959-EE602EB0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" y="5703094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57</xdr:row>
      <xdr:rowOff>107156</xdr:rowOff>
    </xdr:from>
    <xdr:to>
      <xdr:col>6</xdr:col>
      <xdr:colOff>567610</xdr:colOff>
      <xdr:row>93</xdr:row>
      <xdr:rowOff>155745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1001375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550738</xdr:colOff>
      <xdr:row>22</xdr:row>
      <xdr:rowOff>105321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CAB049-64F9-C2F8-1364-55C28E4F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94156" y="381000"/>
          <a:ext cx="4801270" cy="3915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1"/>
  <sheetViews>
    <sheetView tabSelected="1" zoomScale="90" zoomScaleNormal="90" zoomScalePageLayoutView="64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J73" sqref="J73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Mar.23 billing =Mar invoices = Feb Flow  data= Feb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276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11851.35</v>
      </c>
      <c r="G7" s="56"/>
      <c r="H7" s="79">
        <f>F7</f>
        <v>11851.35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-165.79</v>
      </c>
      <c r="G8" s="56"/>
      <c r="H8" s="79"/>
      <c r="I8" s="8"/>
      <c r="J8" s="79">
        <f>F8</f>
        <v>-165.79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2031.39</v>
      </c>
      <c r="G9" s="56"/>
      <c r="H9" s="79"/>
      <c r="I9" s="8"/>
      <c r="J9" s="79"/>
      <c r="K9" s="8"/>
      <c r="L9" s="79"/>
      <c r="M9" s="8"/>
      <c r="N9" s="79">
        <f>F9</f>
        <v>2031.39</v>
      </c>
      <c r="P9" s="79"/>
    </row>
    <row r="10" spans="1:16" x14ac:dyDescent="0.25">
      <c r="C10" t="s">
        <v>3</v>
      </c>
      <c r="F10" s="112">
        <v>111135.78</v>
      </c>
      <c r="G10" s="56"/>
      <c r="H10" s="79"/>
      <c r="I10" s="8"/>
      <c r="J10" s="79"/>
      <c r="K10" s="8"/>
      <c r="L10" s="79">
        <f>F10</f>
        <v>111135.78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4191.66</v>
      </c>
      <c r="G13" s="56"/>
      <c r="H13" s="79">
        <f>F13</f>
        <v>4191.66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7498.63</v>
      </c>
      <c r="G14" s="56"/>
      <c r="H14" s="79"/>
      <c r="I14" s="8"/>
      <c r="J14" s="79">
        <f>F14</f>
        <v>7498.63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994.49</v>
      </c>
      <c r="G15" s="56"/>
      <c r="H15" s="79"/>
      <c r="I15" s="8"/>
      <c r="J15" s="79"/>
      <c r="K15" s="8"/>
      <c r="L15" s="79"/>
      <c r="M15" s="8"/>
      <c r="N15" s="79">
        <f>F15</f>
        <v>994.49</v>
      </c>
      <c r="P15" s="79"/>
    </row>
    <row r="16" spans="1:16" x14ac:dyDescent="0.25">
      <c r="C16" t="s">
        <v>7</v>
      </c>
      <c r="F16" s="112">
        <v>11196.16</v>
      </c>
      <c r="G16" s="56"/>
      <c r="H16" s="79"/>
      <c r="I16" s="8"/>
      <c r="J16" s="79"/>
      <c r="K16" s="8"/>
      <c r="L16" s="79">
        <f>F16</f>
        <v>11196.16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8900.4500000000007</v>
      </c>
      <c r="G18" s="56"/>
      <c r="H18" s="79"/>
      <c r="I18" s="8"/>
      <c r="J18" s="79"/>
      <c r="K18" s="8"/>
      <c r="L18" s="79">
        <f>F18</f>
        <v>8900.4500000000007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283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277</v>
      </c>
      <c r="F21" s="112">
        <v>465.17</v>
      </c>
      <c r="G21" s="56"/>
      <c r="H21" s="79"/>
      <c r="I21" s="8"/>
      <c r="J21" s="79"/>
      <c r="K21" s="8"/>
      <c r="L21" s="79"/>
      <c r="M21" s="8"/>
      <c r="N21" s="79"/>
      <c r="P21" s="79">
        <f>+F21</f>
        <v>465.17</v>
      </c>
    </row>
    <row r="22" spans="2:16" x14ac:dyDescent="0.25">
      <c r="C22" t="s">
        <v>278</v>
      </c>
      <c r="F22" s="112">
        <v>1020.81</v>
      </c>
      <c r="G22" s="56"/>
      <c r="H22" s="79"/>
      <c r="I22" s="8"/>
      <c r="J22" s="79"/>
      <c r="K22" s="8"/>
      <c r="L22" s="79"/>
      <c r="M22" s="8"/>
      <c r="N22" s="79"/>
      <c r="P22" s="79">
        <f>+F22</f>
        <v>1020.81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225.41</v>
      </c>
      <c r="G25" s="56"/>
      <c r="H25" s="79">
        <f>F25</f>
        <v>225.41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154</v>
      </c>
      <c r="F26" s="112">
        <v>510.62</v>
      </c>
      <c r="G26" s="56"/>
      <c r="H26" s="79"/>
      <c r="I26" s="8"/>
      <c r="J26" s="79">
        <f>F26</f>
        <v>510.62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2439.2399999999998</v>
      </c>
      <c r="G28" s="56"/>
      <c r="H28" s="79"/>
      <c r="I28" s="8"/>
      <c r="J28" s="79"/>
      <c r="K28" s="8"/>
      <c r="L28" s="79">
        <f>F28</f>
        <v>2439.2399999999998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16</v>
      </c>
      <c r="F31" s="112">
        <v>2998.86</v>
      </c>
      <c r="G31" s="56"/>
      <c r="H31" s="79"/>
      <c r="I31" s="8"/>
      <c r="J31" s="79"/>
      <c r="K31" s="8"/>
      <c r="L31" s="79">
        <f>F31</f>
        <v>2998.86</v>
      </c>
      <c r="M31" s="8"/>
      <c r="N31" s="79"/>
      <c r="P31" s="79"/>
    </row>
    <row r="32" spans="2:16" x14ac:dyDescent="0.25">
      <c r="G32" s="56"/>
      <c r="H32" s="8"/>
      <c r="I32" s="8"/>
      <c r="J32" s="8"/>
      <c r="K32" s="8"/>
      <c r="L32" s="8"/>
      <c r="M32" s="8"/>
      <c r="N32" s="8"/>
    </row>
    <row r="33" spans="2:16" x14ac:dyDescent="0.25">
      <c r="B33" s="53" t="s">
        <v>20</v>
      </c>
      <c r="C33" s="53"/>
      <c r="D33" s="53"/>
      <c r="G33" s="56"/>
      <c r="H33" s="8"/>
      <c r="I33" s="8"/>
      <c r="J33" s="8"/>
      <c r="K33" s="8"/>
      <c r="L33" s="8"/>
      <c r="M33" s="8"/>
      <c r="N33" s="8"/>
    </row>
    <row r="34" spans="2:16" x14ac:dyDescent="0.25">
      <c r="C34" t="s">
        <v>279</v>
      </c>
      <c r="F34" s="112">
        <v>175.67</v>
      </c>
      <c r="G34" s="56"/>
      <c r="H34" s="79"/>
      <c r="I34" s="8"/>
      <c r="J34" s="79"/>
      <c r="K34" s="8"/>
      <c r="L34" s="79"/>
      <c r="M34" s="8"/>
      <c r="N34" s="79"/>
      <c r="P34" s="79">
        <f>+F34</f>
        <v>175.67</v>
      </c>
    </row>
    <row r="35" spans="2:16" x14ac:dyDescent="0.25">
      <c r="C35" t="s">
        <v>280</v>
      </c>
      <c r="F35" s="112">
        <v>89.47</v>
      </c>
      <c r="G35" s="56"/>
      <c r="H35" s="79"/>
      <c r="I35" s="8"/>
      <c r="J35" s="79"/>
      <c r="K35" s="8"/>
      <c r="L35" s="79"/>
      <c r="M35" s="8"/>
      <c r="N35" s="79"/>
      <c r="P35" s="79">
        <f>+F35</f>
        <v>89.47</v>
      </c>
    </row>
    <row r="36" spans="2:16" x14ac:dyDescent="0.25">
      <c r="C36" t="s">
        <v>120</v>
      </c>
      <c r="F36" s="112">
        <v>169.23</v>
      </c>
      <c r="G36" s="56"/>
      <c r="H36" s="79">
        <f>F36</f>
        <v>169.23</v>
      </c>
      <c r="I36" s="8"/>
      <c r="J36" s="79"/>
      <c r="K36" s="8"/>
      <c r="L36" s="79"/>
      <c r="M36" s="8"/>
      <c r="N36" s="79"/>
      <c r="P36" s="79"/>
    </row>
    <row r="37" spans="2:16" x14ac:dyDescent="0.25">
      <c r="C37" t="s">
        <v>121</v>
      </c>
      <c r="F37" s="112">
        <v>144.13999999999999</v>
      </c>
      <c r="G37" s="56"/>
      <c r="H37" s="79"/>
      <c r="I37" s="8"/>
      <c r="J37" s="79">
        <f>F37</f>
        <v>144.13999999999999</v>
      </c>
      <c r="K37" s="8"/>
      <c r="L37" s="79"/>
      <c r="M37" s="8"/>
      <c r="N37" s="79"/>
      <c r="P37" s="79"/>
    </row>
    <row r="38" spans="2:16" x14ac:dyDescent="0.25">
      <c r="C38" t="s">
        <v>127</v>
      </c>
      <c r="F38" s="112">
        <v>0</v>
      </c>
      <c r="G38" s="56"/>
      <c r="H38" s="79"/>
      <c r="I38" s="8"/>
      <c r="J38" s="79"/>
      <c r="K38" s="8"/>
      <c r="L38" s="79"/>
      <c r="M38" s="8"/>
      <c r="N38" s="79">
        <f>F38</f>
        <v>0</v>
      </c>
      <c r="P38" s="79"/>
    </row>
    <row r="39" spans="2:16" x14ac:dyDescent="0.25">
      <c r="C39" t="s">
        <v>122</v>
      </c>
      <c r="F39" s="112">
        <v>2691.79</v>
      </c>
      <c r="G39" s="56"/>
      <c r="H39" s="79"/>
      <c r="I39" s="8"/>
      <c r="J39" s="79"/>
      <c r="K39" s="8"/>
      <c r="L39" s="79">
        <f>F39</f>
        <v>2691.79</v>
      </c>
      <c r="M39" s="8"/>
      <c r="N39" s="79"/>
      <c r="P39" s="79"/>
    </row>
    <row r="40" spans="2:16" x14ac:dyDescent="0.25">
      <c r="G40" s="56"/>
      <c r="H40" s="8"/>
      <c r="I40" s="8"/>
      <c r="J40" s="8"/>
      <c r="K40" s="8"/>
      <c r="L40" s="8"/>
      <c r="M40" s="8"/>
      <c r="N40" s="8"/>
    </row>
    <row r="41" spans="2:16" x14ac:dyDescent="0.25">
      <c r="B41" s="53" t="s">
        <v>21</v>
      </c>
      <c r="C41" s="53"/>
      <c r="D41" s="53"/>
      <c r="G41" s="56"/>
      <c r="H41" s="8"/>
      <c r="I41" s="8"/>
      <c r="J41" s="8"/>
      <c r="K41" s="8"/>
      <c r="L41" s="8"/>
      <c r="M41" s="8"/>
      <c r="N41" s="8"/>
    </row>
    <row r="42" spans="2:16" x14ac:dyDescent="0.25">
      <c r="C42" t="s">
        <v>23</v>
      </c>
      <c r="F42" s="112">
        <v>5417.5</v>
      </c>
      <c r="G42" s="56"/>
      <c r="H42" s="79">
        <f>F42</f>
        <v>5417.5</v>
      </c>
      <c r="I42" s="8"/>
      <c r="J42" s="79"/>
      <c r="K42" s="8"/>
      <c r="L42" s="79"/>
      <c r="M42" s="8"/>
      <c r="N42" s="79"/>
      <c r="P42" s="79"/>
    </row>
    <row r="43" spans="2:16" x14ac:dyDescent="0.25">
      <c r="C43" t="s">
        <v>22</v>
      </c>
      <c r="F43" s="112">
        <v>1692.68</v>
      </c>
      <c r="G43" s="56"/>
      <c r="H43" s="79"/>
      <c r="I43" s="8"/>
      <c r="J43" s="79">
        <f>F43</f>
        <v>1692.68</v>
      </c>
      <c r="K43" s="8"/>
      <c r="L43" s="79"/>
      <c r="M43" s="8"/>
      <c r="N43" s="79"/>
      <c r="P43" s="79"/>
    </row>
    <row r="44" spans="2:16" x14ac:dyDescent="0.25">
      <c r="C44" t="s">
        <v>128</v>
      </c>
      <c r="F44" s="112">
        <v>1462.5</v>
      </c>
      <c r="G44" s="56"/>
      <c r="H44" s="79"/>
      <c r="I44" s="8"/>
      <c r="J44" s="79"/>
      <c r="K44" s="8"/>
      <c r="L44" s="79"/>
      <c r="M44" s="8"/>
      <c r="N44" s="79">
        <f>F44</f>
        <v>1462.5</v>
      </c>
      <c r="P44" s="79"/>
    </row>
    <row r="45" spans="2:16" x14ac:dyDescent="0.25">
      <c r="C45" t="s">
        <v>24</v>
      </c>
      <c r="F45" s="112">
        <v>19091.7</v>
      </c>
      <c r="G45" s="56"/>
      <c r="H45" s="79"/>
      <c r="I45" s="8"/>
      <c r="J45" s="79"/>
      <c r="K45" s="8"/>
      <c r="L45" s="79">
        <f>F45</f>
        <v>19091.7</v>
      </c>
      <c r="M45" s="8"/>
      <c r="N45" s="79"/>
      <c r="P45" s="79"/>
    </row>
    <row r="46" spans="2:16" x14ac:dyDescent="0.25">
      <c r="G46" s="56"/>
      <c r="H46" s="8"/>
      <c r="I46" s="8"/>
      <c r="J46" s="8"/>
      <c r="K46" s="8"/>
      <c r="L46" s="8"/>
      <c r="M46" s="8"/>
      <c r="N46" s="8"/>
    </row>
    <row r="47" spans="2:16" x14ac:dyDescent="0.25">
      <c r="B47" s="53" t="s">
        <v>248</v>
      </c>
      <c r="C47" s="53"/>
      <c r="D47" s="53"/>
      <c r="G47" s="56"/>
      <c r="H47" s="8"/>
      <c r="I47" s="8"/>
      <c r="J47" s="8"/>
      <c r="K47" s="8"/>
      <c r="L47" s="8"/>
      <c r="M47" s="8"/>
      <c r="N47" s="8"/>
    </row>
    <row r="48" spans="2:16" x14ac:dyDescent="0.25">
      <c r="C48" t="s">
        <v>249</v>
      </c>
      <c r="F48" s="112">
        <v>276</v>
      </c>
      <c r="G48" s="56"/>
      <c r="H48" s="79">
        <f>F48</f>
        <v>276</v>
      </c>
      <c r="I48" s="8"/>
      <c r="J48" s="79"/>
      <c r="K48" s="8"/>
      <c r="L48" s="79"/>
      <c r="M48" s="8"/>
      <c r="N48" s="79"/>
      <c r="P48" s="79"/>
    </row>
    <row r="49" spans="1:16" x14ac:dyDescent="0.25">
      <c r="C49" t="s">
        <v>250</v>
      </c>
      <c r="F49" s="112">
        <v>0</v>
      </c>
      <c r="G49" s="56"/>
      <c r="H49" s="79"/>
      <c r="I49" s="8"/>
      <c r="J49" s="79">
        <f>F49</f>
        <v>0</v>
      </c>
      <c r="K49" s="8"/>
      <c r="L49" s="79"/>
      <c r="M49" s="8"/>
      <c r="N49" s="79"/>
      <c r="P49" s="79"/>
    </row>
    <row r="50" spans="1:16" x14ac:dyDescent="0.25">
      <c r="C50" t="s">
        <v>251</v>
      </c>
      <c r="F50" s="112">
        <v>0</v>
      </c>
      <c r="G50" s="56"/>
      <c r="H50" s="79"/>
      <c r="I50" s="8"/>
      <c r="J50" s="79"/>
      <c r="K50" s="8"/>
      <c r="L50" s="79"/>
      <c r="M50" s="8"/>
      <c r="N50" s="79">
        <f>F50</f>
        <v>0</v>
      </c>
      <c r="P50" s="79"/>
    </row>
    <row r="51" spans="1:16" x14ac:dyDescent="0.25">
      <c r="C51" t="s">
        <v>252</v>
      </c>
      <c r="F51" s="112">
        <v>762.24</v>
      </c>
      <c r="G51" s="56"/>
      <c r="H51" s="79"/>
      <c r="I51" s="8"/>
      <c r="J51" s="79"/>
      <c r="K51" s="8"/>
      <c r="L51" s="79">
        <f>F51</f>
        <v>762.24</v>
      </c>
      <c r="M51" s="8"/>
      <c r="N51" s="79"/>
      <c r="P51" s="79"/>
    </row>
    <row r="52" spans="1:16" x14ac:dyDescent="0.25">
      <c r="F52" s="134"/>
      <c r="G52" s="56"/>
      <c r="H52" s="8"/>
      <c r="I52" s="8"/>
      <c r="J52" s="8"/>
      <c r="K52" s="8"/>
      <c r="L52" s="8"/>
      <c r="M52" s="8"/>
      <c r="N52" s="8"/>
    </row>
    <row r="53" spans="1:16" x14ac:dyDescent="0.25">
      <c r="B53" s="53" t="s">
        <v>253</v>
      </c>
      <c r="C53" s="53"/>
      <c r="D53" s="53"/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C54" t="s">
        <v>254</v>
      </c>
      <c r="F54" s="112">
        <v>2917.76</v>
      </c>
      <c r="G54" s="56"/>
      <c r="H54" s="79">
        <f>F54</f>
        <v>2917.76</v>
      </c>
      <c r="I54" s="8"/>
      <c r="J54" s="79"/>
      <c r="K54" s="8"/>
      <c r="L54" s="79"/>
      <c r="M54" s="8"/>
      <c r="N54" s="79"/>
      <c r="P54" s="79"/>
    </row>
    <row r="55" spans="1:16" x14ac:dyDescent="0.25">
      <c r="C55" t="s">
        <v>255</v>
      </c>
      <c r="F55" s="112">
        <v>730.54</v>
      </c>
      <c r="G55" s="56"/>
      <c r="H55" s="79"/>
      <c r="I55" s="8"/>
      <c r="J55" s="79">
        <f>F55</f>
        <v>730.54</v>
      </c>
      <c r="K55" s="8"/>
      <c r="L55" s="79"/>
      <c r="M55" s="8"/>
      <c r="N55" s="79"/>
      <c r="P55" s="79"/>
    </row>
    <row r="56" spans="1:16" x14ac:dyDescent="0.25">
      <c r="C56" t="s">
        <v>256</v>
      </c>
      <c r="F56" s="112">
        <v>0</v>
      </c>
      <c r="G56" s="56"/>
      <c r="H56" s="79"/>
      <c r="I56" s="8"/>
      <c r="J56" s="79"/>
      <c r="K56" s="8"/>
      <c r="L56" s="79"/>
      <c r="M56" s="8"/>
      <c r="N56" s="79">
        <f>F56</f>
        <v>0</v>
      </c>
      <c r="P56" s="79"/>
    </row>
    <row r="57" spans="1:16" x14ac:dyDescent="0.25">
      <c r="C57" t="s">
        <v>257</v>
      </c>
      <c r="F57" s="112">
        <v>30502.720000000001</v>
      </c>
      <c r="G57" s="56"/>
      <c r="H57" s="79"/>
      <c r="I57" s="8"/>
      <c r="J57" s="79"/>
      <c r="K57" s="8"/>
      <c r="L57" s="79">
        <f>F57</f>
        <v>30502.720000000001</v>
      </c>
      <c r="M57" s="8"/>
      <c r="N57" s="79"/>
      <c r="P57" s="79"/>
    </row>
    <row r="58" spans="1:16" x14ac:dyDescent="0.25">
      <c r="F58" s="134"/>
      <c r="G58" s="56"/>
      <c r="H58" s="8"/>
      <c r="I58" s="8"/>
      <c r="J58" s="8"/>
      <c r="K58" s="8"/>
      <c r="L58" s="8"/>
      <c r="M58" s="8"/>
      <c r="N58" s="8"/>
    </row>
    <row r="59" spans="1:16" x14ac:dyDescent="0.25">
      <c r="F59" s="113">
        <f>SUM(F7:F57)</f>
        <v>231418.17000000004</v>
      </c>
      <c r="G59" s="57"/>
      <c r="H59" s="113">
        <f>SUM(H7:H57)</f>
        <v>25048.910000000003</v>
      </c>
      <c r="I59" s="23"/>
      <c r="J59" s="113">
        <f>SUM(J7:J57)</f>
        <v>10410.82</v>
      </c>
      <c r="K59" s="23"/>
      <c r="L59" s="113">
        <f>SUM(L7:L57)</f>
        <v>189718.94</v>
      </c>
      <c r="M59" s="23"/>
      <c r="N59" s="113">
        <f>SUM(N7:N57)</f>
        <v>4488.38</v>
      </c>
      <c r="P59" s="113">
        <f>SUM(P7:P57)</f>
        <v>1751.1200000000001</v>
      </c>
    </row>
    <row r="60" spans="1:16" x14ac:dyDescent="0.25">
      <c r="G60" s="6"/>
      <c r="H60" s="6"/>
      <c r="I60" s="6"/>
      <c r="J60" s="6"/>
      <c r="K60" s="6"/>
      <c r="L60" s="6"/>
      <c r="M60" s="6"/>
      <c r="N60" s="6"/>
    </row>
    <row r="61" spans="1:16" x14ac:dyDescent="0.25">
      <c r="A61" s="16" t="s">
        <v>96</v>
      </c>
      <c r="G61" s="6"/>
      <c r="H61" s="6"/>
      <c r="I61" s="6"/>
      <c r="J61" s="6"/>
      <c r="K61" s="6"/>
      <c r="L61" s="6"/>
      <c r="M61" s="6"/>
      <c r="N61" s="6"/>
    </row>
    <row r="62" spans="1:16" x14ac:dyDescent="0.25">
      <c r="D62" s="16" t="s">
        <v>162</v>
      </c>
      <c r="G62" s="6"/>
      <c r="H62" s="6"/>
      <c r="I62" s="6"/>
      <c r="J62" s="6"/>
      <c r="K62" s="6"/>
      <c r="L62" s="6"/>
      <c r="M62" s="6"/>
      <c r="N62" s="6" t="s">
        <v>263</v>
      </c>
      <c r="P62" t="s">
        <v>262</v>
      </c>
    </row>
    <row r="63" spans="1:16" x14ac:dyDescent="0.25">
      <c r="D63" s="16" t="s">
        <v>160</v>
      </c>
      <c r="F63" s="115">
        <v>32565.17</v>
      </c>
      <c r="G63" s="6"/>
      <c r="H63" s="6" t="s">
        <v>164</v>
      </c>
      <c r="I63" s="6"/>
      <c r="J63" s="6"/>
      <c r="K63" s="6"/>
      <c r="L63" s="6" t="s">
        <v>10</v>
      </c>
      <c r="M63" s="6"/>
      <c r="N63" s="60">
        <f>+Oklahoma!F42</f>
        <v>306446.69678750908</v>
      </c>
      <c r="P63" s="60">
        <f>+L59+'Allocation Charges'!L21</f>
        <v>306446.69678750908</v>
      </c>
    </row>
    <row r="64" spans="1:16" x14ac:dyDescent="0.25">
      <c r="B64" s="16"/>
      <c r="D64" t="s">
        <v>156</v>
      </c>
      <c r="F64" s="102">
        <f>+F59</f>
        <v>231418.17000000004</v>
      </c>
      <c r="G64" s="6"/>
      <c r="H64" s="6"/>
      <c r="I64" s="6"/>
      <c r="J64" s="6"/>
      <c r="K64" s="6"/>
      <c r="L64" s="6" t="s">
        <v>12</v>
      </c>
      <c r="M64" s="6"/>
      <c r="N64" s="60">
        <f>+Kentucky!F39</f>
        <v>58012</v>
      </c>
      <c r="P64" s="60">
        <f>+H59+'Allocation Charges'!H21</f>
        <v>58004.983946816086</v>
      </c>
    </row>
    <row r="65" spans="4:16" x14ac:dyDescent="0.25">
      <c r="D65" t="s">
        <v>157</v>
      </c>
      <c r="F65" s="102">
        <f>+'Allocation Charges'!F21</f>
        <v>169713.61000000004</v>
      </c>
      <c r="G65" s="8"/>
      <c r="H65" s="8"/>
      <c r="I65" s="8"/>
      <c r="J65" s="8"/>
      <c r="K65" s="8"/>
      <c r="L65" s="8" t="s">
        <v>11</v>
      </c>
      <c r="M65" s="8"/>
      <c r="N65" s="60">
        <f>+Tennessee!F40</f>
        <v>25906</v>
      </c>
      <c r="P65" s="60">
        <f>+J59+'Allocation Charges'!J21</f>
        <v>25900.039085991237</v>
      </c>
    </row>
    <row r="66" spans="4:16" x14ac:dyDescent="0.25">
      <c r="D66" t="s">
        <v>50</v>
      </c>
      <c r="F66" s="102">
        <f>SUM(F63:F65)</f>
        <v>433696.95000000007</v>
      </c>
      <c r="G66" s="8"/>
      <c r="H66" s="8"/>
      <c r="I66" s="8"/>
      <c r="J66" s="8"/>
      <c r="K66" s="8"/>
      <c r="L66" s="8" t="s">
        <v>123</v>
      </c>
      <c r="M66" s="8"/>
      <c r="N66" s="60">
        <f>+'Commodity Texas'!F40</f>
        <v>9034</v>
      </c>
      <c r="P66" s="60">
        <f>+N59+'Allocation Charges'!N21</f>
        <v>9028.9401796836246</v>
      </c>
    </row>
    <row r="67" spans="4:16" x14ac:dyDescent="0.25">
      <c r="D67" s="16" t="s">
        <v>158</v>
      </c>
      <c r="F67" s="115">
        <v>433696.95</v>
      </c>
      <c r="G67" s="8"/>
      <c r="H67" s="6" t="s">
        <v>164</v>
      </c>
      <c r="I67" s="8"/>
      <c r="J67" s="8"/>
      <c r="K67" s="8"/>
      <c r="L67" s="8" t="s">
        <v>276</v>
      </c>
      <c r="M67" s="8"/>
      <c r="N67" s="60">
        <f>+'NC Hydro'!F14</f>
        <v>1751.1200000000001</v>
      </c>
      <c r="P67" s="60">
        <f>+P59</f>
        <v>1751.1200000000001</v>
      </c>
    </row>
    <row r="68" spans="4:16" x14ac:dyDescent="0.25">
      <c r="D68" t="s">
        <v>159</v>
      </c>
      <c r="F68" s="102">
        <f>+F66-F67</f>
        <v>0</v>
      </c>
      <c r="G68" s="8"/>
      <c r="H68" s="8"/>
      <c r="I68" s="8"/>
      <c r="J68" s="8"/>
      <c r="K68" s="8"/>
      <c r="L68" s="8" t="s">
        <v>261</v>
      </c>
      <c r="M68" s="8"/>
      <c r="N68" s="60">
        <f>SUM(N63:N67)</f>
        <v>401149.81678750907</v>
      </c>
      <c r="P68" s="60">
        <f>SUM(P63:P67)</f>
        <v>401131.77999999997</v>
      </c>
    </row>
    <row r="69" spans="4:16" x14ac:dyDescent="0.25">
      <c r="G69" s="8"/>
      <c r="H69" s="8"/>
      <c r="I69" s="8"/>
      <c r="J69" s="8"/>
      <c r="K69" s="8"/>
      <c r="L69" s="8" t="s">
        <v>159</v>
      </c>
      <c r="M69" s="8"/>
      <c r="N69" s="8">
        <f>+F65+F64-N68</f>
        <v>-18.03678750898689</v>
      </c>
      <c r="P69" s="55">
        <f>+F64+F65-P68</f>
        <v>0</v>
      </c>
    </row>
    <row r="70" spans="4:16" x14ac:dyDescent="0.25">
      <c r="F70" s="103"/>
      <c r="G70" s="23"/>
      <c r="H70" s="23"/>
      <c r="I70" s="23"/>
      <c r="J70" s="23"/>
      <c r="K70" s="23"/>
      <c r="L70" s="8"/>
      <c r="M70" s="8"/>
      <c r="N70" s="8"/>
    </row>
    <row r="71" spans="4:16" x14ac:dyDescent="0.25">
      <c r="F71" s="102">
        <f>+'Allocation Charges'!F34+'Commodity OK'!F41-'Direct Charges'!F63</f>
        <v>35438.430000000008</v>
      </c>
      <c r="L71" s="23"/>
      <c r="M71" s="23"/>
      <c r="N71" s="23"/>
    </row>
  </sheetData>
  <pageMargins left="0.7" right="0.7" top="0.75" bottom="0.75" header="0.3" footer="0.3"/>
  <pageSetup scale="39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H29"/>
  <sheetViews>
    <sheetView workbookViewId="0">
      <selection activeCell="L7" sqref="L7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44926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244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</row>
    <row r="4" spans="1:8" x14ac:dyDescent="0.25">
      <c r="A4" t="s">
        <v>245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8" x14ac:dyDescent="0.25">
      <c r="A5" s="117" t="s">
        <v>173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8" x14ac:dyDescent="0.25">
      <c r="B6" s="102"/>
      <c r="C6" s="102"/>
      <c r="D6" s="102"/>
      <c r="E6" s="134"/>
      <c r="F6" s="102"/>
      <c r="G6" s="102"/>
    </row>
    <row r="7" spans="1:8" x14ac:dyDescent="0.25">
      <c r="A7" s="16" t="s">
        <v>293</v>
      </c>
      <c r="B7" s="102"/>
      <c r="C7" s="102"/>
      <c r="D7" s="102"/>
      <c r="E7" s="134"/>
      <c r="F7" s="102"/>
      <c r="G7" s="102"/>
    </row>
    <row r="8" spans="1:8" x14ac:dyDescent="0.25">
      <c r="A8" t="s">
        <v>174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</row>
    <row r="9" spans="1:8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246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8" x14ac:dyDescent="0.25">
      <c r="A13" s="142" t="s">
        <v>179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8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168</v>
      </c>
    </row>
    <row r="18" spans="1:7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7" x14ac:dyDescent="0.25">
      <c r="A19" t="s">
        <v>247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</row>
    <row r="20" spans="1:7" x14ac:dyDescent="0.25">
      <c r="A20" s="117" t="s">
        <v>173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7" x14ac:dyDescent="0.25">
      <c r="A22" t="s">
        <v>293</v>
      </c>
      <c r="B22" s="102"/>
      <c r="C22" s="102"/>
      <c r="D22" s="102"/>
      <c r="E22" s="102"/>
      <c r="F22" s="102"/>
      <c r="G22" s="102"/>
    </row>
    <row r="23" spans="1:7" x14ac:dyDescent="0.25">
      <c r="A23" t="s">
        <v>174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</row>
    <row r="24" spans="1:7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7" x14ac:dyDescent="0.25">
      <c r="A25" s="130" t="s">
        <v>186</v>
      </c>
      <c r="C25" s="118"/>
      <c r="D25" s="118"/>
      <c r="E25" s="118"/>
      <c r="F25" s="118"/>
      <c r="G25" s="118"/>
    </row>
    <row r="26" spans="1:7" x14ac:dyDescent="0.25">
      <c r="A26" t="s">
        <v>185</v>
      </c>
    </row>
    <row r="27" spans="1:7" x14ac:dyDescent="0.25">
      <c r="A27" t="s">
        <v>246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7" x14ac:dyDescent="0.25">
      <c r="A28" t="s">
        <v>179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7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zoomScale="80" zoomScaleNormal="80" workbookViewId="0">
      <selection activeCell="I23" sqref="I23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292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304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930873.98</v>
      </c>
      <c r="C8" s="94">
        <f t="shared" ref="C8:C13" si="0">$D$25</f>
        <v>0.74772351739659004</v>
      </c>
      <c r="D8" s="95">
        <v>6.4100000000000004E-2</v>
      </c>
      <c r="E8" s="79">
        <f t="shared" ref="E8:E13" si="1">B8*C8*D8</f>
        <v>44615.931097685891</v>
      </c>
      <c r="F8" s="79">
        <f t="shared" ref="F8:F13" si="2">E8/12</f>
        <v>3717.9942581404907</v>
      </c>
      <c r="G8" s="79">
        <f t="shared" ref="G8:G13" si="3">B8</f>
        <v>930873.98</v>
      </c>
      <c r="H8" s="13">
        <v>6</v>
      </c>
      <c r="I8" s="79">
        <f t="shared" ref="I8:I13" si="4">G8/H8</f>
        <v>155145.66333333333</v>
      </c>
      <c r="J8" s="79">
        <f t="shared" ref="J8:J13" si="5">I8/12</f>
        <v>12928.805277777778</v>
      </c>
      <c r="K8" s="79">
        <f>ROUNDUP(F8+J8,0)</f>
        <v>16647</v>
      </c>
    </row>
    <row r="9" spans="1:11" x14ac:dyDescent="0.25">
      <c r="A9" t="s">
        <v>32</v>
      </c>
      <c r="B9" s="195">
        <v>306568.88</v>
      </c>
      <c r="C9" s="94">
        <f t="shared" si="0"/>
        <v>0.74772351739659004</v>
      </c>
      <c r="D9" s="95">
        <v>6.4100000000000004E-2</v>
      </c>
      <c r="E9" s="79">
        <f t="shared" si="1"/>
        <v>14693.563597915516</v>
      </c>
      <c r="F9" s="79">
        <f t="shared" si="2"/>
        <v>1224.4636331596264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5483</v>
      </c>
    </row>
    <row r="10" spans="1:11" x14ac:dyDescent="0.25">
      <c r="A10" t="s">
        <v>47</v>
      </c>
      <c r="B10" s="195">
        <v>705882.72</v>
      </c>
      <c r="C10" s="94">
        <f t="shared" si="0"/>
        <v>0.74772351739659004</v>
      </c>
      <c r="D10" s="95">
        <v>6.4100000000000004E-2</v>
      </c>
      <c r="E10" s="79">
        <f t="shared" si="1"/>
        <v>33832.30756817061</v>
      </c>
      <c r="F10" s="79">
        <f t="shared" si="2"/>
        <v>2819.3589640142177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8702</v>
      </c>
    </row>
    <row r="11" spans="1:11" x14ac:dyDescent="0.25">
      <c r="A11" t="s">
        <v>48</v>
      </c>
      <c r="B11" s="195">
        <v>253932.31</v>
      </c>
      <c r="C11" s="94">
        <f t="shared" si="0"/>
        <v>0.74772351739659004</v>
      </c>
      <c r="D11" s="95">
        <v>6.4100000000000004E-2</v>
      </c>
      <c r="E11" s="79">
        <f t="shared" si="1"/>
        <v>12170.741356887227</v>
      </c>
      <c r="F11" s="79">
        <f t="shared" si="2"/>
        <v>1014.228446407269</v>
      </c>
      <c r="G11" s="79">
        <f t="shared" si="3"/>
        <v>253932.31</v>
      </c>
      <c r="H11" s="13">
        <v>5</v>
      </c>
      <c r="I11" s="79">
        <f t="shared" si="4"/>
        <v>50786.462</v>
      </c>
      <c r="J11" s="79">
        <f t="shared" si="5"/>
        <v>4232.2051666666666</v>
      </c>
      <c r="K11" s="79">
        <f t="shared" si="6"/>
        <v>5247</v>
      </c>
    </row>
    <row r="12" spans="1:11" x14ac:dyDescent="0.25">
      <c r="A12" t="s">
        <v>41</v>
      </c>
      <c r="B12" s="195">
        <v>199641.49</v>
      </c>
      <c r="C12" s="94">
        <f t="shared" si="0"/>
        <v>0.74772351739659004</v>
      </c>
      <c r="D12" s="95">
        <v>6.4100000000000004E-2</v>
      </c>
      <c r="E12" s="79">
        <f t="shared" si="1"/>
        <v>9568.6324394622625</v>
      </c>
      <c r="F12" s="79">
        <f t="shared" si="2"/>
        <v>797.38603662185517</v>
      </c>
      <c r="G12" s="79">
        <f t="shared" si="3"/>
        <v>199641.49</v>
      </c>
      <c r="H12" s="13">
        <v>4</v>
      </c>
      <c r="I12" s="79">
        <f t="shared" si="4"/>
        <v>49910.372499999998</v>
      </c>
      <c r="J12" s="79">
        <f t="shared" si="5"/>
        <v>4159.1977083333331</v>
      </c>
      <c r="K12" s="79">
        <f t="shared" si="6"/>
        <v>4957</v>
      </c>
    </row>
    <row r="13" spans="1:11" x14ac:dyDescent="0.25">
      <c r="A13" t="s">
        <v>31</v>
      </c>
      <c r="B13" s="195">
        <v>1115641.08</v>
      </c>
      <c r="C13" s="94">
        <f t="shared" si="0"/>
        <v>0.74772351739659004</v>
      </c>
      <c r="D13" s="95">
        <v>6.4100000000000004E-2</v>
      </c>
      <c r="E13" s="79">
        <f t="shared" si="1"/>
        <v>53471.647746591734</v>
      </c>
      <c r="F13" s="79">
        <f t="shared" si="2"/>
        <v>4455.9706455493115</v>
      </c>
      <c r="G13" s="79">
        <f t="shared" si="3"/>
        <v>1115641.08</v>
      </c>
      <c r="H13" s="13">
        <v>10</v>
      </c>
      <c r="I13" s="79">
        <f t="shared" si="4"/>
        <v>111564.10800000001</v>
      </c>
      <c r="J13" s="79">
        <f t="shared" si="5"/>
        <v>9297.009</v>
      </c>
      <c r="K13" s="79">
        <f t="shared" si="6"/>
        <v>13753</v>
      </c>
    </row>
    <row r="14" spans="1:11" x14ac:dyDescent="0.25">
      <c r="B14" s="120"/>
    </row>
    <row r="15" spans="1:11" x14ac:dyDescent="0.25">
      <c r="B15" s="121">
        <f>SUM(B8:B13)</f>
        <v>3512540.46</v>
      </c>
      <c r="D15" s="183">
        <f>AVERAGE(D8:D13)</f>
        <v>6.4100000000000004E-2</v>
      </c>
      <c r="E15" s="14">
        <f>SUM(E8:E13)</f>
        <v>168352.82380671325</v>
      </c>
      <c r="F15" s="22">
        <f>SUM(F8:F13)</f>
        <v>14029.401983892771</v>
      </c>
      <c r="G15" s="14">
        <f>SUM(G8:G13)</f>
        <v>3512540.46</v>
      </c>
      <c r="I15" s="14">
        <f>SUM(I8:I13)</f>
        <v>489089.69116666669</v>
      </c>
      <c r="J15" s="22">
        <f>SUM(J8:J13)</f>
        <v>40757.474263888886</v>
      </c>
      <c r="K15" s="22">
        <f>SUM(K8:K13)</f>
        <v>54789</v>
      </c>
    </row>
    <row r="19" spans="1:7" x14ac:dyDescent="0.25">
      <c r="A19" s="16" t="s">
        <v>266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183</v>
      </c>
      <c r="C25" s="198">
        <f>675186+9307627+(1433258*0.5)</f>
        <v>10699442</v>
      </c>
      <c r="D25" s="199">
        <f>C25/C27</f>
        <v>0.74772351739659004</v>
      </c>
      <c r="E25" s="198" t="s">
        <v>291</v>
      </c>
      <c r="F25" s="198"/>
      <c r="G25" s="200"/>
    </row>
    <row r="26" spans="1:7" x14ac:dyDescent="0.25">
      <c r="A26" s="201"/>
      <c r="B26" s="202" t="s">
        <v>182</v>
      </c>
      <c r="C26" s="203">
        <v>3609914</v>
      </c>
      <c r="D26" s="204">
        <f>C26/C27</f>
        <v>0.25227648260340996</v>
      </c>
      <c r="E26" s="198" t="s">
        <v>291</v>
      </c>
      <c r="F26" s="203"/>
      <c r="G26" s="205"/>
    </row>
    <row r="27" spans="1:7" ht="15.75" thickBot="1" x14ac:dyDescent="0.3">
      <c r="A27" s="206"/>
      <c r="B27" s="207"/>
      <c r="C27" s="208">
        <f>C25+C26</f>
        <v>14309356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R17" sqref="R17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0.74772351739659004</v>
      </c>
      <c r="D8" s="95">
        <v>6.4100000000000004E-2</v>
      </c>
      <c r="E8" s="79">
        <f>B8*C8*D8</f>
        <v>61733.314154926971</v>
      </c>
      <c r="F8" s="79">
        <f>E8/12</f>
        <v>5144.4428462439146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8118</v>
      </c>
    </row>
    <row r="10" spans="1:12" x14ac:dyDescent="0.25">
      <c r="B10" s="14">
        <f>SUM(B8:B8)</f>
        <v>1288013.82</v>
      </c>
      <c r="E10" s="14">
        <f>SUM(E8:E8)</f>
        <v>61733.314154926971</v>
      </c>
      <c r="F10" s="22">
        <f>SUM(F8:F8)</f>
        <v>5144.4428462439146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8118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1607</v>
      </c>
      <c r="L14" s="215">
        <f>+K14*12</f>
        <v>19284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756</v>
      </c>
      <c r="L15" s="215">
        <f t="shared" ref="L15:L18" si="1">+K15*12</f>
        <v>9072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5576</v>
      </c>
      <c r="L16" s="215">
        <f t="shared" si="1"/>
        <v>66912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181</v>
      </c>
      <c r="L17" s="215">
        <f t="shared" si="1"/>
        <v>2172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8120</v>
      </c>
      <c r="L18" s="106">
        <f t="shared" si="1"/>
        <v>97440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activeCell="R17" sqref="R17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0.74772351739659004</v>
      </c>
      <c r="J8" s="95">
        <v>6.4100000000000004E-2</v>
      </c>
      <c r="L8" s="79">
        <f>F8*H8*J8</f>
        <v>30980.030913753351</v>
      </c>
      <c r="N8" s="79">
        <f>L8/12</f>
        <v>2581.6692428127794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5108</v>
      </c>
    </row>
    <row r="10" spans="3:27" x14ac:dyDescent="0.25">
      <c r="F10" s="14">
        <f>SUM(F8:F8)</f>
        <v>646372.36</v>
      </c>
      <c r="L10" s="14">
        <f>SUM(L8:L8)</f>
        <v>30980.030913753351</v>
      </c>
      <c r="N10" s="22">
        <f>SUM(N8:N8)</f>
        <v>2581.6692428127794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5108</v>
      </c>
    </row>
    <row r="13" spans="3:27" x14ac:dyDescent="0.25">
      <c r="C13" t="s">
        <v>61</v>
      </c>
      <c r="F13" s="8" t="s">
        <v>296</v>
      </c>
      <c r="T13" s="24" t="s">
        <v>259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1011</v>
      </c>
      <c r="AA14" s="241">
        <f>+Z14*12</f>
        <v>12132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476</v>
      </c>
      <c r="AA15" s="241">
        <f t="shared" ref="AA15:AA17" si="1">+Z15*12</f>
        <v>5712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3509</v>
      </c>
      <c r="AA16" s="242">
        <f t="shared" si="1"/>
        <v>42108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114</v>
      </c>
      <c r="AA17" s="241">
        <f t="shared" si="1"/>
        <v>1368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5110</v>
      </c>
      <c r="AA18" s="71">
        <f>SUM(AA14:AA17)</f>
        <v>61320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44561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244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245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173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265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246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179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168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7" x14ac:dyDescent="0.25">
      <c r="A19" t="s">
        <v>247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173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265</v>
      </c>
      <c r="B22" s="102"/>
      <c r="C22" s="102"/>
      <c r="D22" s="102"/>
      <c r="E22" s="102"/>
      <c r="F22" s="102"/>
      <c r="G22" s="102"/>
    </row>
    <row r="23" spans="1:7" x14ac:dyDescent="0.25">
      <c r="A23" t="s">
        <v>174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186</v>
      </c>
      <c r="C25" s="118"/>
      <c r="D25" s="118"/>
      <c r="E25" s="118"/>
      <c r="F25" s="118"/>
      <c r="G25" s="118"/>
    </row>
    <row r="26" spans="1:7" x14ac:dyDescent="0.25">
      <c r="A26" t="s">
        <v>185</v>
      </c>
    </row>
    <row r="27" spans="1:7" x14ac:dyDescent="0.25">
      <c r="A27" t="s">
        <v>246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179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44561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177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172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173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217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220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178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179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168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8" x14ac:dyDescent="0.25">
      <c r="A19" t="s">
        <v>172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173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176</v>
      </c>
      <c r="B22" s="102"/>
      <c r="C22" s="102"/>
      <c r="D22" s="102"/>
      <c r="E22" s="102"/>
      <c r="F22" s="102"/>
      <c r="G22" s="102"/>
    </row>
    <row r="23" spans="1:8" x14ac:dyDescent="0.25">
      <c r="A23" t="s">
        <v>174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220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186</v>
      </c>
      <c r="C25" s="118"/>
      <c r="D25" s="118"/>
      <c r="E25" s="118"/>
      <c r="F25" s="118"/>
      <c r="G25" s="118"/>
    </row>
    <row r="26" spans="1:8" x14ac:dyDescent="0.25">
      <c r="A26" t="s">
        <v>185</v>
      </c>
    </row>
    <row r="27" spans="1:8" x14ac:dyDescent="0.25">
      <c r="A27" t="s">
        <v>178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179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168</v>
      </c>
    </row>
    <row r="2" spans="1:8" x14ac:dyDescent="0.25">
      <c r="A2" s="180">
        <v>44196</v>
      </c>
      <c r="B2" t="s">
        <v>169</v>
      </c>
      <c r="C2" t="s">
        <v>33</v>
      </c>
      <c r="D2" t="s">
        <v>170</v>
      </c>
      <c r="E2" t="s">
        <v>171</v>
      </c>
      <c r="F2" t="s">
        <v>123</v>
      </c>
      <c r="G2" t="s">
        <v>50</v>
      </c>
    </row>
    <row r="3" spans="1:8" x14ac:dyDescent="0.25">
      <c r="A3" t="s">
        <v>177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172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173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217</v>
      </c>
      <c r="B7" s="102"/>
      <c r="C7" s="102"/>
      <c r="D7" s="102"/>
      <c r="E7" s="102"/>
      <c r="F7" s="102"/>
      <c r="G7" s="102"/>
    </row>
    <row r="8" spans="1:8" x14ac:dyDescent="0.25">
      <c r="A8" t="s">
        <v>174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220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175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186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178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179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168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184</v>
      </c>
      <c r="G18" t="s">
        <v>50</v>
      </c>
    </row>
    <row r="19" spans="1:8" x14ac:dyDescent="0.25">
      <c r="A19" t="s">
        <v>172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173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176</v>
      </c>
      <c r="B22" s="102"/>
      <c r="C22" s="102"/>
      <c r="D22" s="102"/>
      <c r="E22" s="102"/>
      <c r="F22" s="102"/>
      <c r="G22" s="102"/>
    </row>
    <row r="23" spans="1:8" x14ac:dyDescent="0.25">
      <c r="A23" t="s">
        <v>174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220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186</v>
      </c>
      <c r="C25" s="118"/>
      <c r="D25" s="118"/>
      <c r="E25" s="118"/>
      <c r="F25" s="118"/>
      <c r="G25" s="118"/>
    </row>
    <row r="26" spans="1:8" x14ac:dyDescent="0.25">
      <c r="A26" t="s">
        <v>185</v>
      </c>
    </row>
    <row r="27" spans="1:8" x14ac:dyDescent="0.25">
      <c r="A27" t="s">
        <v>178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179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286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285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266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183</v>
      </c>
      <c r="C25" s="198">
        <f>581993+9535881+(776344*0.5)</f>
        <v>10506046</v>
      </c>
      <c r="D25" s="199">
        <f>C25/C27</f>
        <v>0.7855011155173548</v>
      </c>
      <c r="E25" s="198" t="s">
        <v>258</v>
      </c>
      <c r="F25" s="198"/>
      <c r="G25" s="200"/>
    </row>
    <row r="26" spans="1:7" x14ac:dyDescent="0.25">
      <c r="A26" s="201"/>
      <c r="B26" s="202" t="s">
        <v>182</v>
      </c>
      <c r="C26" s="203">
        <v>2868914</v>
      </c>
      <c r="D26" s="204">
        <f>C26/C27</f>
        <v>0.21449888448264517</v>
      </c>
      <c r="E26" s="198" t="s">
        <v>258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218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233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219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232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221</v>
      </c>
    </row>
    <row r="43" spans="1:23" x14ac:dyDescent="0.25">
      <c r="N43" t="s">
        <v>222</v>
      </c>
      <c r="O43" t="s">
        <v>223</v>
      </c>
      <c r="P43" t="s">
        <v>224</v>
      </c>
      <c r="R43" t="s">
        <v>225</v>
      </c>
      <c r="S43" t="s">
        <v>226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222</v>
      </c>
      <c r="O44" t="s">
        <v>223</v>
      </c>
      <c r="P44" t="s">
        <v>227</v>
      </c>
      <c r="R44" t="s">
        <v>225</v>
      </c>
      <c r="S44" t="s">
        <v>228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222</v>
      </c>
      <c r="O45" t="s">
        <v>229</v>
      </c>
      <c r="P45" t="s">
        <v>230</v>
      </c>
      <c r="R45" t="s">
        <v>225</v>
      </c>
      <c r="S45" t="s">
        <v>231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183</v>
      </c>
      <c r="C48" s="198">
        <f>492+6852+(1087*0.5)</f>
        <v>7887.5</v>
      </c>
      <c r="D48" s="199">
        <f>C48/C50</f>
        <v>0.68369956225891737</v>
      </c>
      <c r="E48" s="198" t="s">
        <v>235</v>
      </c>
      <c r="F48" s="198"/>
      <c r="G48" s="200"/>
    </row>
    <row r="49" spans="1:7" x14ac:dyDescent="0.25">
      <c r="A49" s="201"/>
      <c r="B49" s="202" t="s">
        <v>182</v>
      </c>
      <c r="C49" s="203">
        <v>3649</v>
      </c>
      <c r="D49" s="204">
        <f>C49/C50</f>
        <v>0.31630043774108263</v>
      </c>
      <c r="E49" s="203" t="s">
        <v>235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topLeftCell="A7" zoomScaleNormal="100" workbookViewId="0">
      <selection activeCell="L27" sqref="L27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Mar.23 billing =Mar invoices = Feb Flow  data= Feb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294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5" t="s">
        <v>12</v>
      </c>
      <c r="Q4" s="245"/>
      <c r="R4" s="151">
        <f>'2023 Allocation Source'!E14</f>
        <v>0.19790296305734764</v>
      </c>
      <c r="S4" s="151"/>
      <c r="T4" s="151"/>
    </row>
    <row r="5" spans="1:21" x14ac:dyDescent="0.25">
      <c r="P5" s="244" t="s">
        <v>11</v>
      </c>
      <c r="Q5" s="244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4" t="s">
        <v>10</v>
      </c>
      <c r="Q6" s="244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15538.37-SUM('Direct Charges'!F25:F28)</f>
        <v>12363.100000000002</v>
      </c>
      <c r="G7" s="8"/>
      <c r="H7" s="79">
        <f>F7*R$4</f>
        <v>2446.6941225742949</v>
      </c>
      <c r="I7" s="8"/>
      <c r="J7" s="79">
        <f>F7*R$5</f>
        <v>1149.9361653975673</v>
      </c>
      <c r="K7" s="8"/>
      <c r="L7" s="79">
        <f>F7*R$6</f>
        <v>8491.0553735599642</v>
      </c>
      <c r="M7" s="8"/>
      <c r="N7" s="79">
        <f>F7*R$7</f>
        <v>275.41433846817483</v>
      </c>
      <c r="O7" s="8"/>
      <c r="P7" s="244" t="s">
        <v>123</v>
      </c>
      <c r="Q7" s="244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9504.86</v>
      </c>
      <c r="G8" s="8"/>
      <c r="H8" s="79">
        <f t="shared" ref="H8:H19" si="0">F8*R$4</f>
        <v>1881.0399574452615</v>
      </c>
      <c r="I8" s="8"/>
      <c r="J8" s="79">
        <f>F8*R$5</f>
        <v>884.08103639384296</v>
      </c>
      <c r="K8" s="8"/>
      <c r="L8" s="79">
        <f>F8*R$6</f>
        <v>6527.9980407774074</v>
      </c>
      <c r="M8" s="8"/>
      <c r="N8" s="79">
        <f>F8*R$7</f>
        <v>211.74096538348925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/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83953.63</v>
      </c>
      <c r="G10" s="8"/>
      <c r="H10" s="79">
        <f>IF(N10=2000,(F10-N10)*(R4/(R8-R7)),(F10*R4))</f>
        <v>16588.408274278194</v>
      </c>
      <c r="I10" s="8"/>
      <c r="J10" s="83">
        <f>IF(N10=2000,(F10-N10)*(R5/(R8-R7)),(F10*R5))</f>
        <v>7796.483600043267</v>
      </c>
      <c r="K10" s="8"/>
      <c r="L10" s="83">
        <f>IF(N10=2000,(F10-N10)*(R6/(R8-R7)),(F10*R6))</f>
        <v>57568.738125678545</v>
      </c>
      <c r="M10" s="8"/>
      <c r="N10" s="83">
        <f>IF((F10*R$7&lt;2000),(2000),F10*R$7)</f>
        <v>2000</v>
      </c>
      <c r="O10" s="8"/>
      <c r="P10" s="8"/>
      <c r="Q10" s="8"/>
      <c r="U10" s="73"/>
    </row>
    <row r="11" spans="1:21" x14ac:dyDescent="0.25">
      <c r="B11" t="s">
        <v>20</v>
      </c>
      <c r="F11" s="112">
        <f>15387.79-SUM('Direct Charges'!F34:F39)</f>
        <v>12117.490000000002</v>
      </c>
      <c r="G11" s="8"/>
      <c r="H11" s="79">
        <f t="shared" si="0"/>
        <v>2398.08717581778</v>
      </c>
      <c r="I11" s="8"/>
      <c r="J11" s="79">
        <f>F11*R$5</f>
        <v>1127.0911005203684</v>
      </c>
      <c r="K11" s="8"/>
      <c r="L11" s="79">
        <f>F11*R$6</f>
        <v>8322.3688701506198</v>
      </c>
      <c r="M11" s="8"/>
      <c r="N11" s="79">
        <f>F11*R$7</f>
        <v>269.94285351123295</v>
      </c>
      <c r="O11" s="8"/>
      <c r="U11" s="73"/>
    </row>
    <row r="12" spans="1:21" x14ac:dyDescent="0.25">
      <c r="B12" t="s">
        <v>21</v>
      </c>
      <c r="F12" s="156">
        <f>38569.99-SUM('Direct Charges'!F42:F45)</f>
        <v>10905.609999999997</v>
      </c>
      <c r="G12" s="8"/>
      <c r="H12" s="79">
        <f t="shared" si="0"/>
        <v>2158.2525329478403</v>
      </c>
      <c r="I12" s="8"/>
      <c r="J12" s="79">
        <f>F12*R$5</f>
        <v>1014.3698056896213</v>
      </c>
      <c r="K12" s="8"/>
      <c r="L12" s="79">
        <f>F12*R$6</f>
        <v>7490.0420115059533</v>
      </c>
      <c r="M12" s="8"/>
      <c r="N12" s="79">
        <f>F12*R$7</f>
        <v>242.94564985658215</v>
      </c>
      <c r="O12" s="8"/>
    </row>
    <row r="13" spans="1:21" x14ac:dyDescent="0.25">
      <c r="B13" t="s">
        <v>25</v>
      </c>
      <c r="F13" s="112">
        <v>12356.46</v>
      </c>
      <c r="G13" s="8"/>
      <c r="H13" s="79">
        <f t="shared" si="0"/>
        <v>2445.3800468995937</v>
      </c>
      <c r="I13" s="8"/>
      <c r="J13" s="79">
        <f>F13*R$5</f>
        <v>1149.3185552400628</v>
      </c>
      <c r="K13" s="8"/>
      <c r="L13" s="79">
        <f>F13*R$6</f>
        <v>8486.494979509891</v>
      </c>
      <c r="M13" s="8"/>
      <c r="N13" s="79">
        <f>F13*R$7</f>
        <v>275.26641835045115</v>
      </c>
      <c r="O13" s="8"/>
    </row>
    <row r="14" spans="1:21" x14ac:dyDescent="0.25">
      <c r="B14" t="s">
        <v>26</v>
      </c>
      <c r="F14" s="112">
        <v>200</v>
      </c>
      <c r="G14" s="8"/>
      <c r="H14" s="79">
        <f>F14*R$4</f>
        <v>39.580592611469527</v>
      </c>
      <c r="I14" s="8"/>
      <c r="J14" s="79">
        <f>F14*R$5</f>
        <v>18.6027155874751</v>
      </c>
      <c r="K14" s="8"/>
      <c r="L14" s="79">
        <f>F14*R$6</f>
        <v>137.36126656841671</v>
      </c>
      <c r="M14" s="8"/>
      <c r="N14" s="79">
        <f>F14*R$7</f>
        <v>4.455425232638655</v>
      </c>
      <c r="O14" s="8"/>
    </row>
    <row r="15" spans="1:21" x14ac:dyDescent="0.25">
      <c r="B15" t="s">
        <v>27</v>
      </c>
      <c r="F15" s="112">
        <v>14249.28</v>
      </c>
      <c r="G15" s="8"/>
      <c r="H15" s="79">
        <f>IF(N15=1000,(F15-N15)*(R4/(R8-R7)),(F15*R4))</f>
        <v>2681.8148992330002</v>
      </c>
      <c r="I15" s="8"/>
      <c r="J15" s="83">
        <f>IF(N15=1000,(F15-N15)*(R5/(R8-R7)),(F15*R5))</f>
        <v>1260.4419625144274</v>
      </c>
      <c r="K15" s="8"/>
      <c r="L15" s="83">
        <f>IF(N15=1000,(F15-N15)*(R6/(R8-R7)),(F15*R6))</f>
        <v>9307.0231382525744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201</v>
      </c>
      <c r="F16" s="112">
        <v>2356.35</v>
      </c>
      <c r="G16" s="8"/>
      <c r="H16" s="79">
        <v>0</v>
      </c>
      <c r="I16" s="8"/>
      <c r="J16" s="79">
        <v>0</v>
      </c>
      <c r="K16" s="8"/>
      <c r="L16" s="79">
        <f>+F16</f>
        <v>2356.35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5727.92</v>
      </c>
      <c r="G18" s="8"/>
      <c r="H18" s="79">
        <f t="shared" si="0"/>
        <v>1133.5723401554428</v>
      </c>
      <c r="I18" s="8"/>
      <c r="J18" s="79">
        <f>F18*R$5</f>
        <v>532.77433333905185</v>
      </c>
      <c r="K18" s="8"/>
      <c r="L18" s="79">
        <f>F18*R$6</f>
        <v>3933.9717300128273</v>
      </c>
      <c r="M18" s="8"/>
      <c r="N18" s="79">
        <f>F18*R$7</f>
        <v>127.60159649267803</v>
      </c>
      <c r="O18" s="8"/>
    </row>
    <row r="19" spans="1:19" x14ac:dyDescent="0.25">
      <c r="B19" t="s">
        <v>30</v>
      </c>
      <c r="F19" s="112">
        <v>5978.91</v>
      </c>
      <c r="G19" s="8"/>
      <c r="H19" s="79">
        <f t="shared" si="0"/>
        <v>1183.2440048532064</v>
      </c>
      <c r="I19" s="8"/>
      <c r="J19" s="79">
        <f>F19*R$5</f>
        <v>556.11981126555372</v>
      </c>
      <c r="K19" s="8"/>
      <c r="L19" s="79">
        <f>F19*R$6</f>
        <v>4106.353251492862</v>
      </c>
      <c r="M19" s="8"/>
      <c r="N19" s="79">
        <f>F19*R$7</f>
        <v>133.1929323883779</v>
      </c>
      <c r="O19" s="8"/>
      <c r="R19" t="s">
        <v>193</v>
      </c>
      <c r="S19" t="s">
        <v>191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5" t="s">
        <v>12</v>
      </c>
      <c r="Q20" s="245"/>
      <c r="R20" s="150">
        <f>+F21*R4</f>
        <v>33586.826290159115</v>
      </c>
      <c r="S20" s="55">
        <f>+H21-R20</f>
        <v>-630.75234334303241</v>
      </c>
    </row>
    <row r="21" spans="1:19" x14ac:dyDescent="0.25">
      <c r="F21" s="84">
        <f>SUM(F6:F19)</f>
        <v>169713.61000000004</v>
      </c>
      <c r="G21" s="23"/>
      <c r="H21" s="84">
        <f>SUM(H6:H19)</f>
        <v>32956.073946816083</v>
      </c>
      <c r="I21" s="23"/>
      <c r="J21" s="84">
        <f>SUM(J6:J19)</f>
        <v>15489.219085991237</v>
      </c>
      <c r="K21" s="23"/>
      <c r="L21" s="84">
        <f>SUM(L6:L19)</f>
        <v>116727.75678750908</v>
      </c>
      <c r="M21" s="23"/>
      <c r="N21" s="84">
        <f>SUM(N6:N19)</f>
        <v>4540.5601796836254</v>
      </c>
      <c r="O21" s="23"/>
      <c r="P21" s="244" t="s">
        <v>11</v>
      </c>
      <c r="Q21" s="244"/>
      <c r="R21" s="150">
        <f>+F21*R5</f>
        <v>15785.670090768353</v>
      </c>
      <c r="S21" s="55">
        <f>+J21-R21</f>
        <v>-296.4510047771164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4" t="s">
        <v>10</v>
      </c>
      <c r="Q22" s="244"/>
      <c r="R22" s="150">
        <f>+F21*R6</f>
        <v>116560.38211749159</v>
      </c>
      <c r="S22" s="55">
        <f>+L21-R22</f>
        <v>167.37467001748155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4" t="s">
        <v>123</v>
      </c>
      <c r="Q23" s="244"/>
      <c r="R23" s="150">
        <f>+F21*R7</f>
        <v>3780.7315015809809</v>
      </c>
      <c r="S23" s="55">
        <f>+N21-R23</f>
        <v>759.82867810264452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169713.61000000004</v>
      </c>
      <c r="S24" s="153">
        <f>SUM(S20:S23)</f>
        <v>-2.2737367544323206E-11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16647</v>
      </c>
      <c r="G27" s="6"/>
      <c r="H27" s="79">
        <f t="shared" ref="H27:H29" si="1">F27*R$4</f>
        <v>3294.4906260156663</v>
      </c>
      <c r="I27" s="8"/>
      <c r="J27" s="85">
        <f t="shared" ref="J27:J29" si="2">F27*R$5</f>
        <v>1548.39703192349</v>
      </c>
      <c r="K27" s="8"/>
      <c r="L27" s="79">
        <f t="shared" ref="L27:L29" si="3">F27*R$6</f>
        <v>11433.265022822165</v>
      </c>
      <c r="M27" s="8"/>
      <c r="N27" s="79">
        <f t="shared" ref="N27:N29" si="4">F27*R$7</f>
        <v>370.84731923867849</v>
      </c>
      <c r="O27" s="8"/>
    </row>
    <row r="28" spans="1:19" x14ac:dyDescent="0.25">
      <c r="B28" t="s">
        <v>32</v>
      </c>
      <c r="F28" s="79">
        <f>'2023 NUC Rent'!K9</f>
        <v>5483</v>
      </c>
      <c r="G28" s="6"/>
      <c r="H28" s="79">
        <f t="shared" si="1"/>
        <v>1085.1019464434371</v>
      </c>
      <c r="I28" s="8"/>
      <c r="J28" s="85">
        <f t="shared" si="2"/>
        <v>509.99344783062986</v>
      </c>
      <c r="K28" s="8"/>
      <c r="L28" s="79">
        <f t="shared" si="3"/>
        <v>3765.7591229731443</v>
      </c>
      <c r="M28" s="8"/>
      <c r="N28" s="79">
        <f t="shared" si="4"/>
        <v>122.14548275278874</v>
      </c>
      <c r="O28" s="8"/>
    </row>
    <row r="29" spans="1:19" x14ac:dyDescent="0.25">
      <c r="B29" t="s">
        <v>47</v>
      </c>
      <c r="F29" s="79">
        <f>'2023 NUC Rent'!K10</f>
        <v>8702</v>
      </c>
      <c r="G29" s="6"/>
      <c r="H29" s="79">
        <f t="shared" si="1"/>
        <v>1722.1515845250392</v>
      </c>
      <c r="I29" s="8"/>
      <c r="J29" s="85">
        <f t="shared" si="2"/>
        <v>809.4041552110416</v>
      </c>
      <c r="K29" s="8"/>
      <c r="L29" s="79">
        <f t="shared" si="3"/>
        <v>5976.5887083918115</v>
      </c>
      <c r="M29" s="8"/>
      <c r="N29" s="79">
        <f t="shared" si="4"/>
        <v>193.8555518721079</v>
      </c>
      <c r="O29" s="8"/>
    </row>
    <row r="30" spans="1:19" x14ac:dyDescent="0.25">
      <c r="B30" t="s">
        <v>48</v>
      </c>
      <c r="F30" s="79">
        <f>'2023 NUC Rent'!K11</f>
        <v>5247</v>
      </c>
      <c r="G30" s="6"/>
      <c r="H30" s="79">
        <f>F30*R$4</f>
        <v>1038.396847161903</v>
      </c>
      <c r="I30" s="8"/>
      <c r="J30" s="85">
        <f>F30*R$5</f>
        <v>488.04224343740924</v>
      </c>
      <c r="K30" s="8"/>
      <c r="L30" s="79">
        <f>F30*R$6</f>
        <v>3603.6728284224127</v>
      </c>
      <c r="M30" s="8"/>
      <c r="N30" s="79">
        <f>F30*R$7</f>
        <v>116.88808097827511</v>
      </c>
      <c r="O30" s="8"/>
    </row>
    <row r="31" spans="1:19" x14ac:dyDescent="0.25">
      <c r="B31" t="s">
        <v>41</v>
      </c>
      <c r="F31" s="79">
        <f>'2023 NUC Rent'!K12</f>
        <v>4957</v>
      </c>
      <c r="G31" s="6"/>
      <c r="H31" s="79">
        <f>F31*R$4</f>
        <v>981.00498787527226</v>
      </c>
      <c r="I31" s="8"/>
      <c r="J31" s="79">
        <f>F31*R$5</f>
        <v>461.06830583557036</v>
      </c>
      <c r="K31" s="8"/>
      <c r="L31" s="79">
        <f>F31*R$6</f>
        <v>3404.4989918982083</v>
      </c>
      <c r="M31" s="8"/>
      <c r="N31" s="79">
        <f>F31*R$7</f>
        <v>110.42771439094906</v>
      </c>
      <c r="O31" s="8"/>
    </row>
    <row r="32" spans="1:19" x14ac:dyDescent="0.25">
      <c r="B32" t="s">
        <v>31</v>
      </c>
      <c r="F32" s="79">
        <f>'2023 NUC Rent'!K13</f>
        <v>13753</v>
      </c>
      <c r="G32" s="6"/>
      <c r="H32" s="79">
        <f>F32*R$4</f>
        <v>2721.7594509277019</v>
      </c>
      <c r="I32" s="8"/>
      <c r="J32" s="79">
        <f>F32*R$5</f>
        <v>1279.2157373727252</v>
      </c>
      <c r="K32" s="8"/>
      <c r="L32" s="79">
        <f>F32*R$6</f>
        <v>9445.6474955771755</v>
      </c>
      <c r="M32" s="8"/>
      <c r="N32" s="79">
        <f>F32*R$7</f>
        <v>306.37731612239713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54789</v>
      </c>
      <c r="G34" s="20"/>
      <c r="H34" s="84">
        <f>SUM(H27:H32)</f>
        <v>10842.905442949021</v>
      </c>
      <c r="I34" s="23"/>
      <c r="J34" s="84">
        <f>SUM(J27:J32)</f>
        <v>5096.1209216108664</v>
      </c>
      <c r="K34" s="23"/>
      <c r="L34" s="84">
        <f>SUM(L27:L32)</f>
        <v>37629.432170084918</v>
      </c>
      <c r="M34" s="23"/>
      <c r="N34" s="84">
        <f>SUM(N27:N32)</f>
        <v>1220.5414653551964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216</v>
      </c>
    </row>
    <row r="13" spans="1:12" x14ac:dyDescent="0.25">
      <c r="I13"/>
      <c r="J13" t="s">
        <v>192</v>
      </c>
      <c r="K13" s="8" t="s">
        <v>51</v>
      </c>
      <c r="L13" t="s">
        <v>167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271</v>
      </c>
      <c r="T13" s="24" t="s">
        <v>259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236</v>
      </c>
      <c r="T13" s="24" t="s">
        <v>216</v>
      </c>
      <c r="V13"/>
      <c r="X13"/>
      <c r="Z13" s="8" t="s">
        <v>51</v>
      </c>
      <c r="AA13" t="s">
        <v>167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38" activePane="bottomRight" state="frozen"/>
      <selection pane="topRight" activeCell="E1" sqref="E1"/>
      <selection pane="bottomLeft" activeCell="A5" sqref="A5"/>
      <selection pane="bottomRight" activeCell="P61" sqref="P61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Mar.23 billing =Mar invoices = Feb Flow  data= Feb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294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111135.78</v>
      </c>
      <c r="G6" s="60"/>
      <c r="H6" s="85">
        <f>ROUNDUP(IF(N6=2500,(F6-L6-N6)*(Q4/(Q8-Q6-Q7)),(F6*R4)),0)</f>
        <v>58467</v>
      </c>
      <c r="I6" s="60"/>
      <c r="J6" s="227">
        <f>ROUNDUP(IF(SUM(H6,L6,N6,F6*R5)&gt;F6,((F6-L6-N6)*(Q5/(Q8-Q6-Q7))),(F6*R5)),0)</f>
        <v>35475</v>
      </c>
      <c r="K6" s="60"/>
      <c r="L6" s="85">
        <f>ROUNDUP(IF((F6*R$6&lt;2500),(2500),F6*R$6),0)</f>
        <v>7038</v>
      </c>
      <c r="M6" s="60"/>
      <c r="N6" s="85">
        <f>ROUNDUP(IF((F6*R$7&lt;2500),(2500),F6*R$7),0)</f>
        <v>10158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11196.16</v>
      </c>
      <c r="G7" s="60"/>
      <c r="H7" s="85">
        <f>ROUNDUP(F7*R$4,0)</f>
        <v>5891</v>
      </c>
      <c r="I7" s="60"/>
      <c r="J7" s="227">
        <f>ROUNDUP(F7*R$5,0)</f>
        <v>3574</v>
      </c>
      <c r="K7" s="60"/>
      <c r="L7" s="85">
        <f>ROUNDUP(F7*R$6,0)</f>
        <v>709</v>
      </c>
      <c r="M7" s="60"/>
      <c r="N7" s="85">
        <f>ROUNDUP(F7*R$7,0)</f>
        <v>1024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8900.4500000000007</v>
      </c>
      <c r="G9" s="60"/>
      <c r="H9" s="85">
        <v>0</v>
      </c>
      <c r="I9" s="60"/>
      <c r="J9" s="227">
        <v>0</v>
      </c>
      <c r="K9" s="60"/>
      <c r="L9" s="85">
        <f>ROUNDUP(F9,0)</f>
        <v>8901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2439.2399999999998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8491.0553735599642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10930.295373559964</v>
      </c>
      <c r="G13" s="60"/>
      <c r="H13" s="85">
        <f>ROUNDUP(F13*R$4,0)</f>
        <v>5751</v>
      </c>
      <c r="I13" s="60"/>
      <c r="J13" s="227">
        <f>ROUNDUP(F13*R$5,0)</f>
        <v>3489</v>
      </c>
      <c r="K13" s="60"/>
      <c r="L13" s="85">
        <f>ROUNDUP(F13*R$6,0)</f>
        <v>693</v>
      </c>
      <c r="M13" s="60"/>
      <c r="N13" s="85">
        <f>ROUNDUP(F13*R$7,0)</f>
        <v>999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Charges'!L31</f>
        <v>2998.86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6527.9980407774074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9526.858040777408</v>
      </c>
      <c r="G17" s="60"/>
      <c r="H17" s="85">
        <f>ROUNDUP(F17*R$4,0)</f>
        <v>5012</v>
      </c>
      <c r="I17" s="60"/>
      <c r="J17" s="227">
        <f>ROUNDUP(F17*R$5,0)</f>
        <v>3042</v>
      </c>
      <c r="K17" s="60"/>
      <c r="L17" s="85">
        <f>ROUNDUP(F17*R$6,0)</f>
        <v>604</v>
      </c>
      <c r="M17" s="60"/>
      <c r="N17" s="85">
        <f>ROUNDUP(F17*R$7,0)</f>
        <v>871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57568.738125678545</v>
      </c>
      <c r="G19" s="60"/>
      <c r="H19" s="85">
        <f>ROUNDUP(F19*R$4,0)</f>
        <v>30286</v>
      </c>
      <c r="I19" s="60"/>
      <c r="J19" s="227">
        <f>ROUNDUP(F19*R$5,0)</f>
        <v>18377</v>
      </c>
      <c r="K19" s="60"/>
      <c r="L19" s="85">
        <f>ROUNDUP(F19*R$6,0)</f>
        <v>3646</v>
      </c>
      <c r="M19" s="60"/>
      <c r="N19" s="85">
        <f>ROUNDUP(F19*R$7,0)</f>
        <v>5262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Charges'!L39</f>
        <v>2691.79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8322.3688701506198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11014.158870150619</v>
      </c>
      <c r="G23" s="60"/>
      <c r="H23" s="85">
        <f>ROUNDUP(F23*R$4,0)</f>
        <v>5795</v>
      </c>
      <c r="I23" s="60"/>
      <c r="J23" s="227">
        <f>ROUNDUP(F23*R$5,0)</f>
        <v>3516</v>
      </c>
      <c r="K23" s="60"/>
      <c r="L23" s="85">
        <f>ROUNDUP(F23*R$6,0)</f>
        <v>698</v>
      </c>
      <c r="M23" s="60"/>
      <c r="N23" s="85">
        <f>ROUNDUP(F23*R$7,0)</f>
        <v>1007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Charges'!L45</f>
        <v>19091.7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7490.0420115059533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26581.742011505954</v>
      </c>
      <c r="G27" s="60"/>
      <c r="H27" s="85">
        <f>ROUNDUP(F27*R$4,0)</f>
        <v>13985</v>
      </c>
      <c r="I27" s="60"/>
      <c r="J27" s="227">
        <f>ROUNDUP(F27*R$5,0)</f>
        <v>8485</v>
      </c>
      <c r="K27" s="60"/>
      <c r="L27" s="85">
        <f>ROUNDUP(F27*R$6,0)</f>
        <v>1684</v>
      </c>
      <c r="M27" s="60"/>
      <c r="N27" s="85">
        <f>ROUNDUP(F27*R$7,0)</f>
        <v>2430</v>
      </c>
    </row>
    <row r="28" spans="2:22" x14ac:dyDescent="0.25">
      <c r="B28" t="s">
        <v>25</v>
      </c>
      <c r="F28" s="85">
        <f>'Allocation Charges'!L13</f>
        <v>8486.494979509891</v>
      </c>
      <c r="G28" s="60"/>
      <c r="H28" s="85">
        <f>ROUNDUP(F28*R$4,0)</f>
        <v>4465</v>
      </c>
      <c r="I28" s="60"/>
      <c r="J28" s="227">
        <f>ROUNDUP(F28*R$5,0)</f>
        <v>2709</v>
      </c>
      <c r="K28" s="60"/>
      <c r="L28" s="85">
        <f>ROUNDUP(F28*R$6,0)</f>
        <v>538</v>
      </c>
      <c r="M28" s="60"/>
      <c r="N28" s="85">
        <f>ROUNDUP(F28*R$7,0)</f>
        <v>776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Charges'!L51</f>
        <v>762.24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137.36126656841671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899.60126656841669</v>
      </c>
      <c r="G32" s="60"/>
      <c r="H32" s="85">
        <f>ROUNDUP(F32*R$4,0)</f>
        <v>474</v>
      </c>
      <c r="I32" s="60"/>
      <c r="J32" s="227">
        <f>ROUNDUP(F32*R$5,0)</f>
        <v>288</v>
      </c>
      <c r="K32" s="60"/>
      <c r="L32" s="85">
        <f>ROUNDUP(F32*R$6,0)</f>
        <v>57</v>
      </c>
      <c r="M32" s="60"/>
      <c r="N32" s="85">
        <f>ROUNDUP(F32*R$7,0)</f>
        <v>83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Charges'!L57</f>
        <v>30502.720000000001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9307.0231382525744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39809.743138252576</v>
      </c>
      <c r="G36" s="60"/>
      <c r="H36" s="85">
        <f>ROUNDUP(F36*R$4,0)</f>
        <v>20944</v>
      </c>
      <c r="I36" s="60"/>
      <c r="J36" s="227">
        <f>ROUNDUP(F36*R$5,0)</f>
        <v>12708</v>
      </c>
      <c r="K36" s="60"/>
      <c r="L36" s="85">
        <f>ROUNDUP(F36*R$6,0)</f>
        <v>2521</v>
      </c>
      <c r="M36" s="60"/>
      <c r="N36" s="85">
        <f>ROUNDUP(F36*R$7,0)</f>
        <v>3639</v>
      </c>
    </row>
    <row r="37" spans="1:17" x14ac:dyDescent="0.25">
      <c r="B37" t="s">
        <v>201</v>
      </c>
      <c r="F37" s="85">
        <f>'Allocation Charges'!L16</f>
        <v>2356.35</v>
      </c>
      <c r="G37" s="60"/>
      <c r="H37" s="85">
        <f>ROUNDUP(F37*R$4,0)</f>
        <v>1240</v>
      </c>
      <c r="I37" s="60"/>
      <c r="J37" s="227">
        <f>ROUNDUP(F37*R$5,0)</f>
        <v>753</v>
      </c>
      <c r="K37" s="60"/>
      <c r="L37" s="85">
        <f>ROUNDUP(F37*R$6,0)</f>
        <v>150</v>
      </c>
      <c r="M37" s="60"/>
      <c r="N37" s="85">
        <f>ROUNDUP(F37*R$7,0)</f>
        <v>216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3933.9717300128273</v>
      </c>
      <c r="G39" s="60"/>
      <c r="H39" s="85">
        <f>ROUNDUP(F39*R$4,0)</f>
        <v>2070</v>
      </c>
      <c r="I39" s="60"/>
      <c r="J39" s="227">
        <f>ROUNDUP(F39*R$5,0)</f>
        <v>1256</v>
      </c>
      <c r="K39" s="60"/>
      <c r="L39" s="85">
        <f>ROUNDUP(F39*R$6,0)</f>
        <v>250</v>
      </c>
      <c r="M39" s="60"/>
      <c r="N39" s="85">
        <f>ROUNDUP(F39*R$7,0)</f>
        <v>360</v>
      </c>
    </row>
    <row r="40" spans="1:17" x14ac:dyDescent="0.25">
      <c r="B40" t="s">
        <v>30</v>
      </c>
      <c r="F40" s="85">
        <f>'Allocation Charges'!L19</f>
        <v>4106.353251492862</v>
      </c>
      <c r="G40" s="60"/>
      <c r="H40" s="85">
        <f>ROUNDUP(F40*R$4,0)</f>
        <v>2161</v>
      </c>
      <c r="I40" s="60"/>
      <c r="J40" s="227">
        <f>ROUNDUP(F40*R$5,0)</f>
        <v>1311</v>
      </c>
      <c r="K40" s="60"/>
      <c r="L40" s="85">
        <f>ROUNDUP(F40*R$6,0)</f>
        <v>261</v>
      </c>
      <c r="M40" s="60"/>
      <c r="N40" s="85">
        <f>ROUNDUP(F40*R$7,0)</f>
        <v>376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306446.69678750908</v>
      </c>
      <c r="G42" s="60"/>
      <c r="H42" s="224">
        <f>SUM(H6:H41)</f>
        <v>156541</v>
      </c>
      <c r="I42" s="60"/>
      <c r="J42" s="224">
        <f>SUM(J6:J41)</f>
        <v>94983</v>
      </c>
      <c r="K42" s="60"/>
      <c r="L42" s="224">
        <f>SUM(L6:L41)</f>
        <v>27750</v>
      </c>
      <c r="M42" s="60"/>
      <c r="N42" s="224">
        <f>SUM(N6:N41)</f>
        <v>27201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11433.265022822165</v>
      </c>
      <c r="G46" s="8"/>
      <c r="H46" s="85">
        <f t="shared" ref="H46:H51" si="0">ROUNDUP(F46*R$4,0)</f>
        <v>6015</v>
      </c>
      <c r="I46" s="8"/>
      <c r="J46" s="227">
        <f t="shared" ref="J46:J51" si="1">ROUNDUP(F46*R$5,0)</f>
        <v>3650</v>
      </c>
      <c r="K46" s="8"/>
      <c r="L46" s="85">
        <f t="shared" ref="L46:L51" si="2">ROUNDUP(F46*R$6,0)</f>
        <v>724</v>
      </c>
      <c r="M46" s="8"/>
      <c r="N46" s="85">
        <f t="shared" ref="N46:N51" si="3">ROUNDUP(F46*R$7,0)</f>
        <v>1045</v>
      </c>
    </row>
    <row r="47" spans="1:17" x14ac:dyDescent="0.25">
      <c r="B47" t="s">
        <v>102</v>
      </c>
      <c r="F47" s="85">
        <f>'Allocation Charges'!L28</f>
        <v>3765.7591229731443</v>
      </c>
      <c r="G47" s="8"/>
      <c r="H47" s="85">
        <f t="shared" si="0"/>
        <v>1982</v>
      </c>
      <c r="I47" s="8"/>
      <c r="J47" s="227">
        <f t="shared" si="1"/>
        <v>1203</v>
      </c>
      <c r="K47" s="8"/>
      <c r="L47" s="85">
        <f t="shared" si="2"/>
        <v>239</v>
      </c>
      <c r="M47" s="8"/>
      <c r="N47" s="85">
        <f t="shared" si="3"/>
        <v>345</v>
      </c>
    </row>
    <row r="48" spans="1:17" x14ac:dyDescent="0.25">
      <c r="B48" t="s">
        <v>103</v>
      </c>
      <c r="F48" s="85">
        <f>'Allocation Charges'!L29</f>
        <v>5976.5887083918115</v>
      </c>
      <c r="G48" s="8"/>
      <c r="H48" s="85">
        <f t="shared" si="0"/>
        <v>3145</v>
      </c>
      <c r="I48" s="8"/>
      <c r="J48" s="227">
        <f t="shared" si="1"/>
        <v>1908</v>
      </c>
      <c r="K48" s="8"/>
      <c r="L48" s="85">
        <f t="shared" si="2"/>
        <v>379</v>
      </c>
      <c r="M48" s="8"/>
      <c r="N48" s="85">
        <f t="shared" si="3"/>
        <v>547</v>
      </c>
    </row>
    <row r="49" spans="1:14" x14ac:dyDescent="0.25">
      <c r="B49" t="s">
        <v>104</v>
      </c>
      <c r="F49" s="85">
        <f>'Allocation Charges'!L30</f>
        <v>3603.6728284224127</v>
      </c>
      <c r="G49" s="8"/>
      <c r="H49" s="85">
        <f t="shared" si="0"/>
        <v>1896</v>
      </c>
      <c r="I49" s="8"/>
      <c r="J49" s="227">
        <f t="shared" si="1"/>
        <v>1151</v>
      </c>
      <c r="K49" s="8"/>
      <c r="L49" s="85">
        <f t="shared" si="2"/>
        <v>229</v>
      </c>
      <c r="M49" s="8"/>
      <c r="N49" s="85">
        <f t="shared" si="3"/>
        <v>330</v>
      </c>
    </row>
    <row r="50" spans="1:14" x14ac:dyDescent="0.25">
      <c r="B50" t="s">
        <v>105</v>
      </c>
      <c r="F50" s="85">
        <f>'Allocation Charges'!L31</f>
        <v>3404.4989918982083</v>
      </c>
      <c r="G50" s="8"/>
      <c r="H50" s="85">
        <f t="shared" si="0"/>
        <v>1792</v>
      </c>
      <c r="I50" s="8"/>
      <c r="J50" s="227">
        <f t="shared" si="1"/>
        <v>1087</v>
      </c>
      <c r="K50" s="8"/>
      <c r="L50" s="85">
        <f t="shared" si="2"/>
        <v>216</v>
      </c>
      <c r="M50" s="8"/>
      <c r="N50" s="85">
        <f t="shared" si="3"/>
        <v>312</v>
      </c>
    </row>
    <row r="51" spans="1:14" x14ac:dyDescent="0.25">
      <c r="B51" t="s">
        <v>106</v>
      </c>
      <c r="F51" s="85">
        <f>'Allocation Charges'!L32</f>
        <v>9445.6474955771755</v>
      </c>
      <c r="G51" s="8"/>
      <c r="H51" s="85">
        <f t="shared" si="0"/>
        <v>4970</v>
      </c>
      <c r="I51" s="8"/>
      <c r="J51" s="227">
        <f t="shared" si="1"/>
        <v>3016</v>
      </c>
      <c r="K51" s="8"/>
      <c r="L51" s="85">
        <f t="shared" si="2"/>
        <v>599</v>
      </c>
      <c r="M51" s="8"/>
      <c r="N51" s="85">
        <f t="shared" si="3"/>
        <v>864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37629.432170084918</v>
      </c>
      <c r="G53" s="8"/>
      <c r="H53" s="224">
        <f>SUM(H46:H51)</f>
        <v>19800</v>
      </c>
      <c r="I53" s="8"/>
      <c r="J53" s="225">
        <f>SUM(J46:J51)</f>
        <v>12015</v>
      </c>
      <c r="K53" s="8"/>
      <c r="L53" s="224">
        <f>SUM(L46:L51)</f>
        <v>2386</v>
      </c>
      <c r="M53" s="8"/>
      <c r="N53" s="224">
        <f>SUM(N46:N51)</f>
        <v>3443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25112</v>
      </c>
      <c r="G57" s="8"/>
      <c r="H57" s="85">
        <v>0</v>
      </c>
      <c r="I57" s="8"/>
      <c r="J57" s="227">
        <f>ROUNDUP('Commodity OK'!F24+'Commodity OK'!F25,0)</f>
        <v>25112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394250</v>
      </c>
      <c r="G58" s="120"/>
      <c r="H58" s="85">
        <f>ROUNDUP('Commodity OK'!Q6-H59,0)</f>
        <v>211486</v>
      </c>
      <c r="I58" s="120"/>
      <c r="J58" s="227">
        <f>ROUNDUP('Commodity OK'!Q8-J59-J57,0)</f>
        <v>140088</v>
      </c>
      <c r="K58" s="120"/>
      <c r="L58" s="227">
        <f>ROUNDUP('Commodity OK'!Q7-L59,0)</f>
        <v>8418</v>
      </c>
      <c r="M58" s="120"/>
      <c r="N58" s="227">
        <f>ROUNDUP('Commodity OK'!Q9-N59-N60,0)</f>
        <v>34258</v>
      </c>
    </row>
    <row r="59" spans="1:14" x14ac:dyDescent="0.25">
      <c r="A59" s="16"/>
      <c r="B59" t="s">
        <v>109</v>
      </c>
      <c r="F59" s="85">
        <f>SUM(H59:N59)</f>
        <v>25739</v>
      </c>
      <c r="G59" s="120"/>
      <c r="H59" s="85">
        <f>ROUNDUP(('Commodity OK'!F42-'Commodity OK'!F39)*'Commodity OK'!O6,0)</f>
        <v>12978</v>
      </c>
      <c r="I59" s="120"/>
      <c r="J59" s="227">
        <f>ROUNDUP(('Commodity OK'!F42-'Commodity OK'!F39)*'Commodity OK'!O8,0)</f>
        <v>10138</v>
      </c>
      <c r="K59" s="120"/>
      <c r="L59" s="227">
        <f>ROUNDUP(('Commodity OK'!F42-'Commodity OK'!F39)*'Commodity OK'!O7,0)</f>
        <v>517</v>
      </c>
      <c r="M59" s="120"/>
      <c r="N59" s="227">
        <f>ROUNDUP(('Commodity OK'!F42-'Commodity OK'!F39)*'Commodity OK'!O9,0)</f>
        <v>2106</v>
      </c>
    </row>
    <row r="60" spans="1:14" x14ac:dyDescent="0.25">
      <c r="A60" s="16"/>
      <c r="B60" t="s">
        <v>114</v>
      </c>
      <c r="F60" s="85">
        <f>SUM(H60:N60)</f>
        <v>54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54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445155</v>
      </c>
      <c r="G62" s="226"/>
      <c r="H62" s="224">
        <f>SUM(H57:H60)</f>
        <v>224464</v>
      </c>
      <c r="I62" s="226"/>
      <c r="J62" s="224">
        <f>SUM(J57:J60)</f>
        <v>175338</v>
      </c>
      <c r="K62" s="226"/>
      <c r="L62" s="224">
        <f>SUM(L57:L60)</f>
        <v>8935</v>
      </c>
      <c r="M62" s="226"/>
      <c r="N62" s="225">
        <f>SUM(N57:N60)</f>
        <v>36418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789231.12895759405</v>
      </c>
      <c r="G66" s="120"/>
      <c r="H66" s="224">
        <f>H53+H42+H62</f>
        <v>400805</v>
      </c>
      <c r="I66" s="120"/>
      <c r="J66" s="225">
        <f>J53+J42+J62</f>
        <v>282336</v>
      </c>
      <c r="K66" s="120"/>
      <c r="L66" s="225">
        <f>L53+L42+L62</f>
        <v>39071</v>
      </c>
      <c r="M66" s="120"/>
      <c r="N66" s="225">
        <f>N53+N42+N62</f>
        <v>67062</v>
      </c>
    </row>
    <row r="68" spans="4:14" x14ac:dyDescent="0.25">
      <c r="F68" s="6">
        <f>SUM(H66:N66)</f>
        <v>789274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topLeftCell="A18" zoomScaleNormal="100" workbookViewId="0">
      <selection activeCell="F41" sqref="F41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299</v>
      </c>
      <c r="G2" s="97"/>
      <c r="H2" s="97" t="s">
        <v>300</v>
      </c>
      <c r="I2" s="99"/>
      <c r="J2" s="54"/>
    </row>
    <row r="3" spans="2:21" x14ac:dyDescent="0.25">
      <c r="M3" s="101" t="s">
        <v>301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302</v>
      </c>
      <c r="N4" s="19"/>
      <c r="O4" s="19" t="s">
        <v>79</v>
      </c>
      <c r="P4" s="19"/>
      <c r="Q4" s="19" t="s">
        <v>80</v>
      </c>
      <c r="R4" s="19"/>
      <c r="S4" s="177" t="s">
        <v>303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298</v>
      </c>
      <c r="D6" s="88"/>
      <c r="E6" s="27"/>
      <c r="F6" s="218"/>
      <c r="H6" s="6" t="e">
        <f t="shared" ref="H6:H16" si="0">F6/D6</f>
        <v>#DIV/0!</v>
      </c>
      <c r="K6" t="s">
        <v>33</v>
      </c>
      <c r="M6" s="132">
        <v>718545</v>
      </c>
      <c r="O6" s="25">
        <f>+M6/$M$11</f>
        <v>0.50423856674690004</v>
      </c>
      <c r="Q6" s="6">
        <f>O6*F44</f>
        <v>224463.32078785411</v>
      </c>
      <c r="S6" s="132">
        <v>787296</v>
      </c>
      <c r="U6" s="110" t="s">
        <v>153</v>
      </c>
    </row>
    <row r="7" spans="2:21" x14ac:dyDescent="0.25">
      <c r="C7" s="127" t="s">
        <v>142</v>
      </c>
      <c r="D7" s="88">
        <f>1749+6775</f>
        <v>8524</v>
      </c>
      <c r="E7" s="27"/>
      <c r="F7" s="218">
        <f>2104.6+1418</f>
        <v>3522.6</v>
      </c>
      <c r="H7" s="6">
        <f t="shared" si="0"/>
        <v>0.41325668700140777</v>
      </c>
      <c r="K7" t="s">
        <v>82</v>
      </c>
      <c r="M7" s="132">
        <v>28601</v>
      </c>
      <c r="O7" s="25">
        <f t="shared" ref="O7:O9" si="1">+M7/$M$11</f>
        <v>2.0070736345709855E-2</v>
      </c>
      <c r="Q7" s="6">
        <f>O7*F44</f>
        <v>8934.5488979165057</v>
      </c>
      <c r="S7" s="132">
        <v>26147</v>
      </c>
    </row>
    <row r="8" spans="2:21" x14ac:dyDescent="0.25">
      <c r="C8" s="127" t="s">
        <v>165</v>
      </c>
      <c r="D8" s="88">
        <f>1542-106</f>
        <v>1436</v>
      </c>
      <c r="E8" s="27"/>
      <c r="F8" s="218">
        <f>1341.06+540.51</f>
        <v>1881.57</v>
      </c>
      <c r="H8" s="6">
        <f t="shared" si="0"/>
        <v>1.3102855153203343</v>
      </c>
      <c r="K8" t="s">
        <v>83</v>
      </c>
      <c r="M8" s="132">
        <v>561285</v>
      </c>
      <c r="O8" s="25">
        <f t="shared" si="1"/>
        <v>0.39388144644598988</v>
      </c>
      <c r="Q8" s="6">
        <f>O8*F44</f>
        <v>175337.51540740064</v>
      </c>
      <c r="S8" s="132">
        <v>813666</v>
      </c>
    </row>
    <row r="9" spans="2:21" x14ac:dyDescent="0.25">
      <c r="C9" s="127" t="s">
        <v>64</v>
      </c>
      <c r="D9" s="88">
        <v>45513</v>
      </c>
      <c r="E9" s="27"/>
      <c r="F9" s="218">
        <v>18999.03</v>
      </c>
      <c r="H9" s="6">
        <f t="shared" si="0"/>
        <v>0.41744182980686834</v>
      </c>
      <c r="K9" t="s">
        <v>110</v>
      </c>
      <c r="M9" s="132">
        <v>116579</v>
      </c>
      <c r="O9" s="25">
        <f t="shared" si="1"/>
        <v>8.1809250461400265E-2</v>
      </c>
      <c r="Q9" s="6">
        <f>O9*F44</f>
        <v>36417.634906828716</v>
      </c>
      <c r="S9" s="132">
        <v>107051</v>
      </c>
    </row>
    <row r="10" spans="2:21" x14ac:dyDescent="0.25">
      <c r="C10" s="127" t="s">
        <v>65</v>
      </c>
      <c r="D10" s="88">
        <v>351</v>
      </c>
      <c r="E10" s="27"/>
      <c r="F10" s="218">
        <v>381.3</v>
      </c>
      <c r="H10" s="6">
        <f t="shared" si="0"/>
        <v>1.0863247863247865</v>
      </c>
    </row>
    <row r="11" spans="2:21" x14ac:dyDescent="0.25">
      <c r="C11" s="127" t="s">
        <v>66</v>
      </c>
      <c r="D11" s="88">
        <v>2405</v>
      </c>
      <c r="E11" s="27"/>
      <c r="F11" s="218">
        <v>1541.19</v>
      </c>
      <c r="H11" s="6">
        <f t="shared" si="0"/>
        <v>0.64082744282744286</v>
      </c>
      <c r="M11" s="28">
        <f>SUM(M6:M10)</f>
        <v>1425010</v>
      </c>
      <c r="N11" s="32"/>
      <c r="O11" s="33">
        <f>SUM(O6:O9)</f>
        <v>1</v>
      </c>
      <c r="P11" s="32"/>
      <c r="Q11" s="30">
        <f>SUM(Q6:Q9)</f>
        <v>445153.01999999996</v>
      </c>
      <c r="R11" s="32"/>
      <c r="S11" s="28">
        <f>SUM(S6:S10)</f>
        <v>1734160</v>
      </c>
    </row>
    <row r="12" spans="2:21" x14ac:dyDescent="0.25">
      <c r="C12" s="127" t="s">
        <v>67</v>
      </c>
      <c r="D12" s="88">
        <v>1662</v>
      </c>
      <c r="E12" s="27"/>
      <c r="F12" s="218">
        <v>1016.69</v>
      </c>
      <c r="H12" s="6">
        <f t="shared" si="0"/>
        <v>0.61172683513838755</v>
      </c>
      <c r="K12" s="222"/>
    </row>
    <row r="13" spans="2:21" x14ac:dyDescent="0.25">
      <c r="C13" s="127" t="s">
        <v>68</v>
      </c>
      <c r="D13" s="88">
        <v>228</v>
      </c>
      <c r="E13" s="27"/>
      <c r="F13" s="218">
        <v>286.05</v>
      </c>
      <c r="H13" s="6">
        <f t="shared" si="0"/>
        <v>1.2546052631578948</v>
      </c>
      <c r="M13" t="s">
        <v>203</v>
      </c>
      <c r="Q13" s="6"/>
    </row>
    <row r="14" spans="2:21" x14ac:dyDescent="0.25">
      <c r="C14" s="127" t="s">
        <v>69</v>
      </c>
      <c r="D14" s="88">
        <v>36</v>
      </c>
      <c r="E14" s="27"/>
      <c r="F14" s="218">
        <v>154.59</v>
      </c>
      <c r="H14" s="6">
        <f t="shared" si="0"/>
        <v>4.2941666666666665</v>
      </c>
      <c r="O14" t="s">
        <v>212</v>
      </c>
    </row>
    <row r="15" spans="2:21" x14ac:dyDescent="0.25">
      <c r="C15" s="127" t="s">
        <v>70</v>
      </c>
      <c r="D15" s="88">
        <v>5627</v>
      </c>
      <c r="E15" s="27"/>
      <c r="F15" s="218">
        <v>2570.3000000000002</v>
      </c>
      <c r="H15" s="6">
        <f t="shared" si="0"/>
        <v>0.45677981162253423</v>
      </c>
      <c r="O15" s="7" t="s">
        <v>208</v>
      </c>
      <c r="Q15" s="134">
        <v>345476.08</v>
      </c>
      <c r="S15" t="s">
        <v>238</v>
      </c>
    </row>
    <row r="16" spans="2:21" x14ac:dyDescent="0.25">
      <c r="C16" s="127" t="s">
        <v>71</v>
      </c>
      <c r="D16" s="88">
        <v>206</v>
      </c>
      <c r="E16" s="27"/>
      <c r="F16" s="218">
        <v>261.39</v>
      </c>
      <c r="H16" s="6">
        <f t="shared" si="0"/>
        <v>1.2688834951456309</v>
      </c>
      <c r="O16" s="7" t="s">
        <v>210</v>
      </c>
      <c r="Q16" s="102">
        <v>5976.73</v>
      </c>
      <c r="S16" t="s">
        <v>238</v>
      </c>
    </row>
    <row r="17" spans="3:24" x14ac:dyDescent="0.25">
      <c r="C17" s="127" t="s">
        <v>181</v>
      </c>
      <c r="D17" s="88">
        <v>85</v>
      </c>
      <c r="E17" s="27"/>
      <c r="F17" s="218">
        <v>494.7</v>
      </c>
      <c r="H17" s="6">
        <f>F17/D17</f>
        <v>5.82</v>
      </c>
      <c r="J17" s="6"/>
      <c r="O17" s="7" t="s">
        <v>211</v>
      </c>
      <c r="Q17" s="102">
        <v>9164.16</v>
      </c>
      <c r="S17" t="s">
        <v>238</v>
      </c>
    </row>
    <row r="18" spans="3:24" ht="15.75" thickBot="1" x14ac:dyDescent="0.3">
      <c r="C18" s="16" t="s">
        <v>163</v>
      </c>
      <c r="D18" s="28">
        <f>SUM(D6:D17)</f>
        <v>66073</v>
      </c>
      <c r="E18" s="31"/>
      <c r="F18" s="30">
        <f>SUM(F6:F17)</f>
        <v>31109.409999999993</v>
      </c>
      <c r="G18" s="20"/>
      <c r="H18" s="6">
        <f>F18/D18</f>
        <v>0.47083392611202751</v>
      </c>
      <c r="I18" s="20"/>
      <c r="J18" s="6"/>
      <c r="M18" s="6"/>
      <c r="O18" s="6" t="s">
        <v>146</v>
      </c>
      <c r="Q18" s="104">
        <f>SUM(Q15:Q17)</f>
        <v>360616.97</v>
      </c>
      <c r="S18" t="s">
        <v>239</v>
      </c>
    </row>
    <row r="19" spans="3:24" ht="15.75" thickTop="1" x14ac:dyDescent="0.25">
      <c r="K19" s="6"/>
      <c r="M19" s="6"/>
      <c r="O19" s="6" t="s">
        <v>209</v>
      </c>
      <c r="Q19" s="6">
        <f>+F41</f>
        <v>13214.6</v>
      </c>
      <c r="S19" t="s">
        <v>239</v>
      </c>
      <c r="W19" s="6"/>
    </row>
    <row r="20" spans="3:24" x14ac:dyDescent="0.25">
      <c r="O20" s="6" t="s">
        <v>50</v>
      </c>
      <c r="Q20" s="174">
        <f>+Q18+Q19</f>
        <v>373831.56999999995</v>
      </c>
      <c r="S20" t="s">
        <v>239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-71321.450000000012</v>
      </c>
      <c r="S21" t="s">
        <v>239</v>
      </c>
    </row>
    <row r="22" spans="3:24" x14ac:dyDescent="0.25">
      <c r="Q22" s="6"/>
      <c r="X22" s="6"/>
    </row>
    <row r="23" spans="3:24" x14ac:dyDescent="0.25">
      <c r="C23" s="127" t="s">
        <v>213</v>
      </c>
      <c r="D23" s="88"/>
      <c r="F23" s="218"/>
      <c r="H23" s="6" t="e">
        <f t="shared" ref="H23:H35" si="2">F23/D23</f>
        <v>#DIV/0!</v>
      </c>
      <c r="Q23" s="6"/>
    </row>
    <row r="24" spans="3:24" x14ac:dyDescent="0.25">
      <c r="C24" t="s">
        <v>161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264</v>
      </c>
      <c r="D25" s="88">
        <v>8077</v>
      </c>
      <c r="F25" s="63">
        <v>25111.39</v>
      </c>
      <c r="H25" s="6">
        <f t="shared" si="2"/>
        <v>3.1089996285749657</v>
      </c>
      <c r="J25" t="s">
        <v>139</v>
      </c>
      <c r="S25" s="6"/>
    </row>
    <row r="26" spans="3:24" x14ac:dyDescent="0.25">
      <c r="C26" s="127" t="s">
        <v>180</v>
      </c>
      <c r="D26" s="88">
        <v>3835</v>
      </c>
      <c r="F26" s="218">
        <v>17052.7</v>
      </c>
      <c r="H26" s="6">
        <f t="shared" si="2"/>
        <v>4.4465971316818775</v>
      </c>
      <c r="S26" s="6"/>
    </row>
    <row r="27" spans="3:24" x14ac:dyDescent="0.25">
      <c r="C27" s="127" t="s">
        <v>288</v>
      </c>
      <c r="D27" s="88">
        <v>9668</v>
      </c>
      <c r="F27" s="218">
        <v>45720.92</v>
      </c>
      <c r="H27" s="6">
        <f t="shared" si="2"/>
        <v>4.7290980554406286</v>
      </c>
      <c r="S27" s="6"/>
    </row>
    <row r="28" spans="3:24" x14ac:dyDescent="0.25">
      <c r="C28" s="127" t="s">
        <v>289</v>
      </c>
      <c r="D28" s="88">
        <v>1570</v>
      </c>
      <c r="F28" s="218">
        <v>6271.05</v>
      </c>
      <c r="H28" s="6">
        <f t="shared" si="2"/>
        <v>3.9942993630573249</v>
      </c>
      <c r="S28" s="6"/>
    </row>
    <row r="29" spans="3:24" x14ac:dyDescent="0.25">
      <c r="C29" s="127" t="s">
        <v>290</v>
      </c>
      <c r="D29" s="88">
        <v>34490</v>
      </c>
      <c r="F29" s="218">
        <v>261423.86</v>
      </c>
      <c r="H29" s="6">
        <f t="shared" si="2"/>
        <v>7.5797002029573788</v>
      </c>
      <c r="O29" s="6"/>
      <c r="Q29" s="6"/>
    </row>
    <row r="30" spans="3:24" x14ac:dyDescent="0.25">
      <c r="C30" s="127" t="s">
        <v>297</v>
      </c>
      <c r="D30" s="88">
        <v>10</v>
      </c>
      <c r="F30" s="218">
        <v>219.6</v>
      </c>
      <c r="H30" s="6">
        <f t="shared" si="2"/>
        <v>21.96</v>
      </c>
    </row>
    <row r="31" spans="3:24" x14ac:dyDescent="0.25">
      <c r="C31" s="127" t="s">
        <v>275</v>
      </c>
      <c r="D31" s="88">
        <v>353</v>
      </c>
      <c r="F31" s="218">
        <v>6384.96</v>
      </c>
      <c r="H31" s="6">
        <f t="shared" si="2"/>
        <v>18.087705382436262</v>
      </c>
    </row>
    <row r="32" spans="3:24" x14ac:dyDescent="0.25">
      <c r="C32" s="127" t="s">
        <v>111</v>
      </c>
      <c r="D32" s="88">
        <v>3854</v>
      </c>
      <c r="F32" s="218">
        <v>19925.18</v>
      </c>
      <c r="H32" s="6">
        <f t="shared" ref="H32:H34" si="3">F32/D32</f>
        <v>5.17</v>
      </c>
    </row>
    <row r="33" spans="3:22" x14ac:dyDescent="0.25">
      <c r="C33" s="127" t="s">
        <v>274</v>
      </c>
      <c r="D33" s="88"/>
      <c r="F33" s="218"/>
      <c r="H33" s="6" t="e">
        <f t="shared" si="3"/>
        <v>#DIV/0!</v>
      </c>
    </row>
    <row r="34" spans="3:22" x14ac:dyDescent="0.25">
      <c r="C34" t="s">
        <v>196</v>
      </c>
      <c r="D34" s="88"/>
      <c r="F34" s="218">
        <v>6142.86</v>
      </c>
      <c r="H34" s="6" t="e">
        <f t="shared" si="3"/>
        <v>#DIV/0!</v>
      </c>
      <c r="J34" s="6"/>
    </row>
    <row r="35" spans="3:22" x14ac:dyDescent="0.25">
      <c r="D35" s="28">
        <f>SUM(D23:D34)</f>
        <v>61857</v>
      </c>
      <c r="E35" s="16"/>
      <c r="F35" s="89">
        <f>SUM(F23:F34)</f>
        <v>388252.51999999996</v>
      </c>
      <c r="H35" s="6">
        <f t="shared" si="2"/>
        <v>6.2766141261296209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630</v>
      </c>
      <c r="J38" t="s">
        <v>260</v>
      </c>
      <c r="K38" s="74" t="s">
        <v>137</v>
      </c>
    </row>
    <row r="39" spans="3:22" ht="15.75" thickBot="1" x14ac:dyDescent="0.3">
      <c r="C39" t="s">
        <v>112</v>
      </c>
      <c r="F39" s="218">
        <v>53.35</v>
      </c>
      <c r="Q39" s="6"/>
      <c r="S39" s="6"/>
    </row>
    <row r="40" spans="3:22" ht="15.75" thickBot="1" x14ac:dyDescent="0.3">
      <c r="C40" t="s">
        <v>76</v>
      </c>
      <c r="F40" s="109">
        <f>+D18*0.18</f>
        <v>11893.14</v>
      </c>
      <c r="J40" s="76" t="s">
        <v>198</v>
      </c>
      <c r="K40" s="74"/>
      <c r="S40" s="54"/>
    </row>
    <row r="41" spans="3:22" ht="15.75" thickBot="1" x14ac:dyDescent="0.3">
      <c r="C41" t="s">
        <v>136</v>
      </c>
      <c r="F41" s="6">
        <f>D18*0.2</f>
        <v>13214.6</v>
      </c>
      <c r="J41" s="76" t="s">
        <v>200</v>
      </c>
    </row>
    <row r="42" spans="3:22" x14ac:dyDescent="0.25">
      <c r="F42" s="30">
        <f>SUM(F38:F41)</f>
        <v>25791.09</v>
      </c>
      <c r="J42" s="163" t="s">
        <v>163</v>
      </c>
      <c r="K42" s="166" t="s">
        <v>199</v>
      </c>
      <c r="L42" s="164"/>
      <c r="M42" s="165" t="s">
        <v>50</v>
      </c>
    </row>
    <row r="43" spans="3:22" ht="15.75" thickBot="1" x14ac:dyDescent="0.3">
      <c r="C43" s="102">
        <f>414902.42+6142.86-1000</f>
        <v>420045.27999999997</v>
      </c>
      <c r="D43" s="117" t="s">
        <v>240</v>
      </c>
      <c r="J43" s="161">
        <f>+D18</f>
        <v>66073</v>
      </c>
      <c r="K43" s="148">
        <v>0.18</v>
      </c>
      <c r="L43" s="148"/>
      <c r="M43" s="162">
        <f>+J43*K43</f>
        <v>11893.14</v>
      </c>
      <c r="S43" s="54"/>
      <c r="T43" s="54"/>
      <c r="U43" s="54"/>
      <c r="V43" s="170"/>
    </row>
    <row r="44" spans="3:22" x14ac:dyDescent="0.25">
      <c r="C44" s="6">
        <f>+F18+F35+F38+F39</f>
        <v>420045.27999999991</v>
      </c>
      <c r="D44" s="15" t="s">
        <v>39</v>
      </c>
      <c r="E44" s="16"/>
      <c r="F44" s="174">
        <f>F18+F35+F42</f>
        <v>445153.01999999996</v>
      </c>
    </row>
    <row r="45" spans="3:22" x14ac:dyDescent="0.25">
      <c r="C45" s="6">
        <f>+C44-C43</f>
        <v>0</v>
      </c>
      <c r="F45" s="99">
        <f>F44-F41-F40</f>
        <v>420045.27999999997</v>
      </c>
      <c r="H45" s="178">
        <f>F45-F34</f>
        <v>413902.42</v>
      </c>
      <c r="I45" s="178"/>
      <c r="J45" s="179" t="s">
        <v>214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topLeftCell="A27" zoomScaleNormal="100" workbookViewId="0">
      <selection activeCell="I48" sqref="I4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272</v>
      </c>
      <c r="F1" s="6" t="str">
        <f>+'Commodity OK'!H2</f>
        <v>Data Input Mar.23 billing =Mar invoices = Feb Flow  data= Feb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-166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7499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510.62</v>
      </c>
      <c r="G11" s="6"/>
      <c r="J11" s="1"/>
    </row>
    <row r="12" spans="1:16" x14ac:dyDescent="0.25">
      <c r="C12" t="s">
        <v>38</v>
      </c>
      <c r="F12" s="6">
        <f>'Allocation Charges'!J7</f>
        <v>1149.9361653975673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1661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885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7797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Charges'!J37</f>
        <v>144.13999999999999</v>
      </c>
      <c r="G19" s="6"/>
    </row>
    <row r="20" spans="2:7" x14ac:dyDescent="0.25">
      <c r="C20" t="s">
        <v>38</v>
      </c>
      <c r="F20" s="6">
        <f>'Allocation Charges'!J11</f>
        <v>1127.0911005203684</v>
      </c>
      <c r="G20" s="6"/>
    </row>
    <row r="21" spans="2:7" x14ac:dyDescent="0.25">
      <c r="D21" s="7" t="s">
        <v>39</v>
      </c>
      <c r="E21" s="36"/>
      <c r="F21" s="229">
        <f>ROUNDUP(F20+F19,0)</f>
        <v>1272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Charges'!J43</f>
        <v>1692.68</v>
      </c>
      <c r="G23" s="6"/>
    </row>
    <row r="24" spans="2:7" x14ac:dyDescent="0.25">
      <c r="C24" t="s">
        <v>38</v>
      </c>
      <c r="F24" s="6">
        <f>'Allocation Charges'!J12</f>
        <v>1014.3698056896213</v>
      </c>
      <c r="G24" s="6"/>
    </row>
    <row r="25" spans="2:7" x14ac:dyDescent="0.25">
      <c r="D25" s="7" t="s">
        <v>39</v>
      </c>
      <c r="E25" s="36"/>
      <c r="F25" s="229">
        <f>ROUNDUP(F24+F23,0)</f>
        <v>2708</v>
      </c>
      <c r="G25" s="6"/>
    </row>
    <row r="26" spans="2:7" x14ac:dyDescent="0.25">
      <c r="B26" t="s">
        <v>25</v>
      </c>
      <c r="F26" s="85">
        <f>ROUNDUP('Allocation Charges'!J13,0)</f>
        <v>1150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Charges'!J49</f>
        <v>0</v>
      </c>
      <c r="G28" s="6"/>
    </row>
    <row r="29" spans="2:7" x14ac:dyDescent="0.25">
      <c r="C29" t="s">
        <v>38</v>
      </c>
      <c r="F29" s="6">
        <f>'Allocation Charges'!J14</f>
        <v>18.6027155874751</v>
      </c>
      <c r="G29" s="6"/>
    </row>
    <row r="30" spans="2:7" x14ac:dyDescent="0.25">
      <c r="D30" s="7" t="s">
        <v>39</v>
      </c>
      <c r="E30" s="36"/>
      <c r="F30" s="229">
        <f>ROUNDUP(F29+F28,0)</f>
        <v>19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Charges'!J55</f>
        <v>730.54</v>
      </c>
      <c r="G32" s="6"/>
    </row>
    <row r="33" spans="1:7" x14ac:dyDescent="0.25">
      <c r="C33" t="s">
        <v>38</v>
      </c>
      <c r="F33" s="6">
        <f>'Allocation Charges'!J15</f>
        <v>1260.4419625144274</v>
      </c>
      <c r="G33" s="6"/>
    </row>
    <row r="34" spans="1:7" x14ac:dyDescent="0.25">
      <c r="D34" s="7" t="s">
        <v>39</v>
      </c>
      <c r="E34" s="36"/>
      <c r="F34" s="229">
        <f>ROUNDUP(F33+F32,0)</f>
        <v>1991</v>
      </c>
      <c r="G34" s="6"/>
    </row>
    <row r="35" spans="1:7" x14ac:dyDescent="0.25">
      <c r="B35" t="s">
        <v>201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533</v>
      </c>
      <c r="G37" s="6"/>
    </row>
    <row r="38" spans="1:7" x14ac:dyDescent="0.25">
      <c r="B38" t="s">
        <v>30</v>
      </c>
      <c r="F38" s="85">
        <f>ROUNDUP('Allocation Charges'!J19,0)</f>
        <v>557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25906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295</v>
      </c>
      <c r="G43" s="6"/>
    </row>
    <row r="44" spans="1:7" x14ac:dyDescent="0.25">
      <c r="B44" t="s">
        <v>46</v>
      </c>
      <c r="F44" s="85">
        <f>ROUNDUP('Allocation Charges'!J27,0)</f>
        <v>1549</v>
      </c>
      <c r="G44" s="6"/>
    </row>
    <row r="45" spans="1:7" x14ac:dyDescent="0.25">
      <c r="B45" t="s">
        <v>32</v>
      </c>
      <c r="F45" s="85">
        <f>ROUNDUP('Allocation Charges'!J28,0)</f>
        <v>510</v>
      </c>
      <c r="G45" s="6"/>
    </row>
    <row r="46" spans="1:7" x14ac:dyDescent="0.25">
      <c r="B46" t="s">
        <v>47</v>
      </c>
      <c r="F46" s="85">
        <f>ROUNDUP('Allocation Charges'!J29,0)</f>
        <v>810</v>
      </c>
      <c r="G46" s="6"/>
    </row>
    <row r="47" spans="1:7" x14ac:dyDescent="0.25">
      <c r="B47" t="s">
        <v>48</v>
      </c>
      <c r="F47" s="85">
        <f>ROUNDUP('Allocation Charges'!J30,0)</f>
        <v>489</v>
      </c>
      <c r="G47" s="6"/>
    </row>
    <row r="48" spans="1:7" x14ac:dyDescent="0.25">
      <c r="B48" t="s">
        <v>41</v>
      </c>
      <c r="F48" s="85">
        <f>ROUNDUP('Allocation Charges'!J31,0)</f>
        <v>462</v>
      </c>
      <c r="G48" s="6"/>
    </row>
    <row r="49" spans="1:8" x14ac:dyDescent="0.25">
      <c r="B49" t="s">
        <v>31</v>
      </c>
      <c r="F49" s="85">
        <f>ROUNDUP('Allocation Charges'!J32,0)</f>
        <v>1280</v>
      </c>
      <c r="G49" s="6"/>
    </row>
    <row r="50" spans="1:8" x14ac:dyDescent="0.25">
      <c r="F50" s="6"/>
    </row>
    <row r="51" spans="1:8" x14ac:dyDescent="0.25">
      <c r="F51" s="224">
        <f>SUM(F44:F49)</f>
        <v>5100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267</v>
      </c>
      <c r="F53" s="6">
        <f>ROUNDUP('Commodity TN KY'!I20,0)</f>
        <v>7850</v>
      </c>
      <c r="H53" s="106">
        <f>'Commodity TN KY'!E15*'Commodity TN KY'!G20</f>
        <v>2193.0477954545454</v>
      </c>
    </row>
    <row r="54" spans="1:8" x14ac:dyDescent="0.25">
      <c r="A54" s="16"/>
      <c r="B54" t="s">
        <v>268</v>
      </c>
      <c r="F54" s="6">
        <f>ROUNDUP('Commodity TN KY'!I27,0)</f>
        <v>13099</v>
      </c>
      <c r="H54" s="106">
        <f>+'Commodity TN KY'!E27</f>
        <v>4485.8999999999996</v>
      </c>
    </row>
    <row r="55" spans="1:8" x14ac:dyDescent="0.25">
      <c r="A55" s="16"/>
      <c r="B55" t="s">
        <v>269</v>
      </c>
      <c r="F55" s="6">
        <f>ROUNDUP('Commodity TN KY'!I28,0)</f>
        <v>1758</v>
      </c>
      <c r="H55" s="106">
        <f>+'Commodity TN KY'!E28</f>
        <v>1426</v>
      </c>
    </row>
    <row r="56" spans="1:8" x14ac:dyDescent="0.25">
      <c r="F56" s="223">
        <f>SUM(F53:F55)</f>
        <v>22707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53713</v>
      </c>
    </row>
  </sheetData>
  <pageMargins left="0.7" right="0.7" top="0.75" bottom="0.75" header="0.3" footer="0.3"/>
  <pageSetup scale="78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57"/>
  <sheetViews>
    <sheetView topLeftCell="A22" zoomScaleNormal="100" workbookViewId="0">
      <selection activeCell="O17" sqref="O17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273</v>
      </c>
      <c r="F1" s="6" t="str">
        <f>+'Commodity OK'!H2</f>
        <v>Data Input Mar.23 billing =Mar invoices = Feb Flow  data= Feb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11852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4192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225.41</v>
      </c>
      <c r="G11" s="6"/>
      <c r="J11" s="1"/>
    </row>
    <row r="12" spans="1:11" x14ac:dyDescent="0.25">
      <c r="C12" t="s">
        <v>38</v>
      </c>
      <c r="F12" s="60">
        <f>'Allocation Charges'!H7</f>
        <v>2446.6941225742949</v>
      </c>
      <c r="G12" s="6"/>
      <c r="J12" s="1"/>
    </row>
    <row r="13" spans="1:11" x14ac:dyDescent="0.25">
      <c r="D13" s="7" t="s">
        <v>39</v>
      </c>
      <c r="F13" s="86">
        <f>ROUNDUP(F11+F12,0)</f>
        <v>2673</v>
      </c>
      <c r="G13" s="6"/>
      <c r="J13" s="1"/>
    </row>
    <row r="14" spans="1:11" x14ac:dyDescent="0.25">
      <c r="B14" t="s">
        <v>15</v>
      </c>
      <c r="F14" s="83">
        <f>ROUNDUP('Allocation Charges'!H8,0)</f>
        <v>1882</v>
      </c>
      <c r="G14" s="6"/>
    </row>
    <row r="15" spans="1:11" x14ac:dyDescent="0.25">
      <c r="B15" t="s">
        <v>18</v>
      </c>
      <c r="F15" s="83">
        <f>ROUNDUP('Allocation Charges'!H9,0)</f>
        <v>0</v>
      </c>
      <c r="G15" s="6"/>
    </row>
    <row r="16" spans="1:11" x14ac:dyDescent="0.25">
      <c r="B16" t="s">
        <v>19</v>
      </c>
      <c r="F16" s="83">
        <f>ROUNDUP('Allocation Charges'!H10,0)</f>
        <v>16589</v>
      </c>
      <c r="G16" s="6"/>
    </row>
    <row r="17" spans="2:7" x14ac:dyDescent="0.25">
      <c r="B17" t="s">
        <v>20</v>
      </c>
      <c r="F17" s="60"/>
      <c r="G17" s="6"/>
    </row>
    <row r="18" spans="2:7" x14ac:dyDescent="0.25">
      <c r="C18" t="s">
        <v>37</v>
      </c>
      <c r="F18" s="60">
        <f>'Direct Charges'!H36</f>
        <v>169.23</v>
      </c>
      <c r="G18" s="6"/>
    </row>
    <row r="19" spans="2:7" x14ac:dyDescent="0.25">
      <c r="C19" t="s">
        <v>38</v>
      </c>
      <c r="F19" s="60">
        <f>'Allocation Charges'!H11</f>
        <v>2398.08717581778</v>
      </c>
      <c r="G19" s="6"/>
    </row>
    <row r="20" spans="2:7" x14ac:dyDescent="0.25">
      <c r="D20" s="7" t="s">
        <v>39</v>
      </c>
      <c r="F20" s="86">
        <f>ROUNDUP(F18+F19,0)</f>
        <v>2568</v>
      </c>
      <c r="G20" s="6"/>
    </row>
    <row r="21" spans="2:7" x14ac:dyDescent="0.25">
      <c r="B21" t="s">
        <v>21</v>
      </c>
      <c r="F21" s="60"/>
      <c r="G21" s="6"/>
    </row>
    <row r="22" spans="2:7" x14ac:dyDescent="0.25">
      <c r="C22" t="s">
        <v>37</v>
      </c>
      <c r="F22" s="60">
        <f>'Direct Charges'!H42</f>
        <v>5417.5</v>
      </c>
      <c r="G22" s="6"/>
    </row>
    <row r="23" spans="2:7" x14ac:dyDescent="0.25">
      <c r="C23" t="s">
        <v>38</v>
      </c>
      <c r="F23" s="60">
        <f>'Allocation Charges'!H12</f>
        <v>2158.2525329478403</v>
      </c>
      <c r="G23" s="6"/>
    </row>
    <row r="24" spans="2:7" x14ac:dyDescent="0.25">
      <c r="D24" s="7" t="s">
        <v>39</v>
      </c>
      <c r="F24" s="86">
        <f>ROUNDUP(F22+F23,0)</f>
        <v>7576</v>
      </c>
      <c r="G24" s="6"/>
    </row>
    <row r="25" spans="2:7" x14ac:dyDescent="0.25">
      <c r="B25" t="s">
        <v>25</v>
      </c>
      <c r="F25" s="83">
        <f>ROUNDUP('Allocation Charges'!H13,0)</f>
        <v>2446</v>
      </c>
      <c r="G25" s="6"/>
    </row>
    <row r="26" spans="2:7" x14ac:dyDescent="0.25">
      <c r="B26" t="s">
        <v>26</v>
      </c>
      <c r="F26" s="60"/>
      <c r="G26" s="6"/>
    </row>
    <row r="27" spans="2:7" x14ac:dyDescent="0.25">
      <c r="C27" t="s">
        <v>37</v>
      </c>
      <c r="F27" s="60">
        <f>'Direct Charges'!H48</f>
        <v>276</v>
      </c>
      <c r="G27" s="6"/>
    </row>
    <row r="28" spans="2:7" x14ac:dyDescent="0.25">
      <c r="C28" t="s">
        <v>38</v>
      </c>
      <c r="F28" s="60">
        <f>'Allocation Charges'!H14</f>
        <v>39.580592611469527</v>
      </c>
      <c r="G28" s="6"/>
    </row>
    <row r="29" spans="2:7" x14ac:dyDescent="0.25">
      <c r="D29" s="7" t="s">
        <v>39</v>
      </c>
      <c r="F29" s="86">
        <f>ROUNDUP(F27+F28,0)</f>
        <v>316</v>
      </c>
      <c r="G29" s="6"/>
    </row>
    <row r="30" spans="2:7" x14ac:dyDescent="0.25">
      <c r="B30" t="s">
        <v>27</v>
      </c>
      <c r="G30" s="6"/>
    </row>
    <row r="31" spans="2:7" x14ac:dyDescent="0.25">
      <c r="C31" t="s">
        <v>37</v>
      </c>
      <c r="F31" s="60">
        <f>'Direct Charges'!H54</f>
        <v>2917.76</v>
      </c>
      <c r="G31" s="6"/>
    </row>
    <row r="32" spans="2:7" x14ac:dyDescent="0.25">
      <c r="C32" t="s">
        <v>38</v>
      </c>
      <c r="F32" s="60">
        <f>'Allocation Charges'!H15</f>
        <v>2681.8148992330002</v>
      </c>
      <c r="G32" s="6"/>
    </row>
    <row r="33" spans="1:10" x14ac:dyDescent="0.25">
      <c r="D33" s="7" t="s">
        <v>39</v>
      </c>
      <c r="F33" s="86">
        <f>ROUNDUP(F31+F32,0)</f>
        <v>5600</v>
      </c>
      <c r="G33" s="6"/>
    </row>
    <row r="34" spans="1:10" x14ac:dyDescent="0.25">
      <c r="B34" t="s">
        <v>201</v>
      </c>
      <c r="F34" s="83">
        <f>ROUNDUP('Allocation Charges'!H16,0)</f>
        <v>0</v>
      </c>
      <c r="G34" s="6"/>
    </row>
    <row r="35" spans="1:10" x14ac:dyDescent="0.25">
      <c r="B35" t="s">
        <v>28</v>
      </c>
      <c r="F35" s="83">
        <f>ROUNDUP('Allocation Charges'!H17,0)</f>
        <v>0</v>
      </c>
      <c r="G35" s="6"/>
    </row>
    <row r="36" spans="1:10" x14ac:dyDescent="0.25">
      <c r="B36" t="s">
        <v>29</v>
      </c>
      <c r="F36" s="83">
        <f>ROUNDUP('Allocation Charges'!H18,0)</f>
        <v>1134</v>
      </c>
      <c r="G36" s="6"/>
    </row>
    <row r="37" spans="1:10" x14ac:dyDescent="0.25">
      <c r="B37" t="s">
        <v>30</v>
      </c>
      <c r="F37" s="83">
        <f>ROUNDUP('Allocation Charges'!H19,0)</f>
        <v>1184</v>
      </c>
      <c r="G37" s="6"/>
    </row>
    <row r="38" spans="1:10" x14ac:dyDescent="0.25">
      <c r="F38" s="60"/>
      <c r="G38" s="6"/>
    </row>
    <row r="39" spans="1:10" x14ac:dyDescent="0.25">
      <c r="F39" s="87">
        <f>F6+F7+F8+F9+F13+F14+F15+F16+F20+F24+F25+F29+F33+F34+F35+F36+F37</f>
        <v>58012</v>
      </c>
      <c r="G39" s="6"/>
    </row>
    <row r="40" spans="1:10" x14ac:dyDescent="0.25">
      <c r="F40" s="6"/>
      <c r="G40" s="6"/>
    </row>
    <row r="41" spans="1:10" x14ac:dyDescent="0.25">
      <c r="A41" s="16" t="s">
        <v>100</v>
      </c>
      <c r="F41" s="124" t="s">
        <v>295</v>
      </c>
      <c r="G41" s="6"/>
      <c r="H41" s="124"/>
      <c r="I41" s="124"/>
    </row>
    <row r="42" spans="1:10" x14ac:dyDescent="0.25">
      <c r="F42" s="6"/>
      <c r="G42" s="6"/>
    </row>
    <row r="43" spans="1:10" x14ac:dyDescent="0.25">
      <c r="B43" t="s">
        <v>116</v>
      </c>
      <c r="F43" s="79">
        <f>ROUNDUP('Direct Charges'!H65,0)</f>
        <v>0</v>
      </c>
      <c r="G43" s="6"/>
    </row>
    <row r="44" spans="1:10" x14ac:dyDescent="0.25">
      <c r="B44" t="s">
        <v>46</v>
      </c>
      <c r="F44" s="79">
        <f>ROUNDUP('Allocation Charges'!H27,0)</f>
        <v>3295</v>
      </c>
      <c r="G44" s="6"/>
    </row>
    <row r="45" spans="1:10" x14ac:dyDescent="0.25">
      <c r="B45" t="s">
        <v>32</v>
      </c>
      <c r="F45" s="79">
        <f>ROUNDUP('Allocation Charges'!H28,0)</f>
        <v>1086</v>
      </c>
      <c r="G45" s="6"/>
    </row>
    <row r="46" spans="1:10" x14ac:dyDescent="0.25">
      <c r="B46" t="s">
        <v>47</v>
      </c>
      <c r="F46" s="79">
        <f>ROUNDUP('Allocation Charges'!H29,0)</f>
        <v>1723</v>
      </c>
      <c r="G46" s="6"/>
    </row>
    <row r="47" spans="1:10" x14ac:dyDescent="0.25">
      <c r="B47" t="s">
        <v>48</v>
      </c>
      <c r="F47" s="79">
        <f>ROUNDUP('Allocation Charges'!H30,0)</f>
        <v>1039</v>
      </c>
      <c r="G47" s="6"/>
      <c r="J47" s="8"/>
    </row>
    <row r="48" spans="1:10" x14ac:dyDescent="0.25">
      <c r="B48" t="s">
        <v>41</v>
      </c>
      <c r="F48" s="79">
        <f>ROUNDUP('Allocation Charges'!H31,0)</f>
        <v>982</v>
      </c>
      <c r="G48" s="6"/>
      <c r="J48" s="8"/>
    </row>
    <row r="49" spans="1:10" x14ac:dyDescent="0.25">
      <c r="B49" t="s">
        <v>31</v>
      </c>
      <c r="F49" s="79">
        <f>ROUNDUP('Allocation Charges'!H32,0)</f>
        <v>2722</v>
      </c>
      <c r="J49" s="8"/>
    </row>
    <row r="50" spans="1:10" x14ac:dyDescent="0.25">
      <c r="F50" s="8"/>
    </row>
    <row r="51" spans="1:10" x14ac:dyDescent="0.25">
      <c r="F51" s="84">
        <f>SUM(F43:F49)</f>
        <v>10847</v>
      </c>
      <c r="I51" s="23"/>
      <c r="J51" s="23"/>
    </row>
    <row r="52" spans="1:10" x14ac:dyDescent="0.25">
      <c r="H52" t="s">
        <v>163</v>
      </c>
    </row>
    <row r="53" spans="1:10" x14ac:dyDescent="0.25">
      <c r="A53" s="16" t="s">
        <v>84</v>
      </c>
      <c r="F53" s="223">
        <f>ROUNDUP('Commodity TN KY'!I19,0)</f>
        <v>47738</v>
      </c>
      <c r="H53" s="114">
        <f>'Commodity TN KY'!E15*'Commodity TN KY'!G19</f>
        <v>13337.952204545456</v>
      </c>
    </row>
    <row r="54" spans="1:10" ht="7.5" customHeight="1" x14ac:dyDescent="0.25">
      <c r="F54" s="60"/>
    </row>
    <row r="55" spans="1:10" x14ac:dyDescent="0.25">
      <c r="A55" s="35"/>
      <c r="B55" s="35"/>
      <c r="C55" s="35"/>
      <c r="D55" s="35"/>
      <c r="E55" s="35"/>
      <c r="F55" s="61"/>
      <c r="G55" s="35"/>
      <c r="H55" s="35"/>
      <c r="I55" s="35"/>
    </row>
    <row r="56" spans="1:10" x14ac:dyDescent="0.25">
      <c r="F56" s="60"/>
    </row>
    <row r="57" spans="1:10" x14ac:dyDescent="0.25">
      <c r="D57" s="15" t="s">
        <v>57</v>
      </c>
      <c r="F57" s="224">
        <f>F39+F51+F53</f>
        <v>116597</v>
      </c>
    </row>
  </sheetData>
  <pageMargins left="0.7" right="0.7" top="0.75" bottom="0.75" header="0.3" footer="0.3"/>
  <pageSetup scale="8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topLeftCell="A16" zoomScaleNormal="100" workbookViewId="0">
      <selection activeCell="I39" sqref="I39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2303 file =</v>
      </c>
      <c r="J1" s="99"/>
      <c r="K1" s="100" t="str">
        <f>+'Commodity OK'!H2</f>
        <v>Data Input Mar.23 billing =Mar invoices = Feb Flow  data= Feb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197</v>
      </c>
      <c r="D6" s="48"/>
      <c r="E6" s="90" t="s">
        <v>237</v>
      </c>
      <c r="F6" s="48"/>
      <c r="G6" s="157"/>
      <c r="H6" s="49"/>
      <c r="I6" s="175">
        <v>3700</v>
      </c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155</v>
      </c>
      <c r="D7" s="48"/>
      <c r="E7" s="90">
        <v>2940</v>
      </c>
      <c r="F7" s="51"/>
      <c r="G7" s="49">
        <f t="shared" ref="G7:G14" si="0">I7/E7</f>
        <v>0.73074489795918363</v>
      </c>
      <c r="H7" s="49"/>
      <c r="I7" s="175">
        <v>2148.39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f>140+2978</f>
        <v>3118</v>
      </c>
      <c r="F8" s="48"/>
      <c r="G8" s="49">
        <f>I8/E8</f>
        <v>5.4432649134060291</v>
      </c>
      <c r="H8" s="49"/>
      <c r="I8" s="175">
        <f>742+16230.1</f>
        <v>16972.099999999999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195</v>
      </c>
      <c r="D9" s="48"/>
      <c r="E9" s="90">
        <f>5693</f>
        <v>5693</v>
      </c>
      <c r="F9" s="48"/>
      <c r="G9" s="49">
        <f t="shared" si="0"/>
        <v>2.7172000702617249</v>
      </c>
      <c r="H9" s="49"/>
      <c r="I9" s="175">
        <f>15469.02</f>
        <v>15469.02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207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1458.56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270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241</v>
      </c>
      <c r="D12" s="48"/>
      <c r="E12" s="90"/>
      <c r="F12" s="48"/>
      <c r="G12" s="49" t="e">
        <f>I12/E12</f>
        <v>#DIV/0!</v>
      </c>
      <c r="H12" s="49"/>
      <c r="I12" s="175"/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190</v>
      </c>
      <c r="D13" s="48"/>
      <c r="E13" s="90">
        <v>3780</v>
      </c>
      <c r="F13" s="48"/>
      <c r="G13" s="49">
        <f>I13/E13</f>
        <v>4.1900000000000004</v>
      </c>
      <c r="H13" s="49"/>
      <c r="I13" s="175">
        <v>15838.2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243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15531</v>
      </c>
      <c r="F15" s="48"/>
      <c r="G15" s="42">
        <f>I15/(E8+E13)</f>
        <v>8.0583169034502742</v>
      </c>
      <c r="H15" s="49"/>
      <c r="I15" s="176">
        <f>SUM(I6:I14)</f>
        <v>55586.26999999999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187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32472+26818+15523+761</f>
        <v>75574</v>
      </c>
      <c r="F19" s="48"/>
      <c r="G19" s="45">
        <f>E19/E22</f>
        <v>0.85879545454545458</v>
      </c>
      <c r="H19" s="48"/>
      <c r="I19" s="168">
        <f>I15*G19</f>
        <v>47737.23601113636</v>
      </c>
      <c r="J19" s="48"/>
      <c r="K19" s="92">
        <f>47105+33576+17303+7220</f>
        <v>105204</v>
      </c>
      <c r="L19" s="48"/>
      <c r="P19" t="s">
        <v>202</v>
      </c>
    </row>
    <row r="20" spans="1:25" x14ac:dyDescent="0.25">
      <c r="A20" s="48"/>
      <c r="B20" s="48"/>
      <c r="C20" s="41" t="s">
        <v>90</v>
      </c>
      <c r="D20" s="41"/>
      <c r="E20" s="92">
        <f>2732+3089+6605</f>
        <v>12426</v>
      </c>
      <c r="F20" s="41"/>
      <c r="G20" s="45">
        <f>E20/E22</f>
        <v>0.14120454545454544</v>
      </c>
      <c r="H20" s="41"/>
      <c r="I20" s="167">
        <f>I15*G20</f>
        <v>7849.0339888636345</v>
      </c>
      <c r="J20" s="41"/>
      <c r="K20" s="92">
        <f>3294+3454+8217</f>
        <v>14965</v>
      </c>
      <c r="L20" s="48"/>
      <c r="P20" t="s">
        <v>215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88000</v>
      </c>
      <c r="F22" s="48"/>
      <c r="G22" s="45">
        <f>SUM(G19:G20)</f>
        <v>1</v>
      </c>
      <c r="H22" s="48"/>
      <c r="I22" s="155">
        <f>SUM(I19:I20)</f>
        <v>55586.27</v>
      </c>
      <c r="J22" s="48"/>
      <c r="K22" s="38">
        <f>SUM(K19:K20)</f>
        <v>120169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194</v>
      </c>
      <c r="V26" s="67"/>
    </row>
    <row r="27" spans="1:25" x14ac:dyDescent="0.25">
      <c r="A27" s="48"/>
      <c r="B27" s="48"/>
      <c r="C27" s="48" t="s">
        <v>188</v>
      </c>
      <c r="D27" s="48"/>
      <c r="E27" s="93">
        <v>4485.8999999999996</v>
      </c>
      <c r="F27" s="51"/>
      <c r="G27" s="49">
        <f>I27/E27</f>
        <v>2.919982612184846</v>
      </c>
      <c r="H27" s="48"/>
      <c r="I27" s="158">
        <v>13098.75</v>
      </c>
      <c r="J27" s="48"/>
      <c r="K27" s="48"/>
      <c r="L27" s="48"/>
      <c r="P27" s="8">
        <f>I35+I20</f>
        <v>22705.303988863634</v>
      </c>
      <c r="V27" s="27"/>
    </row>
    <row r="28" spans="1:25" x14ac:dyDescent="0.25">
      <c r="A28" s="48"/>
      <c r="B28" s="48"/>
      <c r="C28" s="48" t="s">
        <v>189</v>
      </c>
      <c r="D28" s="48"/>
      <c r="E28" s="90">
        <v>1426</v>
      </c>
      <c r="F28" s="48"/>
      <c r="G28" s="49">
        <f>I28/E28</f>
        <v>1.2324824684431976</v>
      </c>
      <c r="H28" s="49"/>
      <c r="I28" s="159">
        <v>1757.52</v>
      </c>
      <c r="J28" s="48"/>
      <c r="K28" s="48"/>
      <c r="L28" s="48"/>
      <c r="P28" s="134">
        <f>+E20+E33</f>
        <v>59894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14856.27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187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243">
        <f>24396+14354+8718</f>
        <v>47468</v>
      </c>
      <c r="F33" s="48"/>
      <c r="G33" s="45">
        <f>E33/E35</f>
        <v>1</v>
      </c>
      <c r="H33" s="48"/>
      <c r="I33" s="49">
        <f>+I27+I28</f>
        <v>14856.27</v>
      </c>
      <c r="J33" s="48"/>
      <c r="K33" s="243">
        <f>25495+14813+8700</f>
        <v>49008</v>
      </c>
      <c r="L33" s="48"/>
      <c r="P33" t="s">
        <v>215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47468</v>
      </c>
      <c r="F35" s="48"/>
      <c r="G35" s="45">
        <f>G33</f>
        <v>1</v>
      </c>
      <c r="H35" s="48"/>
      <c r="I35" s="155">
        <f>I33</f>
        <v>14856.27</v>
      </c>
      <c r="J35" s="48"/>
      <c r="K35" s="38">
        <f>K33</f>
        <v>49008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171</v>
      </c>
      <c r="H38" s="185"/>
      <c r="I38" s="186">
        <f>+I19</f>
        <v>47737.23601113636</v>
      </c>
      <c r="J38" s="187"/>
    </row>
    <row r="39" spans="1:25" x14ac:dyDescent="0.25">
      <c r="G39" s="188" t="s">
        <v>170</v>
      </c>
      <c r="I39" s="238">
        <f>+I20+I29</f>
        <v>22705.303988863634</v>
      </c>
      <c r="J39" s="189"/>
      <c r="P39" s="6"/>
    </row>
    <row r="40" spans="1:25" ht="15.75" thickBot="1" x14ac:dyDescent="0.3">
      <c r="G40" s="188"/>
      <c r="I40" s="105">
        <f>SUM(I38:I39)</f>
        <v>70442.539999999994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242</v>
      </c>
      <c r="I42" s="55"/>
      <c r="J42" s="189"/>
    </row>
    <row r="43" spans="1:25" x14ac:dyDescent="0.25">
      <c r="D43" s="16"/>
      <c r="E43" s="20"/>
      <c r="G43" s="188" t="s">
        <v>205</v>
      </c>
      <c r="I43" s="190">
        <v>31086.37</v>
      </c>
      <c r="J43" s="189"/>
    </row>
    <row r="44" spans="1:25" x14ac:dyDescent="0.25">
      <c r="G44" s="188" t="s">
        <v>206</v>
      </c>
      <c r="I44" s="190">
        <v>39356.17</v>
      </c>
      <c r="J44" s="189"/>
    </row>
    <row r="45" spans="1:25" x14ac:dyDescent="0.25">
      <c r="G45" s="188" t="s">
        <v>204</v>
      </c>
      <c r="I45" s="190">
        <f>+I43+I44</f>
        <v>70442.539999999994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234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38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zoomScaleNormal="100" workbookViewId="0">
      <selection activeCell="F43" sqref="F43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2303 file =</v>
      </c>
      <c r="M2" s="54"/>
      <c r="N2" s="97" t="str">
        <f>+'Commodity OK'!H2</f>
        <v>Data Input Mar.23 billing =Mar invoices = Feb Flow  data= Feb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2032</v>
      </c>
      <c r="I6" s="68" t="s">
        <v>151</v>
      </c>
      <c r="J6" s="90"/>
      <c r="L6" s="49" t="e">
        <f t="shared" ref="L6:L11" si="0">N6/J6</f>
        <v>#DIV/0!</v>
      </c>
      <c r="N6" s="91"/>
      <c r="P6" s="48"/>
    </row>
    <row r="7" spans="1:21" x14ac:dyDescent="0.25">
      <c r="B7" t="s">
        <v>4</v>
      </c>
      <c r="F7" s="231">
        <f>ROUNDUP('Direct Charges'!N15,0)</f>
        <v>995</v>
      </c>
      <c r="I7" s="68" t="s">
        <v>152</v>
      </c>
      <c r="J7" s="90">
        <v>31</v>
      </c>
      <c r="L7" s="49">
        <f t="shared" si="0"/>
        <v>-1.9825806451612904</v>
      </c>
      <c r="N7" s="91">
        <v>-61.46</v>
      </c>
      <c r="P7" s="48"/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300</v>
      </c>
      <c r="L8" s="49">
        <f t="shared" si="0"/>
        <v>5.2</v>
      </c>
      <c r="N8" s="91">
        <v>1560</v>
      </c>
      <c r="P8" s="48"/>
    </row>
    <row r="9" spans="1:21" x14ac:dyDescent="0.25">
      <c r="B9" t="s">
        <v>14</v>
      </c>
      <c r="F9" s="231">
        <v>0</v>
      </c>
      <c r="I9" s="68" t="s">
        <v>287</v>
      </c>
      <c r="J9" s="90">
        <v>9500</v>
      </c>
      <c r="L9" s="49">
        <f>N9/J9</f>
        <v>3.2911052631578945</v>
      </c>
      <c r="N9" s="91">
        <v>31265.5</v>
      </c>
      <c r="P9" s="48"/>
    </row>
    <row r="10" spans="1:21" x14ac:dyDescent="0.25">
      <c r="B10" t="s">
        <v>17</v>
      </c>
      <c r="F10" s="134"/>
      <c r="I10" s="68" t="s">
        <v>150</v>
      </c>
      <c r="J10" s="90">
        <v>9500</v>
      </c>
      <c r="L10" s="49">
        <f>N10/J10</f>
        <v>0.24</v>
      </c>
      <c r="N10" s="91">
        <v>2280</v>
      </c>
      <c r="P10" s="172" t="s">
        <v>166</v>
      </c>
      <c r="Q10" s="173"/>
      <c r="R10" s="173"/>
      <c r="S10" s="173"/>
      <c r="T10" s="173"/>
      <c r="U10" s="173"/>
    </row>
    <row r="11" spans="1:21" x14ac:dyDescent="0.25">
      <c r="C11" t="s">
        <v>37</v>
      </c>
      <c r="F11" s="231">
        <f>'Direct Charges'!N27</f>
        <v>0</v>
      </c>
      <c r="G11" s="6"/>
      <c r="I11" s="68" t="s">
        <v>148</v>
      </c>
      <c r="J11" s="108">
        <f>SUM(J6:J9)</f>
        <v>9831</v>
      </c>
      <c r="L11" s="72">
        <f t="shared" si="0"/>
        <v>3.564646526294375</v>
      </c>
      <c r="N11" s="217">
        <f>SUM(N6:N10)</f>
        <v>35044.04</v>
      </c>
      <c r="P11" s="48"/>
    </row>
    <row r="12" spans="1:21" x14ac:dyDescent="0.25">
      <c r="C12" t="s">
        <v>38</v>
      </c>
      <c r="F12" s="231">
        <f>'Allocation Charges'!N7</f>
        <v>275.41433846817483</v>
      </c>
      <c r="G12" s="6"/>
      <c r="I12" s="68"/>
      <c r="J12" s="44"/>
      <c r="K12" s="6"/>
      <c r="L12" s="48"/>
      <c r="M12" s="6"/>
      <c r="N12" s="48"/>
      <c r="O12" s="6"/>
      <c r="P12" s="48"/>
    </row>
    <row r="13" spans="1:21" x14ac:dyDescent="0.25">
      <c r="D13" s="7" t="s">
        <v>39</v>
      </c>
      <c r="F13" s="232">
        <f>ROUNDUP(F11+F12,0)</f>
        <v>276</v>
      </c>
      <c r="G13" s="6"/>
    </row>
    <row r="14" spans="1:21" x14ac:dyDescent="0.25">
      <c r="D14" s="7"/>
      <c r="F14" s="102"/>
      <c r="G14" s="6"/>
      <c r="I14" s="69" t="s">
        <v>78</v>
      </c>
      <c r="J14" s="40" t="s">
        <v>187</v>
      </c>
      <c r="K14" s="6"/>
      <c r="L14" s="40" t="s">
        <v>79</v>
      </c>
      <c r="M14" s="6"/>
      <c r="N14" s="40" t="s">
        <v>80</v>
      </c>
      <c r="O14" s="6"/>
      <c r="P14" s="40" t="s">
        <v>81</v>
      </c>
    </row>
    <row r="15" spans="1:21" x14ac:dyDescent="0.25">
      <c r="B15" t="s">
        <v>15</v>
      </c>
      <c r="F15" s="231">
        <f>ROUNDUP('Allocation Charges'!N8,0)</f>
        <v>212</v>
      </c>
      <c r="G15" s="6"/>
      <c r="I15" s="68"/>
      <c r="J15" s="48"/>
      <c r="K15" s="6"/>
      <c r="L15" s="48"/>
      <c r="M15" s="6"/>
      <c r="N15" s="48"/>
      <c r="O15" s="6"/>
      <c r="P15" s="40"/>
      <c r="R15" s="54"/>
    </row>
    <row r="16" spans="1:21" x14ac:dyDescent="0.25">
      <c r="B16" t="s">
        <v>18</v>
      </c>
      <c r="F16" s="231">
        <f>ROUNDUP('Allocation Charges'!N9,0)</f>
        <v>0</v>
      </c>
      <c r="G16" s="6"/>
      <c r="I16" s="68" t="s">
        <v>149</v>
      </c>
      <c r="J16" s="92">
        <v>118098</v>
      </c>
      <c r="K16" s="6"/>
      <c r="L16" s="45">
        <v>1</v>
      </c>
      <c r="M16" s="6"/>
      <c r="N16" s="49">
        <f>L16*N11</f>
        <v>35044.04</v>
      </c>
      <c r="O16" s="6"/>
      <c r="P16" s="92">
        <v>118098</v>
      </c>
    </row>
    <row r="17" spans="2:16" x14ac:dyDescent="0.25">
      <c r="B17" t="s">
        <v>19</v>
      </c>
      <c r="F17" s="231">
        <f>ROUNDUP('Allocation Charges'!N10,0)</f>
        <v>2000</v>
      </c>
      <c r="G17" s="6"/>
      <c r="H17" s="48"/>
    </row>
    <row r="18" spans="2:16" x14ac:dyDescent="0.25">
      <c r="B18" t="s">
        <v>20</v>
      </c>
      <c r="F18" s="102"/>
      <c r="G18" s="6"/>
      <c r="H18" s="48"/>
      <c r="I18" t="s">
        <v>91</v>
      </c>
      <c r="J18" s="70">
        <f>J16</f>
        <v>118098</v>
      </c>
      <c r="N18" s="71">
        <f>N16</f>
        <v>35044.04</v>
      </c>
      <c r="P18" s="70">
        <f>P16</f>
        <v>118098</v>
      </c>
    </row>
    <row r="19" spans="2:16" x14ac:dyDescent="0.25">
      <c r="C19" t="s">
        <v>37</v>
      </c>
      <c r="F19" s="134">
        <f>'Direct Charges'!N38</f>
        <v>0</v>
      </c>
      <c r="G19" s="6"/>
      <c r="H19" s="48"/>
      <c r="I19" s="48"/>
      <c r="J19" s="222"/>
      <c r="K19" s="6"/>
      <c r="L19" s="45"/>
      <c r="M19" s="6"/>
      <c r="N19" s="49"/>
      <c r="O19" s="6"/>
      <c r="P19" s="38"/>
    </row>
    <row r="20" spans="2:16" x14ac:dyDescent="0.25">
      <c r="C20" t="s">
        <v>38</v>
      </c>
      <c r="F20" s="134">
        <f>'Allocation Charges'!N11</f>
        <v>269.94285351123295</v>
      </c>
      <c r="G20" s="6"/>
      <c r="K20" s="6"/>
      <c r="M20" s="6"/>
      <c r="O20" s="6"/>
    </row>
    <row r="21" spans="2:16" x14ac:dyDescent="0.25">
      <c r="D21" s="7" t="s">
        <v>39</v>
      </c>
      <c r="F21" s="232">
        <f>ROUNDUP(F19+F20,0)</f>
        <v>270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Charges'!N44</f>
        <v>1462.5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242.94564985658215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1706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276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Charges'!N50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4.455425232638655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5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Charges'!N56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201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128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134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9034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295</v>
      </c>
      <c r="G42" s="6"/>
      <c r="H42" s="124"/>
      <c r="K42" s="6"/>
      <c r="M42" s="6"/>
      <c r="O42" s="6"/>
    </row>
    <row r="43" spans="1:15" x14ac:dyDescent="0.25">
      <c r="F43" s="102"/>
      <c r="G43" s="6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371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123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194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117</v>
      </c>
      <c r="G47" s="6"/>
      <c r="I47" s="60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111</v>
      </c>
      <c r="G48" s="6"/>
      <c r="I48" s="60"/>
    </row>
    <row r="49" spans="1:9" x14ac:dyDescent="0.25">
      <c r="B49" t="s">
        <v>31</v>
      </c>
      <c r="F49" s="231">
        <f>ROUNDUP('Allocation Charges'!N32,0)</f>
        <v>307</v>
      </c>
      <c r="G49" s="6"/>
      <c r="I49" s="60"/>
    </row>
    <row r="50" spans="1:9" x14ac:dyDescent="0.25">
      <c r="F50" s="102"/>
    </row>
    <row r="51" spans="1:9" x14ac:dyDescent="0.25">
      <c r="F51" s="233">
        <f>SUM(F44:F49)</f>
        <v>1223</v>
      </c>
      <c r="H51" s="23"/>
      <c r="I51" s="23"/>
    </row>
    <row r="52" spans="1:9" x14ac:dyDescent="0.25">
      <c r="F52" s="102"/>
    </row>
    <row r="53" spans="1:9" x14ac:dyDescent="0.25">
      <c r="A53" s="16" t="s">
        <v>84</v>
      </c>
      <c r="F53" s="221">
        <f>ROUNDUP(N16,0)</f>
        <v>35045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45302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0" sqref="I20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284</v>
      </c>
      <c r="F1" s="6" t="str">
        <f>+'Commodity OK'!H2</f>
        <v>Data Input Mar.23 billing =Mar invoices = Feb Flow  data= Feb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281</v>
      </c>
      <c r="I3" s="19"/>
      <c r="J3" s="19" t="s">
        <v>282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283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277</v>
      </c>
      <c r="F7" s="85">
        <f>+'Direct Charges'!P21</f>
        <v>465.17</v>
      </c>
      <c r="G7" s="60"/>
      <c r="H7" s="85">
        <f>ROUNDUP(F7,0)</f>
        <v>466</v>
      </c>
      <c r="I7" s="60"/>
      <c r="J7" s="227"/>
      <c r="K7" s="60"/>
    </row>
    <row r="8" spans="1:12" x14ac:dyDescent="0.25">
      <c r="C8" t="s">
        <v>278</v>
      </c>
      <c r="F8" s="85">
        <f>+'Direct Charges'!P22</f>
        <v>1020.81</v>
      </c>
      <c r="G8" s="60"/>
      <c r="H8" s="85"/>
      <c r="I8" s="60"/>
      <c r="J8" s="85">
        <f>ROUNDUP(F8,0)</f>
        <v>1021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279</v>
      </c>
      <c r="F11" s="85">
        <f>+'Direct Charges'!F34</f>
        <v>175.67</v>
      </c>
      <c r="G11" s="60"/>
      <c r="H11" s="85">
        <f>ROUNDUP(F11,0)</f>
        <v>176</v>
      </c>
      <c r="I11" s="60"/>
      <c r="J11" s="227"/>
      <c r="K11" s="60"/>
    </row>
    <row r="12" spans="1:12" x14ac:dyDescent="0.25">
      <c r="C12" t="s">
        <v>280</v>
      </c>
      <c r="F12" s="85">
        <f>+'Direct Charges'!F35</f>
        <v>89.47</v>
      </c>
      <c r="G12" s="60"/>
      <c r="H12" s="85"/>
      <c r="I12" s="60"/>
      <c r="J12" s="85">
        <f>ROUNDUP(F12,0)</f>
        <v>90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1751.1200000000001</v>
      </c>
      <c r="G14" s="120"/>
      <c r="H14" s="224">
        <f>SUM(H7:H13)</f>
        <v>642</v>
      </c>
      <c r="I14" s="120"/>
      <c r="J14" s="224">
        <f>SUM(J7:J13)</f>
        <v>1111</v>
      </c>
      <c r="K14" s="120"/>
    </row>
    <row r="16" spans="1:12" x14ac:dyDescent="0.25">
      <c r="F16" s="6">
        <f>SUM(H14:K14)</f>
        <v>1753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2023-08-12T02:49:50Z</cp:lastPrinted>
  <dcterms:created xsi:type="dcterms:W3CDTF">2013-02-08T00:44:54Z</dcterms:created>
  <dcterms:modified xsi:type="dcterms:W3CDTF">2024-10-14T23:39:00Z</dcterms:modified>
</cp:coreProperties>
</file>