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rlosGonzalez\Navitas Utility Dropbox\Carlos Gonzalez\Accounting\Rate Cases\KY\2024\DR\DR 1\39\"/>
    </mc:Choice>
  </mc:AlternateContent>
  <xr:revisionPtr revIDLastSave="0" documentId="13_ncr:1_{B1CB2476-1CCF-484B-821D-1F0FFA86FA26}" xr6:coauthVersionLast="47" xr6:coauthVersionMax="47" xr10:uidLastSave="{00000000-0000-0000-0000-000000000000}"/>
  <bookViews>
    <workbookView xWindow="-120" yWindow="-120" windowWidth="29040" windowHeight="15720" tabRatio="837" xr2:uid="{00000000-000D-0000-FFFF-FFFF00000000}"/>
  </bookViews>
  <sheets>
    <sheet name="Direct Charges" sheetId="1" r:id="rId1"/>
    <sheet name="Allocation Charges" sheetId="4" r:id="rId2"/>
    <sheet name="Oklahoma" sheetId="6" r:id="rId3"/>
    <sheet name="Commodity OK" sheetId="11" r:id="rId4"/>
    <sheet name="Tennessee" sheetId="8" r:id="rId5"/>
    <sheet name="Kentucky" sheetId="9" r:id="rId6"/>
    <sheet name="Commodity TN KY" sheetId="28" r:id="rId7"/>
    <sheet name="Commodity Texas" sheetId="15" r:id="rId8"/>
    <sheet name="NC Hydro" sheetId="30" r:id="rId9"/>
    <sheet name="2023 Allocation Source" sheetId="31" r:id="rId10"/>
    <sheet name="2023 NUC Rent" sheetId="32" r:id="rId11"/>
    <sheet name="2023 NALLC Rent" sheetId="33" r:id="rId12"/>
    <sheet name="20223 FCFA Rent" sheetId="34" r:id="rId13"/>
    <sheet name="2022 Allocation Source" sheetId="24" r:id="rId14"/>
    <sheet name="2022 Allocation Source NP" sheetId="23" r:id="rId15"/>
    <sheet name="2021 Allocation Source" sheetId="21" r:id="rId16"/>
    <sheet name="2022 NUC Rent" sheetId="25" r:id="rId17"/>
    <sheet name="2021 NUC Rent" sheetId="2" r:id="rId18"/>
    <sheet name="2022 NALLC Rent" sheetId="26" r:id="rId19"/>
    <sheet name="2021 NALLC Rent" sheetId="12" r:id="rId20"/>
    <sheet name="2022 FCFA Rent" sheetId="27" r:id="rId21"/>
    <sheet name="2021 FCFA Rent" sheetId="13" r:id="rId22"/>
  </sheets>
  <definedNames>
    <definedName name="_xlnm.Print_Area" localSheetId="1">'Allocation Charges'!$A$1:$R$34</definedName>
    <definedName name="_xlnm.Print_Area" localSheetId="3">'Commodity OK'!$A$1:$T$47</definedName>
    <definedName name="_xlnm.Print_Area" localSheetId="7">'Commodity Texas'!$A$1:$Z$56</definedName>
    <definedName name="_xlnm.Print_Area" localSheetId="0">'Direct Charges'!$Q$4:$AB$122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6" i="33" l="1"/>
  <c r="K14" i="33"/>
  <c r="J6" i="6"/>
  <c r="R4" i="6"/>
  <c r="Z8" i="34"/>
  <c r="X8" i="34"/>
  <c r="V8" i="34"/>
  <c r="R8" i="34"/>
  <c r="N8" i="34"/>
  <c r="L8" i="34"/>
  <c r="H8" i="34"/>
  <c r="V17" i="34"/>
  <c r="V18" i="34" s="1"/>
  <c r="V16" i="34"/>
  <c r="V15" i="34"/>
  <c r="V14" i="34"/>
  <c r="F10" i="34"/>
  <c r="E8" i="33"/>
  <c r="V14" i="27"/>
  <c r="V15" i="27"/>
  <c r="V16" i="27"/>
  <c r="V17" i="27"/>
  <c r="L10" i="34" l="1"/>
  <c r="V10" i="34"/>
  <c r="X10" i="34"/>
  <c r="R10" i="34"/>
  <c r="N10" i="34" l="1"/>
  <c r="Z10" i="34"/>
  <c r="Z15" i="34" l="1"/>
  <c r="AA15" i="34" s="1"/>
  <c r="Z17" i="34"/>
  <c r="AA17" i="34" s="1"/>
  <c r="Z14" i="34"/>
  <c r="Z16" i="34"/>
  <c r="AA16" i="34" s="1"/>
  <c r="Z18" i="34" l="1"/>
  <c r="AA14" i="34"/>
  <c r="AA18" i="34" s="1"/>
  <c r="C8" i="33" l="1"/>
  <c r="J17" i="33"/>
  <c r="J16" i="33"/>
  <c r="J15" i="33"/>
  <c r="J14" i="33"/>
  <c r="B10" i="33"/>
  <c r="G8" i="33"/>
  <c r="G10" i="33" s="1"/>
  <c r="B8" i="33"/>
  <c r="H8" i="27"/>
  <c r="I13" i="28"/>
  <c r="E13" i="28"/>
  <c r="I12" i="28"/>
  <c r="E12" i="28"/>
  <c r="N12" i="15"/>
  <c r="N7" i="15"/>
  <c r="J7" i="15"/>
  <c r="E33" i="28"/>
  <c r="E20" i="28"/>
  <c r="E19" i="28"/>
  <c r="K33" i="28"/>
  <c r="K20" i="28"/>
  <c r="K19" i="28"/>
  <c r="F8" i="33" l="1"/>
  <c r="J18" i="33"/>
  <c r="I8" i="33"/>
  <c r="C43" i="11"/>
  <c r="F7" i="11"/>
  <c r="D7" i="11"/>
  <c r="F8" i="11"/>
  <c r="D8" i="11"/>
  <c r="S20" i="4"/>
  <c r="R20" i="4"/>
  <c r="F12" i="4"/>
  <c r="F11" i="4"/>
  <c r="F7" i="4"/>
  <c r="C25" i="32"/>
  <c r="C27" i="32" s="1"/>
  <c r="D26" i="32" s="1"/>
  <c r="D15" i="32"/>
  <c r="B15" i="32"/>
  <c r="G13" i="32"/>
  <c r="I13" i="32" s="1"/>
  <c r="J13" i="32" s="1"/>
  <c r="G12" i="32"/>
  <c r="I12" i="32" s="1"/>
  <c r="J12" i="32" s="1"/>
  <c r="G11" i="32"/>
  <c r="I11" i="32" s="1"/>
  <c r="J11" i="32" s="1"/>
  <c r="G10" i="32"/>
  <c r="I10" i="32" s="1"/>
  <c r="J10" i="32" s="1"/>
  <c r="G9" i="32"/>
  <c r="I9" i="32" s="1"/>
  <c r="G8" i="32"/>
  <c r="E10" i="33" l="1"/>
  <c r="I10" i="33"/>
  <c r="J8" i="33"/>
  <c r="J10" i="33" s="1"/>
  <c r="F10" i="33"/>
  <c r="G15" i="32"/>
  <c r="I8" i="32"/>
  <c r="J8" i="32" s="1"/>
  <c r="D25" i="32"/>
  <c r="J9" i="32"/>
  <c r="J15" i="32" s="1"/>
  <c r="I15" i="32"/>
  <c r="K8" i="33" l="1"/>
  <c r="K10" i="33" s="1"/>
  <c r="C10" i="32"/>
  <c r="E10" i="32" s="1"/>
  <c r="F10" i="32" s="1"/>
  <c r="K10" i="32" s="1"/>
  <c r="F29" i="4" s="1"/>
  <c r="C9" i="32"/>
  <c r="E9" i="32" s="1"/>
  <c r="F9" i="32" s="1"/>
  <c r="K9" i="32" s="1"/>
  <c r="F28" i="4" s="1"/>
  <c r="C13" i="32"/>
  <c r="E13" i="32" s="1"/>
  <c r="F13" i="32" s="1"/>
  <c r="K13" i="32" s="1"/>
  <c r="F32" i="4" s="1"/>
  <c r="C8" i="32"/>
  <c r="E8" i="32" s="1"/>
  <c r="C12" i="32"/>
  <c r="E12" i="32" s="1"/>
  <c r="F12" i="32" s="1"/>
  <c r="K12" i="32" s="1"/>
  <c r="F31" i="4" s="1"/>
  <c r="C11" i="32"/>
  <c r="E11" i="32" s="1"/>
  <c r="F11" i="32" s="1"/>
  <c r="K11" i="32" s="1"/>
  <c r="F30" i="4" s="1"/>
  <c r="K17" i="33" l="1"/>
  <c r="L17" i="33" s="1"/>
  <c r="K16" i="33"/>
  <c r="K15" i="33"/>
  <c r="L15" i="33" s="1"/>
  <c r="E15" i="32"/>
  <c r="F8" i="32"/>
  <c r="K8" i="32" s="1"/>
  <c r="L14" i="33" l="1"/>
  <c r="K18" i="33"/>
  <c r="L18" i="33" s="1"/>
  <c r="F15" i="32"/>
  <c r="K15" i="32" l="1"/>
  <c r="F27" i="4"/>
  <c r="F3" i="31" l="1"/>
  <c r="F4" i="31" s="1"/>
  <c r="E3" i="31"/>
  <c r="E4" i="31" s="1"/>
  <c r="D3" i="31"/>
  <c r="D4" i="31" s="1"/>
  <c r="F19" i="31"/>
  <c r="E19" i="31"/>
  <c r="D19" i="31"/>
  <c r="C19" i="31"/>
  <c r="G23" i="31"/>
  <c r="F24" i="31" s="1"/>
  <c r="F28" i="31" s="1"/>
  <c r="A18" i="31"/>
  <c r="C8" i="31" l="1"/>
  <c r="G8" i="31" s="1"/>
  <c r="F9" i="31" s="1"/>
  <c r="F13" i="31" s="1"/>
  <c r="G19" i="31"/>
  <c r="E20" i="31" s="1"/>
  <c r="E27" i="31" s="1"/>
  <c r="F20" i="31"/>
  <c r="F27" i="31" s="1"/>
  <c r="F29" i="31" s="1"/>
  <c r="Q7" i="6" s="1"/>
  <c r="C24" i="31"/>
  <c r="C3" i="31"/>
  <c r="D24" i="31"/>
  <c r="D28" i="31" s="1"/>
  <c r="E24" i="31"/>
  <c r="E28" i="31" s="1"/>
  <c r="E29" i="31" s="1"/>
  <c r="Q6" i="6" s="1"/>
  <c r="C20" i="31" l="1"/>
  <c r="D20" i="31"/>
  <c r="D27" i="31" s="1"/>
  <c r="D29" i="31" s="1"/>
  <c r="Q5" i="6" s="1"/>
  <c r="D9" i="31"/>
  <c r="D13" i="31" s="1"/>
  <c r="C9" i="31"/>
  <c r="E9" i="31"/>
  <c r="E13" i="31" s="1"/>
  <c r="G24" i="31"/>
  <c r="C28" i="31"/>
  <c r="G20" i="31"/>
  <c r="C27" i="31"/>
  <c r="C4" i="31"/>
  <c r="G3" i="31"/>
  <c r="G9" i="31" l="1"/>
  <c r="C13" i="31"/>
  <c r="C29" i="31"/>
  <c r="Q4" i="6" s="1"/>
  <c r="G4" i="31"/>
  <c r="C5" i="31" s="1"/>
  <c r="J12" i="15"/>
  <c r="H27" i="11"/>
  <c r="H28" i="11"/>
  <c r="G29" i="31" l="1"/>
  <c r="C12" i="31"/>
  <c r="C14" i="31" s="1"/>
  <c r="R6" i="4" s="1"/>
  <c r="E5" i="31"/>
  <c r="E12" i="31" s="1"/>
  <c r="E14" i="31" s="1"/>
  <c r="R4" i="4" s="1"/>
  <c r="D5" i="31"/>
  <c r="D12" i="31" s="1"/>
  <c r="D14" i="31" s="1"/>
  <c r="R5" i="4" s="1"/>
  <c r="F5" i="31"/>
  <c r="F12" i="31" s="1"/>
  <c r="F14" i="31" s="1"/>
  <c r="R7" i="4" s="1"/>
  <c r="G14" i="31" l="1"/>
  <c r="G5" i="31"/>
  <c r="P28" i="28"/>
  <c r="L10" i="15"/>
  <c r="E15" i="28" l="1"/>
  <c r="C25" i="25" l="1"/>
  <c r="F12" i="30" l="1"/>
  <c r="J12" i="30" s="1"/>
  <c r="F11" i="30"/>
  <c r="H11" i="30" s="1"/>
  <c r="F1" i="30"/>
  <c r="P36" i="1"/>
  <c r="P35" i="1"/>
  <c r="P22" i="1"/>
  <c r="F8" i="30" s="1"/>
  <c r="J8" i="30" s="1"/>
  <c r="P21" i="1"/>
  <c r="F7" i="30" s="1"/>
  <c r="H7" i="30" s="1"/>
  <c r="J14" i="30" l="1"/>
  <c r="H14" i="30"/>
  <c r="F14" i="30"/>
  <c r="N68" i="1" s="1"/>
  <c r="P60" i="1"/>
  <c r="P68" i="1" s="1"/>
  <c r="K1" i="28" l="1"/>
  <c r="H31" i="11" l="1"/>
  <c r="H33" i="11"/>
  <c r="F55" i="8" l="1"/>
  <c r="F54" i="8"/>
  <c r="F16" i="30" l="1"/>
  <c r="H55" i="8"/>
  <c r="H54" i="8"/>
  <c r="I1" i="28"/>
  <c r="G7" i="28"/>
  <c r="G9" i="28"/>
  <c r="G10" i="28"/>
  <c r="G12" i="28"/>
  <c r="G14" i="28"/>
  <c r="K22" i="28"/>
  <c r="E22" i="28"/>
  <c r="G19" i="28" s="1"/>
  <c r="G27" i="28"/>
  <c r="G28" i="28"/>
  <c r="I29" i="28"/>
  <c r="I33" i="28"/>
  <c r="I35" i="28" s="1"/>
  <c r="E35" i="28"/>
  <c r="G33" i="28" s="1"/>
  <c r="G35" i="28" s="1"/>
  <c r="K35" i="28"/>
  <c r="I45" i="28"/>
  <c r="G13" i="28" l="1"/>
  <c r="G8" i="28"/>
  <c r="G20" i="28"/>
  <c r="G22" i="28" s="1"/>
  <c r="I15" i="28"/>
  <c r="G11" i="28"/>
  <c r="H56" i="9" l="1"/>
  <c r="H53" i="8"/>
  <c r="I20" i="28"/>
  <c r="I19" i="28"/>
  <c r="G15" i="28"/>
  <c r="F56" i="9" l="1"/>
  <c r="I38" i="28"/>
  <c r="F53" i="8"/>
  <c r="I39" i="28"/>
  <c r="P27" i="28"/>
  <c r="I22" i="28"/>
  <c r="W46" i="2"/>
  <c r="G28" i="2"/>
  <c r="I28" i="2" s="1"/>
  <c r="B30" i="2"/>
  <c r="G38" i="2"/>
  <c r="G40" i="2" s="1"/>
  <c r="B40" i="2"/>
  <c r="J40" i="2"/>
  <c r="G30" i="2" l="1"/>
  <c r="I40" i="28"/>
  <c r="I47" i="28" s="1"/>
  <c r="J28" i="2"/>
  <c r="J30" i="2" s="1"/>
  <c r="I30" i="2"/>
  <c r="I38" i="2"/>
  <c r="I40" i="2" s="1"/>
  <c r="F60" i="1" l="1"/>
  <c r="F65" i="1" s="1"/>
  <c r="F35" i="15"/>
  <c r="F46" i="9"/>
  <c r="F37" i="9"/>
  <c r="F35" i="8"/>
  <c r="N60" i="6" l="1"/>
  <c r="J57" i="6"/>
  <c r="F21" i="4" l="1"/>
  <c r="F66" i="1" s="1"/>
  <c r="F10" i="27"/>
  <c r="R8" i="27"/>
  <c r="V8" i="27" s="1"/>
  <c r="V10" i="27" l="1"/>
  <c r="X8" i="27"/>
  <c r="X10" i="27" s="1"/>
  <c r="R10" i="27"/>
  <c r="B8" i="26" l="1"/>
  <c r="G8" i="26" s="1"/>
  <c r="B10" i="26" l="1"/>
  <c r="I8" i="26"/>
  <c r="G10" i="26"/>
  <c r="J8" i="26" l="1"/>
  <c r="J10" i="26" s="1"/>
  <c r="I10" i="26"/>
  <c r="C27" i="25" l="1"/>
  <c r="D26" i="25" s="1"/>
  <c r="D15" i="25"/>
  <c r="B15" i="25"/>
  <c r="G13" i="25"/>
  <c r="I13" i="25" s="1"/>
  <c r="J13" i="25" s="1"/>
  <c r="G12" i="25"/>
  <c r="I12" i="25" s="1"/>
  <c r="J12" i="25" s="1"/>
  <c r="G11" i="25"/>
  <c r="I11" i="25" s="1"/>
  <c r="J11" i="25" s="1"/>
  <c r="G10" i="25"/>
  <c r="I10" i="25" s="1"/>
  <c r="J10" i="25" s="1"/>
  <c r="G9" i="25"/>
  <c r="I9" i="25" s="1"/>
  <c r="J9" i="25" s="1"/>
  <c r="G8" i="25"/>
  <c r="C48" i="2"/>
  <c r="G15" i="25" l="1"/>
  <c r="I8" i="25"/>
  <c r="D25" i="25"/>
  <c r="C8" i="26" l="1"/>
  <c r="E8" i="26" s="1"/>
  <c r="C13" i="25"/>
  <c r="E13" i="25" s="1"/>
  <c r="F13" i="25" s="1"/>
  <c r="K13" i="25" s="1"/>
  <c r="C11" i="25"/>
  <c r="E11" i="25" s="1"/>
  <c r="F11" i="25" s="1"/>
  <c r="K11" i="25" s="1"/>
  <c r="C9" i="25"/>
  <c r="E9" i="25" s="1"/>
  <c r="F9" i="25" s="1"/>
  <c r="K9" i="25" s="1"/>
  <c r="C12" i="25"/>
  <c r="E12" i="25" s="1"/>
  <c r="F12" i="25" s="1"/>
  <c r="K12" i="25" s="1"/>
  <c r="C10" i="25"/>
  <c r="E10" i="25" s="1"/>
  <c r="F10" i="25" s="1"/>
  <c r="K10" i="25" s="1"/>
  <c r="C8" i="25"/>
  <c r="E8" i="25" s="1"/>
  <c r="I15" i="25"/>
  <c r="J8" i="25"/>
  <c r="J15" i="25" s="1"/>
  <c r="F8" i="26" l="1"/>
  <c r="E10" i="26"/>
  <c r="E15" i="25"/>
  <c r="F8" i="25"/>
  <c r="K8" i="25" s="1"/>
  <c r="K8" i="26" l="1"/>
  <c r="K10" i="26" s="1"/>
  <c r="F10" i="26"/>
  <c r="F15" i="25"/>
  <c r="K15" i="25"/>
  <c r="L58" i="1" l="1"/>
  <c r="F34" i="6" s="1"/>
  <c r="N57" i="1"/>
  <c r="F32" i="15" s="1"/>
  <c r="J56" i="1"/>
  <c r="F32" i="8" s="1"/>
  <c r="H55" i="1"/>
  <c r="F34" i="9" s="1"/>
  <c r="L52" i="1"/>
  <c r="F30" i="6" s="1"/>
  <c r="N51" i="1"/>
  <c r="F28" i="15" s="1"/>
  <c r="J50" i="1"/>
  <c r="F28" i="8" s="1"/>
  <c r="H49" i="1"/>
  <c r="F30" i="9" s="1"/>
  <c r="E3" i="24"/>
  <c r="F3" i="24"/>
  <c r="D3" i="24"/>
  <c r="F19" i="24" l="1"/>
  <c r="D19" i="24"/>
  <c r="E19" i="24"/>
  <c r="C19" i="24"/>
  <c r="G23" i="24"/>
  <c r="F24" i="24" s="1"/>
  <c r="F28" i="24" s="1"/>
  <c r="A18" i="24"/>
  <c r="F4" i="24"/>
  <c r="E4" i="24"/>
  <c r="D4" i="24"/>
  <c r="G19" i="24" l="1"/>
  <c r="E20" i="24" s="1"/>
  <c r="E27" i="24" s="1"/>
  <c r="C8" i="24"/>
  <c r="G8" i="24" s="1"/>
  <c r="C24" i="24"/>
  <c r="D24" i="24"/>
  <c r="D28" i="24" s="1"/>
  <c r="E24" i="24"/>
  <c r="E28" i="24" s="1"/>
  <c r="C3" i="24" l="1"/>
  <c r="C20" i="24"/>
  <c r="D20" i="24"/>
  <c r="D27" i="24" s="1"/>
  <c r="E29" i="24"/>
  <c r="F20" i="24"/>
  <c r="F27" i="24" s="1"/>
  <c r="F29" i="24" s="1"/>
  <c r="G20" i="24"/>
  <c r="C27" i="24"/>
  <c r="D29" i="24"/>
  <c r="G24" i="24"/>
  <c r="C28" i="24"/>
  <c r="G3" i="24"/>
  <c r="C4" i="24"/>
  <c r="D9" i="24"/>
  <c r="D13" i="24" s="1"/>
  <c r="F9" i="24"/>
  <c r="F13" i="24" s="1"/>
  <c r="E9" i="24"/>
  <c r="E13" i="24" s="1"/>
  <c r="C9" i="24"/>
  <c r="C29" i="24" l="1"/>
  <c r="C13" i="24"/>
  <c r="G9" i="24"/>
  <c r="G4" i="24"/>
  <c r="G29" i="24" l="1"/>
  <c r="F5" i="24"/>
  <c r="F12" i="24" s="1"/>
  <c r="F14" i="24" s="1"/>
  <c r="E5" i="24"/>
  <c r="E12" i="24" s="1"/>
  <c r="E14" i="24" s="1"/>
  <c r="D5" i="24"/>
  <c r="D12" i="24" s="1"/>
  <c r="D14" i="24" s="1"/>
  <c r="C5" i="24"/>
  <c r="G23" i="23"/>
  <c r="C8" i="23" s="1"/>
  <c r="G19" i="23"/>
  <c r="F20" i="23" s="1"/>
  <c r="F27" i="23" s="1"/>
  <c r="A18" i="23"/>
  <c r="F4" i="23"/>
  <c r="E4" i="23"/>
  <c r="D4" i="23"/>
  <c r="J14" i="26" l="1"/>
  <c r="J17" i="26"/>
  <c r="K17" i="26" s="1"/>
  <c r="L17" i="26" s="1"/>
  <c r="J15" i="26"/>
  <c r="K15" i="26" s="1"/>
  <c r="L15" i="26" s="1"/>
  <c r="C12" i="24"/>
  <c r="C14" i="24" s="1"/>
  <c r="G5" i="24"/>
  <c r="C24" i="23"/>
  <c r="C28" i="23" s="1"/>
  <c r="E24" i="23"/>
  <c r="E28" i="23" s="1"/>
  <c r="D24" i="23"/>
  <c r="D28" i="23" s="1"/>
  <c r="G8" i="23"/>
  <c r="C20" i="23"/>
  <c r="F24" i="23"/>
  <c r="F28" i="23" s="1"/>
  <c r="F29" i="23" s="1"/>
  <c r="D20" i="23"/>
  <c r="D27" i="23" s="1"/>
  <c r="C3" i="23"/>
  <c r="C4" i="23" s="1"/>
  <c r="E20" i="23"/>
  <c r="E27" i="23" s="1"/>
  <c r="N29" i="4" l="1"/>
  <c r="F46" i="15" s="1"/>
  <c r="N28" i="4"/>
  <c r="F45" i="15" s="1"/>
  <c r="N27" i="4"/>
  <c r="F44" i="15" s="1"/>
  <c r="J29" i="4"/>
  <c r="F46" i="8" s="1"/>
  <c r="J28" i="4"/>
  <c r="F45" i="8" s="1"/>
  <c r="J27" i="4"/>
  <c r="F44" i="8" s="1"/>
  <c r="H29" i="4"/>
  <c r="F49" i="9" s="1"/>
  <c r="H28" i="4"/>
  <c r="F48" i="9" s="1"/>
  <c r="H27" i="4"/>
  <c r="F47" i="9" s="1"/>
  <c r="H7" i="4"/>
  <c r="G14" i="24"/>
  <c r="L8" i="4"/>
  <c r="J16" i="26"/>
  <c r="K16" i="26" s="1"/>
  <c r="L16" i="26" s="1"/>
  <c r="K14" i="26"/>
  <c r="V18" i="27"/>
  <c r="E29" i="23"/>
  <c r="D29" i="23"/>
  <c r="G20" i="23"/>
  <c r="C27" i="23"/>
  <c r="C29" i="23" s="1"/>
  <c r="D9" i="23"/>
  <c r="D13" i="23" s="1"/>
  <c r="E9" i="23"/>
  <c r="E13" i="23" s="1"/>
  <c r="F9" i="23"/>
  <c r="F13" i="23" s="1"/>
  <c r="G3" i="23"/>
  <c r="G24" i="23"/>
  <c r="C9" i="23"/>
  <c r="H24" i="11"/>
  <c r="L29" i="4" l="1"/>
  <c r="L28" i="4"/>
  <c r="L27" i="4"/>
  <c r="J18" i="26"/>
  <c r="L14" i="26"/>
  <c r="K18" i="26"/>
  <c r="L18" i="26" s="1"/>
  <c r="G29" i="23"/>
  <c r="G9" i="23"/>
  <c r="C13" i="23"/>
  <c r="G4" i="23"/>
  <c r="C5" i="23" s="1"/>
  <c r="F5" i="23" l="1"/>
  <c r="F12" i="23" s="1"/>
  <c r="F14" i="23" s="1"/>
  <c r="D5" i="23"/>
  <c r="D12" i="23" s="1"/>
  <c r="D14" i="23" s="1"/>
  <c r="E5" i="23"/>
  <c r="E12" i="23" s="1"/>
  <c r="E14" i="23" s="1"/>
  <c r="G5" i="23" l="1"/>
  <c r="C12" i="23"/>
  <c r="C14" i="23" s="1"/>
  <c r="G14" i="23" s="1"/>
  <c r="H34" i="11" l="1"/>
  <c r="H10" i="11" l="1"/>
  <c r="H31" i="1" l="1"/>
  <c r="F15" i="9" s="1"/>
  <c r="D15" i="2" l="1"/>
  <c r="D28" i="2" l="1"/>
  <c r="D38" i="2"/>
  <c r="J8" i="13"/>
  <c r="L8" i="27"/>
  <c r="N8" i="27" l="1"/>
  <c r="L10" i="27"/>
  <c r="A18" i="21"/>
  <c r="G19" i="21"/>
  <c r="C20" i="21" s="1"/>
  <c r="G23" i="21"/>
  <c r="Z8" i="27" l="1"/>
  <c r="Z10" i="27" s="1"/>
  <c r="N10" i="27"/>
  <c r="D24" i="21"/>
  <c r="D28" i="21" s="1"/>
  <c r="C8" i="21"/>
  <c r="C3" i="21"/>
  <c r="C27" i="21"/>
  <c r="F20" i="21"/>
  <c r="F27" i="21" s="1"/>
  <c r="E20" i="21"/>
  <c r="E27" i="21" s="1"/>
  <c r="D20" i="21"/>
  <c r="C24" i="21"/>
  <c r="F24" i="21"/>
  <c r="F28" i="21" s="1"/>
  <c r="E24" i="21"/>
  <c r="E28" i="21" s="1"/>
  <c r="Z16" i="27" l="1"/>
  <c r="AA16" i="27" s="1"/>
  <c r="Z17" i="27"/>
  <c r="AA17" i="27" s="1"/>
  <c r="Z14" i="27"/>
  <c r="Z15" i="27"/>
  <c r="AA15" i="27" s="1"/>
  <c r="G20" i="21"/>
  <c r="E29" i="21"/>
  <c r="F29" i="21"/>
  <c r="D27" i="21"/>
  <c r="D29" i="21" s="1"/>
  <c r="C28" i="21"/>
  <c r="C29" i="21" s="1"/>
  <c r="G24" i="21"/>
  <c r="G29" i="21" l="1"/>
  <c r="AA14" i="27"/>
  <c r="AA18" i="27" s="1"/>
  <c r="Z18" i="27"/>
  <c r="Q18" i="11"/>
  <c r="M11" i="11" l="1"/>
  <c r="O8" i="11" l="1"/>
  <c r="O9" i="11"/>
  <c r="O7" i="11"/>
  <c r="O6" i="11"/>
  <c r="L11" i="15"/>
  <c r="L9" i="15"/>
  <c r="F35" i="11" l="1"/>
  <c r="F1" i="6" l="1"/>
  <c r="L16" i="4"/>
  <c r="F37" i="6" s="1"/>
  <c r="H32" i="11" l="1"/>
  <c r="S11" i="11" l="1"/>
  <c r="O11" i="11" l="1"/>
  <c r="B8" i="12" l="1"/>
  <c r="G8" i="21" l="1"/>
  <c r="D4" i="21"/>
  <c r="E4" i="21"/>
  <c r="F4" i="21"/>
  <c r="C4" i="21"/>
  <c r="G3" i="21"/>
  <c r="G4" i="21" l="1"/>
  <c r="D5" i="21" s="1"/>
  <c r="D12" i="21" s="1"/>
  <c r="C9" i="21"/>
  <c r="C13" i="21" s="1"/>
  <c r="F9" i="21"/>
  <c r="F13" i="21" s="1"/>
  <c r="E9" i="21"/>
  <c r="E13" i="21" s="1"/>
  <c r="D9" i="21"/>
  <c r="C5" i="21" l="1"/>
  <c r="C12" i="21" s="1"/>
  <c r="C14" i="21" s="1"/>
  <c r="E5" i="21"/>
  <c r="E12" i="21" s="1"/>
  <c r="E14" i="21" s="1"/>
  <c r="F5" i="21"/>
  <c r="F12" i="21" s="1"/>
  <c r="F14" i="21" s="1"/>
  <c r="G9" i="21"/>
  <c r="D13" i="21"/>
  <c r="D14" i="21" s="1"/>
  <c r="G5" i="21" l="1"/>
  <c r="J14" i="4"/>
  <c r="F29" i="8" s="1"/>
  <c r="F30" i="8" s="1"/>
  <c r="V15" i="13"/>
  <c r="N14" i="4"/>
  <c r="F29" i="15" s="1"/>
  <c r="F30" i="15" s="1"/>
  <c r="V17" i="13"/>
  <c r="L14" i="4"/>
  <c r="V16" i="13"/>
  <c r="H14" i="4"/>
  <c r="F31" i="9" s="1"/>
  <c r="F32" i="9" s="1"/>
  <c r="V14" i="13"/>
  <c r="Q8" i="6"/>
  <c r="J16" i="12"/>
  <c r="J14" i="12"/>
  <c r="G14" i="21"/>
  <c r="J15" i="12"/>
  <c r="J17" i="12"/>
  <c r="F31" i="6" l="1"/>
  <c r="F32" i="6" s="1"/>
  <c r="H32" i="6" s="1"/>
  <c r="H37" i="6"/>
  <c r="J18" i="12"/>
  <c r="J19" i="15" l="1"/>
  <c r="F57" i="6" l="1"/>
  <c r="H6" i="4" l="1"/>
  <c r="F8" i="9" s="1"/>
  <c r="F1" i="1" l="1"/>
  <c r="F1" i="9"/>
  <c r="F1" i="8"/>
  <c r="F1" i="4"/>
  <c r="L7" i="15" l="1"/>
  <c r="L8" i="15"/>
  <c r="L6" i="15" l="1"/>
  <c r="R8" i="4" l="1"/>
  <c r="N2" i="15" l="1"/>
  <c r="L2" i="15" l="1"/>
  <c r="H6" i="11" l="1"/>
  <c r="P19" i="15" l="1"/>
  <c r="H30" i="11"/>
  <c r="H29" i="11"/>
  <c r="H26" i="11"/>
  <c r="H25" i="11"/>
  <c r="D35" i="11"/>
  <c r="H17" i="11"/>
  <c r="H16" i="11"/>
  <c r="H15" i="11"/>
  <c r="H14" i="11"/>
  <c r="H13" i="11"/>
  <c r="H12" i="11"/>
  <c r="H11" i="11"/>
  <c r="H9" i="11"/>
  <c r="H8" i="11"/>
  <c r="H7" i="11"/>
  <c r="D18" i="11"/>
  <c r="F40" i="11" s="1"/>
  <c r="F56" i="8" l="1"/>
  <c r="F41" i="11"/>
  <c r="Q19" i="11" s="1"/>
  <c r="Q20" i="11" s="1"/>
  <c r="N17" i="15"/>
  <c r="F53" i="15" s="1"/>
  <c r="J43" i="11"/>
  <c r="M43" i="11" s="1"/>
  <c r="L12" i="15"/>
  <c r="F42" i="11" l="1"/>
  <c r="H59" i="6" s="1"/>
  <c r="N19" i="15"/>
  <c r="N59" i="6" l="1"/>
  <c r="L59" i="6"/>
  <c r="J59" i="6"/>
  <c r="R21" i="4" l="1"/>
  <c r="R23" i="4"/>
  <c r="R22" i="4"/>
  <c r="F67" i="1" l="1"/>
  <c r="F69" i="1" s="1"/>
  <c r="R24" i="4"/>
  <c r="N45" i="1"/>
  <c r="F23" i="15" s="1"/>
  <c r="N39" i="1"/>
  <c r="F19" i="15" s="1"/>
  <c r="N27" i="1"/>
  <c r="F11" i="15" s="1"/>
  <c r="N15" i="1"/>
  <c r="F7" i="15" s="1"/>
  <c r="N9" i="1"/>
  <c r="F6" i="15" s="1"/>
  <c r="N60" i="1" l="1"/>
  <c r="L6" i="4"/>
  <c r="F8" i="6" s="1"/>
  <c r="H8" i="6" l="1"/>
  <c r="V18" i="13"/>
  <c r="N15" i="4"/>
  <c r="F33" i="15" s="1"/>
  <c r="F34" i="15" s="1"/>
  <c r="N10" i="4"/>
  <c r="L19" i="4"/>
  <c r="N18" i="4"/>
  <c r="F37" i="15" s="1"/>
  <c r="N9" i="4"/>
  <c r="F16" i="15" s="1"/>
  <c r="N17" i="4"/>
  <c r="F36" i="15" s="1"/>
  <c r="N8" i="4"/>
  <c r="F15" i="15" s="1"/>
  <c r="N6" i="4"/>
  <c r="F8" i="15" s="1"/>
  <c r="N13" i="4"/>
  <c r="F26" i="15" s="1"/>
  <c r="N11" i="4"/>
  <c r="N12" i="4"/>
  <c r="F24" i="15" s="1"/>
  <c r="F25" i="15" s="1"/>
  <c r="N7" i="4"/>
  <c r="F12" i="15" s="1"/>
  <c r="F13" i="15" s="1"/>
  <c r="N19" i="4"/>
  <c r="F38" i="15" s="1"/>
  <c r="F17" i="15" l="1"/>
  <c r="H10" i="4"/>
  <c r="F19" i="9" s="1"/>
  <c r="L15" i="4"/>
  <c r="F35" i="6" s="1"/>
  <c r="F36" i="6" s="1"/>
  <c r="H36" i="6" s="1"/>
  <c r="H15" i="4"/>
  <c r="F35" i="9" s="1"/>
  <c r="F36" i="9" s="1"/>
  <c r="J15" i="4"/>
  <c r="F33" i="8" s="1"/>
  <c r="F34" i="8" s="1"/>
  <c r="J10" i="4"/>
  <c r="F17" i="8" s="1"/>
  <c r="L10" i="4"/>
  <c r="F20" i="15"/>
  <c r="F21" i="15" s="1"/>
  <c r="F40" i="15" s="1"/>
  <c r="N67" i="1" s="1"/>
  <c r="N21" i="4"/>
  <c r="C50" i="2"/>
  <c r="D48" i="2" s="1"/>
  <c r="B15" i="2"/>
  <c r="G13" i="2"/>
  <c r="I13" i="2" s="1"/>
  <c r="J13" i="2" s="1"/>
  <c r="G12" i="2"/>
  <c r="I12" i="2" s="1"/>
  <c r="J12" i="2" s="1"/>
  <c r="G11" i="2"/>
  <c r="I11" i="2" s="1"/>
  <c r="J11" i="2" s="1"/>
  <c r="G10" i="2"/>
  <c r="I10" i="2" s="1"/>
  <c r="J10" i="2" s="1"/>
  <c r="G9" i="2"/>
  <c r="I9" i="2" s="1"/>
  <c r="J9" i="2" s="1"/>
  <c r="G8" i="2"/>
  <c r="C28" i="2" l="1"/>
  <c r="E28" i="2" s="1"/>
  <c r="C38" i="2"/>
  <c r="E38" i="2" s="1"/>
  <c r="S23" i="4"/>
  <c r="P67" i="1"/>
  <c r="C8" i="12"/>
  <c r="H8" i="13"/>
  <c r="G15" i="2"/>
  <c r="I8" i="2"/>
  <c r="J8" i="2" s="1"/>
  <c r="J15" i="2" s="1"/>
  <c r="D49" i="2"/>
  <c r="C8" i="2"/>
  <c r="E8" i="2" s="1"/>
  <c r="C9" i="2"/>
  <c r="E9" i="2" s="1"/>
  <c r="F9" i="2" s="1"/>
  <c r="K9" i="2" s="1"/>
  <c r="C12" i="2"/>
  <c r="E12" i="2" s="1"/>
  <c r="F12" i="2" s="1"/>
  <c r="K12" i="2" s="1"/>
  <c r="C10" i="2"/>
  <c r="E10" i="2" s="1"/>
  <c r="F10" i="2" s="1"/>
  <c r="K10" i="2" s="1"/>
  <c r="C11" i="2"/>
  <c r="E11" i="2" s="1"/>
  <c r="F11" i="2" s="1"/>
  <c r="K11" i="2" s="1"/>
  <c r="C13" i="2"/>
  <c r="E13" i="2" s="1"/>
  <c r="F13" i="2" s="1"/>
  <c r="K13" i="2" s="1"/>
  <c r="G8" i="12"/>
  <c r="F38" i="2" l="1"/>
  <c r="E40" i="2"/>
  <c r="E30" i="2"/>
  <c r="F28" i="2"/>
  <c r="I15" i="2"/>
  <c r="L8" i="13"/>
  <c r="N8" i="13" s="1"/>
  <c r="F8" i="2"/>
  <c r="E15" i="2"/>
  <c r="R8" i="13"/>
  <c r="F10" i="13"/>
  <c r="I8" i="12"/>
  <c r="J8" i="12" s="1"/>
  <c r="G10" i="12"/>
  <c r="E8" i="12"/>
  <c r="B10" i="12"/>
  <c r="K28" i="2" l="1"/>
  <c r="K30" i="2" s="1"/>
  <c r="F30" i="2"/>
  <c r="F40" i="2"/>
  <c r="K38" i="2"/>
  <c r="K40" i="2" s="1"/>
  <c r="L10" i="13"/>
  <c r="F15" i="2"/>
  <c r="K8" i="2"/>
  <c r="R10" i="13"/>
  <c r="V8" i="13"/>
  <c r="N10" i="13"/>
  <c r="F8" i="12"/>
  <c r="K8" i="12" s="1"/>
  <c r="E10" i="12"/>
  <c r="J10" i="12"/>
  <c r="I10" i="12"/>
  <c r="K15" i="2" l="1"/>
  <c r="X8" i="13"/>
  <c r="V10" i="13"/>
  <c r="K10" i="12"/>
  <c r="K17" i="12" s="1"/>
  <c r="L17" i="12" s="1"/>
  <c r="F10" i="12"/>
  <c r="X10" i="13" l="1"/>
  <c r="Z8" i="13"/>
  <c r="Z10" i="13" s="1"/>
  <c r="K15" i="12"/>
  <c r="L15" i="12" s="1"/>
  <c r="K16" i="12"/>
  <c r="K14" i="12"/>
  <c r="L14" i="12" s="1"/>
  <c r="Z15" i="13" l="1"/>
  <c r="AA15" i="13" s="1"/>
  <c r="Z16" i="13"/>
  <c r="AA16" i="13" s="1"/>
  <c r="Z17" i="13"/>
  <c r="AA17" i="13" s="1"/>
  <c r="Z14" i="13"/>
  <c r="AA14" i="13" s="1"/>
  <c r="L16" i="12"/>
  <c r="K18" i="12"/>
  <c r="L18" i="12" s="1"/>
  <c r="AA18" i="13" l="1"/>
  <c r="Z18" i="13"/>
  <c r="L40" i="1"/>
  <c r="F21" i="6" s="1"/>
  <c r="J38" i="1"/>
  <c r="F19" i="8" s="1"/>
  <c r="H37" i="1"/>
  <c r="F21" i="9" s="1"/>
  <c r="L28" i="1"/>
  <c r="F11" i="6" s="1"/>
  <c r="J26" i="1"/>
  <c r="F11" i="8" s="1"/>
  <c r="H25" i="1"/>
  <c r="F11" i="9" s="1"/>
  <c r="F60" i="6" l="1"/>
  <c r="R5" i="6" l="1"/>
  <c r="J32" i="6" s="1"/>
  <c r="R6" i="6"/>
  <c r="L32" i="6" s="1"/>
  <c r="R7" i="6"/>
  <c r="N32" i="6" s="1"/>
  <c r="L36" i="6" l="1"/>
  <c r="N36" i="6"/>
  <c r="J36" i="6"/>
  <c r="N37" i="6"/>
  <c r="N8" i="6"/>
  <c r="L37" i="6"/>
  <c r="L8" i="6"/>
  <c r="J37" i="6"/>
  <c r="J8" i="6"/>
  <c r="R8" i="6"/>
  <c r="N31" i="4"/>
  <c r="N32" i="4"/>
  <c r="L46" i="1"/>
  <c r="F25" i="6" s="1"/>
  <c r="J44" i="1"/>
  <c r="F23" i="8" s="1"/>
  <c r="H43" i="1"/>
  <c r="F25" i="9" s="1"/>
  <c r="F48" i="15" l="1"/>
  <c r="F49" i="15"/>
  <c r="F48" i="6"/>
  <c r="F47" i="6"/>
  <c r="J30" i="4"/>
  <c r="F47" i="8" s="1"/>
  <c r="N30" i="4"/>
  <c r="F47" i="15" s="1"/>
  <c r="F34" i="4"/>
  <c r="L31" i="4"/>
  <c r="L32" i="1"/>
  <c r="F15" i="6" s="1"/>
  <c r="L18" i="1"/>
  <c r="J47" i="6" l="1"/>
  <c r="L47" i="6"/>
  <c r="H47" i="6"/>
  <c r="N47" i="6"/>
  <c r="L48" i="6"/>
  <c r="N48" i="6"/>
  <c r="H48" i="6"/>
  <c r="J48" i="6"/>
  <c r="F50" i="6"/>
  <c r="F9" i="6"/>
  <c r="L9" i="6" s="1"/>
  <c r="N34" i="4"/>
  <c r="L32" i="4"/>
  <c r="L18" i="4"/>
  <c r="L12" i="4"/>
  <c r="F16" i="6"/>
  <c r="F17" i="6" s="1"/>
  <c r="L7" i="4"/>
  <c r="L30" i="4"/>
  <c r="F40" i="6"/>
  <c r="L17" i="4"/>
  <c r="F38" i="6" s="1"/>
  <c r="L13" i="4"/>
  <c r="F28" i="6" s="1"/>
  <c r="L11" i="4"/>
  <c r="F22" i="6" s="1"/>
  <c r="F23" i="6" s="1"/>
  <c r="L9" i="4"/>
  <c r="F18" i="6" s="1"/>
  <c r="J31" i="4"/>
  <c r="L16" i="1"/>
  <c r="F7" i="6" s="1"/>
  <c r="J14" i="1"/>
  <c r="F7" i="8" s="1"/>
  <c r="H13" i="1"/>
  <c r="F7" i="9" s="1"/>
  <c r="L10" i="1"/>
  <c r="J8" i="1"/>
  <c r="H7" i="1"/>
  <c r="H7" i="6" l="1"/>
  <c r="J7" i="6"/>
  <c r="L7" i="6"/>
  <c r="N7" i="6"/>
  <c r="F26" i="6"/>
  <c r="F27" i="6" s="1"/>
  <c r="F48" i="8"/>
  <c r="J60" i="1"/>
  <c r="F6" i="8"/>
  <c r="H60" i="1"/>
  <c r="F6" i="9"/>
  <c r="H17" i="6"/>
  <c r="J17" i="6"/>
  <c r="L17" i="6"/>
  <c r="N17" i="6"/>
  <c r="J50" i="6"/>
  <c r="H50" i="6"/>
  <c r="L50" i="6"/>
  <c r="N50" i="6"/>
  <c r="H40" i="6"/>
  <c r="J40" i="6"/>
  <c r="L40" i="6"/>
  <c r="N40" i="6"/>
  <c r="L23" i="6"/>
  <c r="J23" i="6"/>
  <c r="N23" i="6"/>
  <c r="H23" i="6"/>
  <c r="H28" i="6"/>
  <c r="J28" i="6"/>
  <c r="L28" i="6"/>
  <c r="N28" i="6"/>
  <c r="J18" i="6"/>
  <c r="L18" i="6"/>
  <c r="N18" i="6"/>
  <c r="H18" i="6"/>
  <c r="N38" i="6"/>
  <c r="H38" i="6"/>
  <c r="L38" i="6"/>
  <c r="J38" i="6"/>
  <c r="F6" i="6"/>
  <c r="L60" i="1"/>
  <c r="F12" i="6"/>
  <c r="F13" i="6" s="1"/>
  <c r="F39" i="6"/>
  <c r="F46" i="6"/>
  <c r="F51" i="6"/>
  <c r="F49" i="6"/>
  <c r="H31" i="4"/>
  <c r="F51" i="9" s="1"/>
  <c r="F59" i="6"/>
  <c r="H32" i="4"/>
  <c r="F52" i="9" s="1"/>
  <c r="H30" i="4"/>
  <c r="F50" i="9" s="1"/>
  <c r="H19" i="4"/>
  <c r="F40" i="9" s="1"/>
  <c r="H17" i="4"/>
  <c r="F38" i="9" s="1"/>
  <c r="H13" i="4"/>
  <c r="F28" i="9" s="1"/>
  <c r="H11" i="4"/>
  <c r="H9" i="4"/>
  <c r="F18" i="9" s="1"/>
  <c r="H18" i="4"/>
  <c r="F39" i="9" s="1"/>
  <c r="H12" i="4"/>
  <c r="H8" i="4"/>
  <c r="F16" i="9" s="1"/>
  <c r="F17" i="9" s="1"/>
  <c r="J18" i="4"/>
  <c r="F37" i="8" s="1"/>
  <c r="J12" i="4"/>
  <c r="F24" i="8" s="1"/>
  <c r="F25" i="8" s="1"/>
  <c r="J8" i="4"/>
  <c r="F15" i="8" s="1"/>
  <c r="J7" i="4"/>
  <c r="F12" i="8" s="1"/>
  <c r="F13" i="8" s="1"/>
  <c r="J6" i="4"/>
  <c r="F8" i="8" s="1"/>
  <c r="J32" i="4"/>
  <c r="J19" i="4"/>
  <c r="F38" i="8" s="1"/>
  <c r="J17" i="4"/>
  <c r="F36" i="8" s="1"/>
  <c r="J13" i="4"/>
  <c r="F26" i="8" s="1"/>
  <c r="J11" i="4"/>
  <c r="F20" i="8" s="1"/>
  <c r="F21" i="8" s="1"/>
  <c r="J9" i="4"/>
  <c r="F16" i="8" s="1"/>
  <c r="L34" i="4"/>
  <c r="H27" i="6" l="1"/>
  <c r="L27" i="6"/>
  <c r="N27" i="6"/>
  <c r="J27" i="6"/>
  <c r="F49" i="8"/>
  <c r="F40" i="8"/>
  <c r="J46" i="6"/>
  <c r="L46" i="6"/>
  <c r="N46" i="6"/>
  <c r="H46" i="6"/>
  <c r="H13" i="6"/>
  <c r="J13" i="6"/>
  <c r="L13" i="6"/>
  <c r="N13" i="6"/>
  <c r="H39" i="6"/>
  <c r="J39" i="6"/>
  <c r="L39" i="6"/>
  <c r="N39" i="6"/>
  <c r="N6" i="6"/>
  <c r="L6" i="6"/>
  <c r="N51" i="6"/>
  <c r="H51" i="6"/>
  <c r="J51" i="6"/>
  <c r="L51" i="6"/>
  <c r="N49" i="6"/>
  <c r="L49" i="6"/>
  <c r="H49" i="6"/>
  <c r="J49" i="6"/>
  <c r="F53" i="6"/>
  <c r="H21" i="4"/>
  <c r="F22" i="9"/>
  <c r="F23" i="9" s="1"/>
  <c r="F12" i="9"/>
  <c r="F13" i="9" s="1"/>
  <c r="F26" i="9"/>
  <c r="F27" i="9" s="1"/>
  <c r="J34" i="4"/>
  <c r="H34" i="4"/>
  <c r="N53" i="6" l="1"/>
  <c r="F42" i="9"/>
  <c r="N65" i="1" s="1"/>
  <c r="P65" i="1"/>
  <c r="H6" i="6"/>
  <c r="H53" i="6"/>
  <c r="L53" i="6"/>
  <c r="J53" i="6"/>
  <c r="F51" i="8"/>
  <c r="F60" i="8" s="1"/>
  <c r="F54" i="9"/>
  <c r="F60" i="9" l="1"/>
  <c r="J21" i="4"/>
  <c r="F19" i="6"/>
  <c r="F42" i="6" l="1"/>
  <c r="N64" i="1" s="1"/>
  <c r="S21" i="4"/>
  <c r="P66" i="1"/>
  <c r="N66" i="1"/>
  <c r="L19" i="6"/>
  <c r="L42" i="6" s="1"/>
  <c r="J19" i="6"/>
  <c r="J42" i="6" s="1"/>
  <c r="N19" i="6"/>
  <c r="N42" i="6" s="1"/>
  <c r="H19" i="6"/>
  <c r="H42" i="6" s="1"/>
  <c r="L21" i="4"/>
  <c r="N69" i="1" l="1"/>
  <c r="N70" i="1" s="1"/>
  <c r="S22" i="4"/>
  <c r="S24" i="4" s="1"/>
  <c r="P64" i="1"/>
  <c r="H35" i="11"/>
  <c r="F18" i="11"/>
  <c r="C44" i="11" s="1"/>
  <c r="P69" i="1" l="1"/>
  <c r="P70" i="1" s="1"/>
  <c r="F51" i="15"/>
  <c r="F56" i="15" s="1"/>
  <c r="C45" i="11"/>
  <c r="F44" i="11"/>
  <c r="H18" i="11"/>
  <c r="H23" i="11"/>
  <c r="F45" i="11" l="1"/>
  <c r="H45" i="11" s="1"/>
  <c r="Q6" i="11"/>
  <c r="H58" i="6" s="1"/>
  <c r="H62" i="6" s="1"/>
  <c r="H66" i="6" s="1"/>
  <c r="Q9" i="11"/>
  <c r="N58" i="6" s="1"/>
  <c r="Q8" i="11"/>
  <c r="Q7" i="11"/>
  <c r="L58" i="6" l="1"/>
  <c r="J58" i="6"/>
  <c r="Q11" i="11"/>
  <c r="Q21" i="11" s="1"/>
  <c r="N62" i="6"/>
  <c r="N66" i="6" s="1"/>
  <c r="J62" i="6" l="1"/>
  <c r="J66" i="6" s="1"/>
  <c r="L62" i="6"/>
  <c r="L66" i="6" s="1"/>
  <c r="F58" i="6"/>
  <c r="F62" i="6" s="1"/>
  <c r="F66" i="6" s="1"/>
  <c r="F68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 Irwin</author>
    <author>User</author>
  </authors>
  <commentList>
    <comment ref="F10" authorId="0" shapeId="0" xr:uid="{C032B1A2-2D4E-45E5-8CFE-78A6BB79C398}">
      <text>
        <r>
          <rPr>
            <b/>
            <sz val="9"/>
            <color indexed="81"/>
            <rFont val="Tahoma"/>
            <family val="2"/>
          </rPr>
          <t xml:space="preserve">Minimum 2,000 billing
</t>
        </r>
      </text>
    </comment>
    <comment ref="B12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  <comment ref="F15" authorId="0" shapeId="0" xr:uid="{E7EB09D3-35C9-4A23-B892-1E5627981659}">
      <text>
        <r>
          <rPr>
            <b/>
            <sz val="9"/>
            <color indexed="81"/>
            <rFont val="Tahoma"/>
            <family val="2"/>
          </rPr>
          <t xml:space="preserve">Minimum 1,000 billing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C30" authorId="0" shapeId="0" xr:uid="{339BCDF7-5D56-4387-A0C1-EC233BCE6B1A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Convert from CCF to MCF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2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Bott</author>
  </authors>
  <commentList>
    <comment ref="E17" authorId="0" shapeId="0" xr:uid="{560D9E2F-2407-4648-A76B-F0BDFEC0A3B7}">
      <text>
        <r>
          <rPr>
            <b/>
            <sz val="9"/>
            <color indexed="81"/>
            <rFont val="Tahoma"/>
            <family val="2"/>
          </rPr>
          <t>Brenda Bott:</t>
        </r>
        <r>
          <rPr>
            <sz val="9"/>
            <color indexed="81"/>
            <rFont val="Tahoma"/>
            <family val="2"/>
          </rPr>
          <t xml:space="preserve">
Formula was CCF, changed to MCF to be consistent with other tab formulas.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18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Does not include Contracted Transportation</t>
        </r>
      </text>
    </comment>
  </commentList>
</comments>
</file>

<file path=xl/sharedStrings.xml><?xml version="1.0" encoding="utf-8"?>
<sst xmlns="http://schemas.openxmlformats.org/spreadsheetml/2006/main" count="941" uniqueCount="308">
  <si>
    <t>874 Mains &amp; Services</t>
  </si>
  <si>
    <t>874.15 Mains &amp; Services KY</t>
  </si>
  <si>
    <t>874.16 Mains &amp; Services TN</t>
  </si>
  <si>
    <t>874.46 Mains &amp; Services OK</t>
  </si>
  <si>
    <t>887 Maintenance of Mains</t>
  </si>
  <si>
    <t>887.15 Maintenance of Mains KY</t>
  </si>
  <si>
    <t>887.16 Maintenance of Mains TN</t>
  </si>
  <si>
    <t>887.46 Maintenance of Mains OK</t>
  </si>
  <si>
    <t>Amount</t>
  </si>
  <si>
    <t>Billed to System</t>
  </si>
  <si>
    <t>OK</t>
  </si>
  <si>
    <t>TN</t>
  </si>
  <si>
    <t>KY</t>
  </si>
  <si>
    <t>893 Maintenance of Meters</t>
  </si>
  <si>
    <t>894 Maintenance of Other Equip</t>
  </si>
  <si>
    <t>908 Customer Assistance</t>
  </si>
  <si>
    <t>908.46 Customer Assistance OK</t>
  </si>
  <si>
    <t>903 Customer Records &amp; Collection</t>
  </si>
  <si>
    <t>909 Info Advertising</t>
  </si>
  <si>
    <t>920 Administration &amp; Gen Sales</t>
  </si>
  <si>
    <t>921 Office Supplies</t>
  </si>
  <si>
    <t>923 Outside Services</t>
  </si>
  <si>
    <t>923.16 Outside Services TN</t>
  </si>
  <si>
    <t>923.15 Outside Services KY</t>
  </si>
  <si>
    <t>923.46 Outside Services OK</t>
  </si>
  <si>
    <t>924 Insurance</t>
  </si>
  <si>
    <t>925 Safety &amp; Security</t>
  </si>
  <si>
    <t>926 Employee Benefits</t>
  </si>
  <si>
    <t>930 Misc Gen Expense</t>
  </si>
  <si>
    <t>931 Rents</t>
  </si>
  <si>
    <t>932 Maintenance of General Plant</t>
  </si>
  <si>
    <t>Meters</t>
  </si>
  <si>
    <t>Trucks</t>
  </si>
  <si>
    <t>FCFA</t>
  </si>
  <si>
    <t>LeAnn</t>
  </si>
  <si>
    <t>OK3</t>
  </si>
  <si>
    <t>LAG</t>
  </si>
  <si>
    <t>Direct</t>
  </si>
  <si>
    <t>Allocation</t>
  </si>
  <si>
    <t>Total:</t>
  </si>
  <si>
    <t>Meter</t>
  </si>
  <si>
    <t>Office Equip</t>
  </si>
  <si>
    <t>Orginal Value</t>
  </si>
  <si>
    <t>Interest Rate</t>
  </si>
  <si>
    <t>Debt/ Equity</t>
  </si>
  <si>
    <t>Ratio of Company</t>
  </si>
  <si>
    <t>Pickups</t>
  </si>
  <si>
    <t>Heavy Equip</t>
  </si>
  <si>
    <t>Tools &amp; Equip</t>
  </si>
  <si>
    <t>Life</t>
  </si>
  <si>
    <t>Total</t>
  </si>
  <si>
    <t>Monthly</t>
  </si>
  <si>
    <t>Grand</t>
  </si>
  <si>
    <t>Years</t>
  </si>
  <si>
    <t>Debt</t>
  </si>
  <si>
    <t>Depreciation</t>
  </si>
  <si>
    <t>TN truck billed directly to TN</t>
  </si>
  <si>
    <t>Grand Total:</t>
  </si>
  <si>
    <t>Corporate Office</t>
  </si>
  <si>
    <t>Corporate Office Rent from NALLC</t>
  </si>
  <si>
    <t>Eakly Office Rent from FCFA</t>
  </si>
  <si>
    <t>Eakly Office</t>
  </si>
  <si>
    <t>Minus Land</t>
  </si>
  <si>
    <t>Oklahoma Commodity</t>
  </si>
  <si>
    <t>Southern Star</t>
  </si>
  <si>
    <t>ONG-L05559</t>
  </si>
  <si>
    <t>ONG-L05849</t>
  </si>
  <si>
    <t>ONG-L05850</t>
  </si>
  <si>
    <t>ONG-L05851</t>
  </si>
  <si>
    <t>ONG-L05852</t>
  </si>
  <si>
    <t>ONG-L06099</t>
  </si>
  <si>
    <t>ONG-L06215</t>
  </si>
  <si>
    <t>Transporters</t>
  </si>
  <si>
    <t>Cost</t>
  </si>
  <si>
    <t>Price/ Unit</t>
  </si>
  <si>
    <t>Units</t>
  </si>
  <si>
    <t>NALLC Delivery Charge</t>
  </si>
  <si>
    <t>Suppliers</t>
  </si>
  <si>
    <t>System</t>
  </si>
  <si>
    <t>% Usage</t>
  </si>
  <si>
    <t>PGA Portion</t>
  </si>
  <si>
    <t>Prior Month</t>
  </si>
  <si>
    <t>NOK3</t>
  </si>
  <si>
    <t>FCFALD</t>
  </si>
  <si>
    <t>Commodity</t>
  </si>
  <si>
    <t>Tennessee &amp; Kentucky Commodity</t>
  </si>
  <si>
    <t>Quantity</t>
  </si>
  <si>
    <t>Rate</t>
  </si>
  <si>
    <t>Spectra Pipeline</t>
  </si>
  <si>
    <t>Albany (KY)</t>
  </si>
  <si>
    <t>Byrdstown/Fentress (TN)</t>
  </si>
  <si>
    <t>Total Sales</t>
  </si>
  <si>
    <t>DelGasco Pipeline</t>
  </si>
  <si>
    <t>Jellico (TN)</t>
  </si>
  <si>
    <t>Revenue Billing - Direct Charges</t>
  </si>
  <si>
    <t>Navitas Utility Corporation</t>
  </si>
  <si>
    <t>Revenue Billing - Other</t>
  </si>
  <si>
    <t>Revenue Billing - Allocation Charges</t>
  </si>
  <si>
    <t>Revenue Billing - Equipment Rental</t>
  </si>
  <si>
    <t>Navitas Utility Corportion Expenses</t>
  </si>
  <si>
    <t>Other Expenses</t>
  </si>
  <si>
    <t>931 Pickups</t>
  </si>
  <si>
    <t>931 Trucks</t>
  </si>
  <si>
    <t>931 Heavy Equip</t>
  </si>
  <si>
    <t>931 Tools &amp; Equip</t>
  </si>
  <si>
    <t>931 Office Equip</t>
  </si>
  <si>
    <t>931 Meters</t>
  </si>
  <si>
    <t>800 Well Head Purchases</t>
  </si>
  <si>
    <t>804 City Gate Purchases</t>
  </si>
  <si>
    <t>851 Sys Control &amp; Load</t>
  </si>
  <si>
    <t>WSTAR</t>
  </si>
  <si>
    <t>Petrol</t>
  </si>
  <si>
    <t>RRVREA</t>
  </si>
  <si>
    <t>WS</t>
  </si>
  <si>
    <t>855 Other Util Comp state</t>
  </si>
  <si>
    <t>Monthly Bill to Oklahoma Systems</t>
  </si>
  <si>
    <t>Flight Charges</t>
  </si>
  <si>
    <t>charged by Banks</t>
  </si>
  <si>
    <t>903.46 Customer Records OK</t>
  </si>
  <si>
    <t>903.15 Customer Records KY</t>
  </si>
  <si>
    <t>921.15 Office Supplies KY</t>
  </si>
  <si>
    <t>921.16 Office Supplies TN</t>
  </si>
  <si>
    <t>921.46 Office Supplies OK</t>
  </si>
  <si>
    <t>TX</t>
  </si>
  <si>
    <t>874.28 Mains &amp; Services TX</t>
  </si>
  <si>
    <t>887.28 Maintenance of Mains TX</t>
  </si>
  <si>
    <t>903.28 Customer Records TX</t>
  </si>
  <si>
    <t>921.28 Office Supplies TX</t>
  </si>
  <si>
    <t>923.28 Outside Services TX</t>
  </si>
  <si>
    <t>Monthly Bill to Navitas Utility Texas LLC</t>
  </si>
  <si>
    <t>Texas Commodity</t>
  </si>
  <si>
    <t>MCF</t>
  </si>
  <si>
    <t>***The variance between gas supplied and gas transported is due to Lime Rock Resources</t>
  </si>
  <si>
    <t xml:space="preserve">Lime Rock Resources purchases gas directly from Clearwater, then transports it through our </t>
  </si>
  <si>
    <t xml:space="preserve">lines. This creates a situation where more gas is transported than is purchased. </t>
  </si>
  <si>
    <t>Production Watch (CQG)</t>
  </si>
  <si>
    <t>NUC Marketing &amp; Balance</t>
  </si>
  <si>
    <t>Lime Rock is now Stephens &amp; Johnson Operating Co.</t>
  </si>
  <si>
    <t>YYMM System Billing file name: current file moth = prior month flow</t>
  </si>
  <si>
    <t>N/A</t>
  </si>
  <si>
    <t>Self generated annual invoice (November) by Ross</t>
  </si>
  <si>
    <t>Comments</t>
  </si>
  <si>
    <t>Enable OK Intrastate</t>
  </si>
  <si>
    <t>Petrol Energy - Supply</t>
  </si>
  <si>
    <t>50:50</t>
  </si>
  <si>
    <t>Interest</t>
  </si>
  <si>
    <t>Sub-Total</t>
  </si>
  <si>
    <t>Petrol(Supply)</t>
  </si>
  <si>
    <t>Supply Only</t>
  </si>
  <si>
    <t>Cima (Supply)</t>
  </si>
  <si>
    <t>NUC</t>
  </si>
  <si>
    <t>Kinder Morgan Texas Pipeline (Transportation)</t>
  </si>
  <si>
    <t>Enable Gas Transportation (Supply)</t>
  </si>
  <si>
    <t>Enable Gas Transportation South (Supply)</t>
  </si>
  <si>
    <t>*Includes Transport Only</t>
  </si>
  <si>
    <t>903.16 Customer Records TN</t>
  </si>
  <si>
    <t>Enbridge (Spectra Energy)</t>
  </si>
  <si>
    <t>Total Direct Charges</t>
  </si>
  <si>
    <t>Total Allocation Charges</t>
  </si>
  <si>
    <t>QB P&amp;L Total Expense</t>
  </si>
  <si>
    <t>Difference</t>
  </si>
  <si>
    <t>Depreciation Expenses</t>
  </si>
  <si>
    <t>Nicholson Well (Kenneth Lowe)</t>
  </si>
  <si>
    <t>Validation test</t>
  </si>
  <si>
    <t>Volume</t>
  </si>
  <si>
    <t>Manual Input</t>
  </si>
  <si>
    <t>Enable Gas 1006711 (Rim Rock)</t>
  </si>
  <si>
    <t>same Cima volume, cannor count twice, DO NOT LOAD VOLUME</t>
  </si>
  <si>
    <t>Year</t>
  </si>
  <si>
    <t>as of</t>
  </si>
  <si>
    <t>Assets</t>
  </si>
  <si>
    <t>TNNG</t>
  </si>
  <si>
    <t>KYNG</t>
  </si>
  <si>
    <t>Net Plant Systems</t>
  </si>
  <si>
    <t>%</t>
  </si>
  <si>
    <t>C Ave</t>
  </si>
  <si>
    <t>M Max</t>
  </si>
  <si>
    <t>Monthly Avg Cust Count</t>
  </si>
  <si>
    <t>Net Plant Consolidated</t>
  </si>
  <si>
    <t>50% of Net Plant</t>
  </si>
  <si>
    <t>50% of Monthly avg. count</t>
  </si>
  <si>
    <t>Clearwater ONG (DTH)</t>
  </si>
  <si>
    <t>CenterPoint Krebs (7257756-2) (CCF)</t>
  </si>
  <si>
    <t>Natural Gas Pipeline (DTH)</t>
  </si>
  <si>
    <t>Equity</t>
  </si>
  <si>
    <t>CPLTD, LTD, 50% LOC</t>
  </si>
  <si>
    <t>Winstar</t>
  </si>
  <si>
    <t>Oklahoma</t>
  </si>
  <si>
    <t>50-50 Method</t>
  </si>
  <si>
    <t>Sales (MCF)</t>
  </si>
  <si>
    <t>DelGasco (Trans &amp; Supply) DTH</t>
  </si>
  <si>
    <t>B&amp;W (Trans) to TN city gate MCF</t>
  </si>
  <si>
    <t>Sparta (FWM) - Supply MCF</t>
  </si>
  <si>
    <t>Var</t>
  </si>
  <si>
    <t>alloc. Source</t>
  </si>
  <si>
    <t>alloc</t>
  </si>
  <si>
    <t xml:space="preserve">Jellico + Byrdstown </t>
  </si>
  <si>
    <t>B &amp; W (Trans) KY</t>
  </si>
  <si>
    <t>804-Other</t>
  </si>
  <si>
    <t>Kinetrex</t>
  </si>
  <si>
    <t>Amount use to Bill from Assets to NUC, requires to make journals in both companies ( total volume x 0.18cts)</t>
  </si>
  <si>
    <t>Price</t>
  </si>
  <si>
    <t>NUC Marketing &amp; Balance ( total volume x 0.20cts)</t>
  </si>
  <si>
    <t>928 Regulatory Commission Exp</t>
  </si>
  <si>
    <t>Bill Edit List</t>
  </si>
  <si>
    <t>Sales obtained from Bill Edit List</t>
  </si>
  <si>
    <t>TOTAL</t>
  </si>
  <si>
    <t>NUC TNNG</t>
  </si>
  <si>
    <t>NUC KYNG</t>
  </si>
  <si>
    <t>B &amp; W (Trans) KY - retro</t>
  </si>
  <si>
    <t>NUC P&amp;L</t>
  </si>
  <si>
    <t>MKT</t>
  </si>
  <si>
    <t>NUC P&amp;L - Controller</t>
  </si>
  <si>
    <t>NUC P&amp;L Assets</t>
  </si>
  <si>
    <t>Data input to double check</t>
  </si>
  <si>
    <t>Symmetry Retl Dustin (small amount) CCF</t>
  </si>
  <si>
    <t>Symmetry Retl Dustin (large amount) MMBtu</t>
  </si>
  <si>
    <t>Minus 804-Other</t>
  </si>
  <si>
    <t>Continential Billing Report</t>
  </si>
  <si>
    <t>Proportional Allocation for 2021</t>
  </si>
  <si>
    <t>Monthly Avg Cust Count - 2020</t>
  </si>
  <si>
    <t>Values set from YE 2020 numbers for all months in 2021</t>
  </si>
  <si>
    <t>KY trucks billed directly to KYNG</t>
  </si>
  <si>
    <t>Link replaced by values to avoid file looking for data in a different file.</t>
  </si>
  <si>
    <t>1601 - Autos &amp; pickups</t>
  </si>
  <si>
    <t>Betsy Lane, KY</t>
  </si>
  <si>
    <t>Chevy</t>
  </si>
  <si>
    <t>Chevy 3500 VIN056824</t>
  </si>
  <si>
    <t>Yes -  Auto</t>
  </si>
  <si>
    <t>Betsy Lane Shop</t>
  </si>
  <si>
    <t>Chevy 3500 VIN2922715</t>
  </si>
  <si>
    <t>Jimny Lawson</t>
  </si>
  <si>
    <t>Dodge</t>
  </si>
  <si>
    <t>Ram 1500 Big Horn VIN602995</t>
  </si>
  <si>
    <t>Nathan Goble</t>
  </si>
  <si>
    <t>5 &amp; 2</t>
  </si>
  <si>
    <t>Per 06/30/21</t>
  </si>
  <si>
    <t>908.15 Customer Assistance KY</t>
  </si>
  <si>
    <t>DIFFERENCE</t>
  </si>
  <si>
    <t>data input as of 12/31/20</t>
  </si>
  <si>
    <t>519K Updated as of 12/31/20</t>
  </si>
  <si>
    <t>Free</t>
  </si>
  <si>
    <t>data entry</t>
  </si>
  <si>
    <t>formula</t>
  </si>
  <si>
    <t>DATA INPUT 804.46+804 alloc</t>
  </si>
  <si>
    <t>Diversified Energy Marketing</t>
  </si>
  <si>
    <t>MANUAL input per quickbooks</t>
  </si>
  <si>
    <t>TC Energy</t>
  </si>
  <si>
    <t>Plant w/o Acq Adj Consolidated</t>
  </si>
  <si>
    <t>Plant w/o Acq Adj</t>
  </si>
  <si>
    <t>50% of Plant w/o Acq Adj</t>
  </si>
  <si>
    <t>Plant w/o Acq Adj Systems</t>
  </si>
  <si>
    <t>925 ID - Safety &amp; Security</t>
  </si>
  <si>
    <t>925.15 ID - Safety &amp; Security KY</t>
  </si>
  <si>
    <t>925.16 ID - Safety &amp; Security TN</t>
  </si>
  <si>
    <t>925.28 ID - Safety &amp; Security TX</t>
  </si>
  <si>
    <t>925.46 ID - Safety &amp; Security OK</t>
  </si>
  <si>
    <t>926 Employee Benefit</t>
  </si>
  <si>
    <t>926.15 Employee Benefit KY</t>
  </si>
  <si>
    <t>926.16 Employee Benefit TN</t>
  </si>
  <si>
    <t>926.28 Employee Benefit TX</t>
  </si>
  <si>
    <t>926.46 Employee Benefit OK</t>
  </si>
  <si>
    <t>data input as of 12/31/21</t>
  </si>
  <si>
    <t>Proportional Allocation for 2022</t>
  </si>
  <si>
    <t>Same amount monthly paid via CC (Richard)</t>
  </si>
  <si>
    <t>Total Billed</t>
  </si>
  <si>
    <t>Direct+Allocation</t>
  </si>
  <si>
    <t>Inv</t>
  </si>
  <si>
    <t>Keystone</t>
  </si>
  <si>
    <t>Monthly Avg Cust Count - 2021</t>
  </si>
  <si>
    <t>All Trucks and Equipment to be billed via allocation percentages, NO DIRECT BILLING</t>
  </si>
  <si>
    <t>2022</t>
  </si>
  <si>
    <t>Byrdstown/Fentress</t>
  </si>
  <si>
    <t>Jellico - Delgasco</t>
  </si>
  <si>
    <t>Jellico - B&amp;W</t>
  </si>
  <si>
    <t>Kinetrex - LNG</t>
  </si>
  <si>
    <t>595K Updated as of 12/31/21</t>
  </si>
  <si>
    <t>Monthly Bill to Navitas TN NG LLC</t>
  </si>
  <si>
    <t>Monthly Bill to Navitas KY NG LLC</t>
  </si>
  <si>
    <t>Broken T</t>
  </si>
  <si>
    <t>City of Mannford</t>
  </si>
  <si>
    <t>NC</t>
  </si>
  <si>
    <t>535.2 Operation supervision Cliffside</t>
  </si>
  <si>
    <t>535.3 Operation supervision Stice-Sho</t>
  </si>
  <si>
    <t>921.122 Office Supplies Cliffside</t>
  </si>
  <si>
    <t>921.123 Office Supplies Stice-Shoals</t>
  </si>
  <si>
    <t>Cliffside</t>
  </si>
  <si>
    <t>Stice-Shoals</t>
  </si>
  <si>
    <t>535 Operation supervision</t>
  </si>
  <si>
    <t>Monthly Bill to Hydro Systems</t>
  </si>
  <si>
    <t>Per 06/30/22</t>
  </si>
  <si>
    <t>Values set from Q2 2022 numbers for Q3 &amp; Q4 in 2022</t>
  </si>
  <si>
    <t>Clearwater (Supply)</t>
  </si>
  <si>
    <t>Clearwater EOIT (DTH)</t>
  </si>
  <si>
    <t>Clearwater EGT (DTH)</t>
  </si>
  <si>
    <t>Clearwater SS (DTH)</t>
  </si>
  <si>
    <t>data input as of 12/31/22</t>
  </si>
  <si>
    <t>Values set from Q4 2022 numbers for Q1 &amp; Q2 in 2023</t>
  </si>
  <si>
    <t>2301 file =</t>
  </si>
  <si>
    <r>
      <t xml:space="preserve">Data Input Jan.23 billing = Jan invoices = Dec </t>
    </r>
    <r>
      <rPr>
        <b/>
        <u val="singleAccounting"/>
        <sz val="11"/>
        <color theme="1"/>
        <rFont val="Calibri"/>
        <family val="2"/>
        <scheme val="minor"/>
      </rPr>
      <t>Flow  data= Dec Sales Volume</t>
    </r>
  </si>
  <si>
    <t>Monthly Avg Cust Count - 2022</t>
  </si>
  <si>
    <t>Proportional Allocation for 2023</t>
  </si>
  <si>
    <t>BB 2301</t>
  </si>
  <si>
    <t>Dec.22 Usage</t>
  </si>
  <si>
    <t>Prior Month = Nov Usage</t>
  </si>
  <si>
    <t>2023</t>
  </si>
  <si>
    <t>646K Updated as of 12/31/22</t>
  </si>
  <si>
    <t>Pipeline Rent payment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</si>
</sst>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&quot;$&quot;* #,##0_);_(&quot;$&quot;* \(#,##0\);_(&quot;$&quot;* &quot;-&quot;??_);_(@_)"/>
    <numFmt numFmtId="166" formatCode="_(* #,##0.0000_);_(* \(#,##0.0000\);_(* &quot;-&quot;??_);_(@_)"/>
    <numFmt numFmtId="167" formatCode="_(* #,##0_);_(* \(#,##0\);_(* &quot;-&quot;??_);_(@_)"/>
    <numFmt numFmtId="168" formatCode="_(&quot;$&quot;* #,##0.00_);_(&quot;$&quot;* \(#,##0.00\);_(&quot;$&quot;* &quot;-&quot;_);_(@_)"/>
  </numFmts>
  <fonts count="15" x14ac:knownFonts="1"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theme="1" tint="4.9989318521683403E-2"/>
      <name val="Calibri"/>
      <family val="2"/>
      <scheme val="minor"/>
    </font>
    <font>
      <b/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</borders>
  <cellStyleXfs count="40">
    <xf numFmtId="0" fontId="0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8" borderId="0" applyNumberFormat="0" applyBorder="0" applyAlignment="0" applyProtection="0"/>
  </cellStyleXfs>
  <cellXfs count="245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9" fontId="0" fillId="0" borderId="0" xfId="0" applyNumberFormat="1" applyAlignment="1">
      <alignment horizontal="center"/>
    </xf>
    <xf numFmtId="44" fontId="0" fillId="0" borderId="0" xfId="0" applyNumberFormat="1"/>
    <xf numFmtId="0" fontId="0" fillId="0" borderId="0" xfId="0" applyAlignment="1">
      <alignment horizontal="right"/>
    </xf>
    <xf numFmtId="42" fontId="0" fillId="0" borderId="0" xfId="0" applyNumberFormat="1"/>
    <xf numFmtId="42" fontId="0" fillId="0" borderId="2" xfId="0" applyNumberFormat="1" applyBorder="1" applyAlignment="1">
      <alignment horizontal="center"/>
    </xf>
    <xf numFmtId="42" fontId="0" fillId="0" borderId="1" xfId="0" applyNumberFormat="1" applyBorder="1" applyAlignment="1">
      <alignment horizontal="center"/>
    </xf>
    <xf numFmtId="42" fontId="0" fillId="0" borderId="0" xfId="0" applyNumberFormat="1" applyAlignment="1">
      <alignment horizontal="center"/>
    </xf>
    <xf numFmtId="42" fontId="0" fillId="2" borderId="0" xfId="0" applyNumberFormat="1" applyFill="1"/>
    <xf numFmtId="0" fontId="0" fillId="2" borderId="0" xfId="0" applyFill="1" applyAlignment="1">
      <alignment horizontal="center"/>
    </xf>
    <xf numFmtId="42" fontId="0" fillId="0" borderId="2" xfId="0" applyNumberFormat="1" applyBorder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2" fillId="0" borderId="0" xfId="0" applyFont="1" applyAlignment="1">
      <alignment horizontal="center"/>
    </xf>
    <xf numFmtId="44" fontId="2" fillId="0" borderId="0" xfId="0" applyNumberFormat="1" applyFont="1"/>
    <xf numFmtId="42" fontId="2" fillId="0" borderId="0" xfId="0" applyNumberFormat="1" applyFont="1" applyAlignment="1">
      <alignment horizontal="center"/>
    </xf>
    <xf numFmtId="42" fontId="2" fillId="0" borderId="2" xfId="0" applyNumberFormat="1" applyFont="1" applyBorder="1"/>
    <xf numFmtId="42" fontId="2" fillId="0" borderId="0" xfId="0" applyNumberFormat="1" applyFont="1"/>
    <xf numFmtId="42" fontId="0" fillId="0" borderId="0" xfId="0" applyNumberFormat="1" applyAlignment="1">
      <alignment horizontal="left"/>
    </xf>
    <xf numFmtId="9" fontId="0" fillId="0" borderId="0" xfId="0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3" fontId="2" fillId="0" borderId="2" xfId="0" applyNumberFormat="1" applyFont="1" applyBorder="1"/>
    <xf numFmtId="44" fontId="3" fillId="0" borderId="0" xfId="0" applyNumberFormat="1" applyFont="1" applyAlignment="1">
      <alignment horizontal="center"/>
    </xf>
    <xf numFmtId="44" fontId="2" fillId="0" borderId="2" xfId="0" applyNumberFormat="1" applyFont="1" applyBorder="1"/>
    <xf numFmtId="3" fontId="2" fillId="0" borderId="0" xfId="0" applyNumberFormat="1" applyFont="1"/>
    <xf numFmtId="0" fontId="2" fillId="0" borderId="2" xfId="0" applyFont="1" applyBorder="1"/>
    <xf numFmtId="9" fontId="2" fillId="0" borderId="2" xfId="0" applyNumberFormat="1" applyFont="1" applyBorder="1"/>
    <xf numFmtId="0" fontId="2" fillId="3" borderId="0" xfId="0" applyFont="1" applyFill="1"/>
    <xf numFmtId="0" fontId="0" fillId="3" borderId="0" xfId="0" applyFill="1"/>
    <xf numFmtId="0" fontId="0" fillId="0" borderId="2" xfId="0" applyBorder="1"/>
    <xf numFmtId="9" fontId="2" fillId="0" borderId="0" xfId="0" applyNumberFormat="1" applyFont="1"/>
    <xf numFmtId="3" fontId="4" fillId="0" borderId="0" xfId="1" applyNumberFormat="1"/>
    <xf numFmtId="0" fontId="4" fillId="0" borderId="2" xfId="1" applyBorder="1"/>
    <xf numFmtId="0" fontId="5" fillId="0" borderId="0" xfId="1" applyFont="1" applyAlignment="1">
      <alignment horizontal="center"/>
    </xf>
    <xf numFmtId="0" fontId="4" fillId="0" borderId="1" xfId="1" applyBorder="1"/>
    <xf numFmtId="44" fontId="4" fillId="0" borderId="2" xfId="1" applyNumberFormat="1" applyBorder="1"/>
    <xf numFmtId="37" fontId="4" fillId="0" borderId="2" xfId="1" applyNumberFormat="1" applyBorder="1"/>
    <xf numFmtId="41" fontId="4" fillId="0" borderId="0" xfId="1" applyNumberFormat="1"/>
    <xf numFmtId="9" fontId="4" fillId="0" borderId="0" xfId="1" applyNumberFormat="1" applyAlignment="1">
      <alignment horizontal="center"/>
    </xf>
    <xf numFmtId="9" fontId="4" fillId="0" borderId="2" xfId="1" applyNumberFormat="1" applyBorder="1" applyAlignment="1">
      <alignment horizontal="center"/>
    </xf>
    <xf numFmtId="0" fontId="4" fillId="0" borderId="1" xfId="1" applyBorder="1" applyAlignment="1">
      <alignment horizontal="center"/>
    </xf>
    <xf numFmtId="0" fontId="4" fillId="0" borderId="0" xfId="1"/>
    <xf numFmtId="44" fontId="4" fillId="0" borderId="0" xfId="1" applyNumberFormat="1"/>
    <xf numFmtId="0" fontId="4" fillId="3" borderId="2" xfId="1" applyFill="1" applyBorder="1"/>
    <xf numFmtId="44" fontId="4" fillId="0" borderId="0" xfId="5"/>
    <xf numFmtId="44" fontId="0" fillId="0" borderId="0" xfId="0" applyNumberFormat="1" applyAlignment="1">
      <alignment horizontal="center"/>
    </xf>
    <xf numFmtId="0" fontId="2" fillId="4" borderId="0" xfId="0" applyFont="1" applyFill="1"/>
    <xf numFmtId="0" fontId="0" fillId="4" borderId="0" xfId="0" applyFill="1"/>
    <xf numFmtId="43" fontId="0" fillId="0" borderId="0" xfId="0" applyNumberFormat="1"/>
    <xf numFmtId="41" fontId="0" fillId="0" borderId="0" xfId="0" applyNumberFormat="1"/>
    <xf numFmtId="41" fontId="2" fillId="0" borderId="0" xfId="0" applyNumberFormat="1" applyFont="1"/>
    <xf numFmtId="42" fontId="2" fillId="3" borderId="0" xfId="0" applyNumberFormat="1" applyFont="1" applyFill="1"/>
    <xf numFmtId="164" fontId="0" fillId="0" borderId="0" xfId="0" applyNumberFormat="1"/>
    <xf numFmtId="165" fontId="0" fillId="0" borderId="0" xfId="0" applyNumberFormat="1"/>
    <xf numFmtId="165" fontId="0" fillId="3" borderId="0" xfId="0" applyNumberFormat="1" applyFill="1"/>
    <xf numFmtId="166" fontId="0" fillId="0" borderId="0" xfId="0" applyNumberFormat="1"/>
    <xf numFmtId="44" fontId="0" fillId="2" borderId="0" xfId="0" applyNumberFormat="1" applyFill="1"/>
    <xf numFmtId="37" fontId="4" fillId="0" borderId="0" xfId="1" applyNumberFormat="1"/>
    <xf numFmtId="9" fontId="0" fillId="0" borderId="0" xfId="35" applyFont="1"/>
    <xf numFmtId="44" fontId="0" fillId="0" borderId="0" xfId="35" applyNumberFormat="1" applyFont="1"/>
    <xf numFmtId="1" fontId="0" fillId="0" borderId="0" xfId="0" applyNumberFormat="1"/>
    <xf numFmtId="0" fontId="4" fillId="0" borderId="0" xfId="1" applyAlignment="1">
      <alignment horizontal="right"/>
    </xf>
    <xf numFmtId="0" fontId="5" fillId="0" borderId="0" xfId="1" applyFont="1" applyAlignment="1">
      <alignment horizontal="right"/>
    </xf>
    <xf numFmtId="3" fontId="0" fillId="0" borderId="2" xfId="0" applyNumberFormat="1" applyBorder="1"/>
    <xf numFmtId="44" fontId="0" fillId="0" borderId="2" xfId="36" applyFont="1" applyBorder="1"/>
    <xf numFmtId="44" fontId="4" fillId="0" borderId="2" xfId="36" applyFont="1" applyBorder="1"/>
    <xf numFmtId="10" fontId="0" fillId="0" borderId="0" xfId="0" applyNumberFormat="1"/>
    <xf numFmtId="0" fontId="7" fillId="0" borderId="0" xfId="0" applyFont="1"/>
    <xf numFmtId="44" fontId="2" fillId="0" borderId="0" xfId="0" applyNumberFormat="1" applyFont="1" applyAlignment="1">
      <alignment horizontal="center"/>
    </xf>
    <xf numFmtId="0" fontId="8" fillId="0" borderId="0" xfId="0" applyFont="1"/>
    <xf numFmtId="46" fontId="2" fillId="0" borderId="0" xfId="0" quotePrefix="1" applyNumberFormat="1" applyFont="1" applyAlignment="1">
      <alignment horizontal="center"/>
    </xf>
    <xf numFmtId="10" fontId="0" fillId="0" borderId="2" xfId="0" applyNumberFormat="1" applyBorder="1" applyAlignment="1">
      <alignment horizontal="center"/>
    </xf>
    <xf numFmtId="42" fontId="0" fillId="5" borderId="0" xfId="0" applyNumberFormat="1" applyFill="1"/>
    <xf numFmtId="10" fontId="0" fillId="0" borderId="2" xfId="0" applyNumberFormat="1" applyBorder="1"/>
    <xf numFmtId="10" fontId="0" fillId="0" borderId="0" xfId="35" applyNumberFormat="1" applyFont="1"/>
    <xf numFmtId="10" fontId="0" fillId="0" borderId="2" xfId="35" applyNumberFormat="1" applyFont="1" applyBorder="1"/>
    <xf numFmtId="165" fontId="0" fillId="5" borderId="0" xfId="0" applyNumberFormat="1" applyFill="1"/>
    <xf numFmtId="42" fontId="2" fillId="5" borderId="2" xfId="0" applyNumberFormat="1" applyFont="1" applyFill="1" applyBorder="1"/>
    <xf numFmtId="44" fontId="0" fillId="5" borderId="0" xfId="0" applyNumberFormat="1" applyFill="1"/>
    <xf numFmtId="165" fontId="0" fillId="5" borderId="2" xfId="0" applyNumberFormat="1" applyFill="1" applyBorder="1"/>
    <xf numFmtId="165" fontId="2" fillId="5" borderId="2" xfId="0" applyNumberFormat="1" applyFont="1" applyFill="1" applyBorder="1"/>
    <xf numFmtId="3" fontId="0" fillId="2" borderId="0" xfId="0" applyNumberFormat="1" applyFill="1"/>
    <xf numFmtId="44" fontId="2" fillId="2" borderId="2" xfId="0" applyNumberFormat="1" applyFont="1" applyFill="1" applyBorder="1"/>
    <xf numFmtId="41" fontId="4" fillId="2" borderId="0" xfId="1" applyNumberFormat="1" applyFill="1"/>
    <xf numFmtId="44" fontId="4" fillId="2" borderId="0" xfId="1" applyNumberFormat="1" applyFill="1"/>
    <xf numFmtId="3" fontId="4" fillId="2" borderId="0" xfId="1" applyNumberFormat="1" applyFill="1"/>
    <xf numFmtId="41" fontId="4" fillId="2" borderId="0" xfId="5" applyNumberFormat="1" applyFill="1"/>
    <xf numFmtId="9" fontId="0" fillId="5" borderId="0" xfId="0" applyNumberFormat="1" applyFill="1" applyAlignment="1">
      <alignment horizontal="center"/>
    </xf>
    <xf numFmtId="10" fontId="0" fillId="2" borderId="0" xfId="0" applyNumberFormat="1" applyFill="1" applyAlignment="1">
      <alignment horizontal="center"/>
    </xf>
    <xf numFmtId="44" fontId="2" fillId="4" borderId="0" xfId="0" quotePrefix="1" applyNumberFormat="1" applyFont="1" applyFill="1" applyAlignment="1">
      <alignment horizontal="center"/>
    </xf>
    <xf numFmtId="44" fontId="2" fillId="4" borderId="0" xfId="0" applyNumberFormat="1" applyFont="1" applyFill="1"/>
    <xf numFmtId="44" fontId="2" fillId="4" borderId="0" xfId="0" applyNumberFormat="1" applyFont="1" applyFill="1" applyAlignment="1">
      <alignment horizontal="right"/>
    </xf>
    <xf numFmtId="44" fontId="0" fillId="4" borderId="0" xfId="0" applyNumberFormat="1" applyFill="1"/>
    <xf numFmtId="44" fontId="2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/>
    </xf>
    <xf numFmtId="43" fontId="0" fillId="0" borderId="0" xfId="37" applyFont="1"/>
    <xf numFmtId="43" fontId="2" fillId="0" borderId="0" xfId="37" applyFont="1"/>
    <xf numFmtId="43" fontId="2" fillId="0" borderId="4" xfId="37" applyFont="1" applyBorder="1"/>
    <xf numFmtId="43" fontId="2" fillId="0" borderId="4" xfId="0" applyNumberFormat="1" applyFont="1" applyBorder="1"/>
    <xf numFmtId="167" fontId="0" fillId="0" borderId="0" xfId="37" applyNumberFormat="1" applyFont="1"/>
    <xf numFmtId="44" fontId="2" fillId="4" borderId="0" xfId="0" applyNumberFormat="1" applyFont="1" applyFill="1" applyAlignment="1">
      <alignment horizontal="center"/>
    </xf>
    <xf numFmtId="41" fontId="9" fillId="0" borderId="2" xfId="1" applyNumberFormat="1" applyFont="1" applyBorder="1"/>
    <xf numFmtId="44" fontId="2" fillId="2" borderId="5" xfId="0" applyNumberFormat="1" applyFont="1" applyFill="1" applyBorder="1"/>
    <xf numFmtId="0" fontId="11" fillId="0" borderId="0" xfId="0" applyFont="1"/>
    <xf numFmtId="43" fontId="2" fillId="0" borderId="1" xfId="37" applyFont="1" applyBorder="1" applyAlignment="1">
      <alignment horizontal="center"/>
    </xf>
    <xf numFmtId="43" fontId="0" fillId="2" borderId="0" xfId="37" applyFont="1" applyFill="1"/>
    <xf numFmtId="43" fontId="2" fillId="2" borderId="2" xfId="37" applyFont="1" applyFill="1" applyBorder="1"/>
    <xf numFmtId="37" fontId="0" fillId="0" borderId="0" xfId="0" applyNumberFormat="1"/>
    <xf numFmtId="43" fontId="0" fillId="7" borderId="0" xfId="37" applyFont="1" applyFill="1"/>
    <xf numFmtId="43" fontId="6" fillId="8" borderId="0" xfId="39" applyNumberFormat="1"/>
    <xf numFmtId="0" fontId="0" fillId="0" borderId="0" xfId="0" quotePrefix="1"/>
    <xf numFmtId="167" fontId="0" fillId="0" borderId="0" xfId="0" applyNumberFormat="1"/>
    <xf numFmtId="0" fontId="0" fillId="0" borderId="0" xfId="0" applyAlignment="1">
      <alignment horizontal="left"/>
    </xf>
    <xf numFmtId="168" fontId="0" fillId="0" borderId="0" xfId="0" applyNumberFormat="1"/>
    <xf numFmtId="168" fontId="0" fillId="0" borderId="2" xfId="0" applyNumberFormat="1" applyBorder="1"/>
    <xf numFmtId="10" fontId="0" fillId="0" borderId="0" xfId="35" applyNumberFormat="1" applyFont="1" applyAlignment="1">
      <alignment horizontal="right"/>
    </xf>
    <xf numFmtId="10" fontId="0" fillId="0" borderId="1" xfId="35" applyNumberFormat="1" applyFont="1" applyBorder="1" applyAlignment="1">
      <alignment horizontal="right"/>
    </xf>
    <xf numFmtId="44" fontId="2" fillId="0" borderId="0" xfId="0" quotePrefix="1" applyNumberFormat="1" applyFont="1" applyAlignment="1">
      <alignment horizontal="center"/>
    </xf>
    <xf numFmtId="9" fontId="0" fillId="0" borderId="0" xfId="35" applyFont="1" applyFill="1"/>
    <xf numFmtId="167" fontId="2" fillId="0" borderId="0" xfId="0" applyNumberFormat="1" applyFont="1"/>
    <xf numFmtId="0" fontId="0" fillId="9" borderId="0" xfId="0" applyFill="1"/>
    <xf numFmtId="10" fontId="2" fillId="9" borderId="0" xfId="35" applyNumberFormat="1" applyFont="1" applyFill="1"/>
    <xf numFmtId="10" fontId="0" fillId="9" borderId="0" xfId="0" applyNumberFormat="1" applyFill="1"/>
    <xf numFmtId="0" fontId="2" fillId="0" borderId="0" xfId="0" quotePrefix="1" applyFont="1"/>
    <xf numFmtId="10" fontId="0" fillId="0" borderId="0" xfId="0" applyNumberFormat="1" applyAlignment="1">
      <alignment horizontal="center"/>
    </xf>
    <xf numFmtId="3" fontId="0" fillId="8" borderId="0" xfId="39" applyNumberFormat="1" applyFont="1"/>
    <xf numFmtId="0" fontId="4" fillId="4" borderId="0" xfId="1" applyFill="1"/>
    <xf numFmtId="43" fontId="0" fillId="0" borderId="0" xfId="37" applyFont="1" applyFill="1"/>
    <xf numFmtId="9" fontId="2" fillId="0" borderId="0" xfId="35" applyFont="1"/>
    <xf numFmtId="39" fontId="0" fillId="0" borderId="0" xfId="0" applyNumberFormat="1"/>
    <xf numFmtId="167" fontId="0" fillId="4" borderId="0" xfId="0" applyNumberFormat="1" applyFill="1"/>
    <xf numFmtId="9" fontId="0" fillId="9" borderId="0" xfId="0" applyNumberFormat="1" applyFill="1" applyAlignment="1">
      <alignment horizontal="center"/>
    </xf>
    <xf numFmtId="0" fontId="2" fillId="0" borderId="6" xfId="0" quotePrefix="1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9" fontId="0" fillId="0" borderId="0" xfId="35" applyFont="1" applyBorder="1"/>
    <xf numFmtId="0" fontId="0" fillId="0" borderId="10" xfId="0" applyBorder="1"/>
    <xf numFmtId="0" fontId="0" fillId="9" borderId="9" xfId="0" applyFill="1" applyBorder="1"/>
    <xf numFmtId="10" fontId="2" fillId="9" borderId="0" xfId="35" applyNumberFormat="1" applyFont="1" applyFill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39" fontId="0" fillId="0" borderId="0" xfId="37" applyNumberFormat="1" applyFont="1"/>
    <xf numFmtId="10" fontId="0" fillId="0" borderId="0" xfId="0" applyNumberFormat="1" applyAlignment="1">
      <alignment horizontal="right"/>
    </xf>
    <xf numFmtId="10" fontId="0" fillId="0" borderId="1" xfId="0" applyNumberFormat="1" applyBorder="1" applyAlignment="1">
      <alignment horizontal="right"/>
    </xf>
    <xf numFmtId="39" fontId="2" fillId="0" borderId="4" xfId="37" applyNumberFormat="1" applyFont="1" applyBorder="1"/>
    <xf numFmtId="0" fontId="4" fillId="10" borderId="0" xfId="1" applyFill="1"/>
    <xf numFmtId="44" fontId="9" fillId="0" borderId="0" xfId="1" applyNumberFormat="1" applyFont="1"/>
    <xf numFmtId="43" fontId="13" fillId="2" borderId="0" xfId="37" applyFont="1" applyFill="1"/>
    <xf numFmtId="165" fontId="4" fillId="0" borderId="0" xfId="1" applyNumberFormat="1"/>
    <xf numFmtId="43" fontId="4" fillId="6" borderId="0" xfId="1" applyNumberFormat="1" applyFill="1"/>
    <xf numFmtId="44" fontId="4" fillId="6" borderId="0" xfId="1" applyNumberFormat="1" applyFill="1"/>
    <xf numFmtId="0" fontId="2" fillId="4" borderId="0" xfId="0" applyFont="1" applyFill="1" applyAlignment="1">
      <alignment horizontal="center"/>
    </xf>
    <xf numFmtId="3" fontId="0" fillId="0" borderId="11" xfId="0" applyNumberFormat="1" applyBorder="1"/>
    <xf numFmtId="43" fontId="0" fillId="0" borderId="13" xfId="37" applyFont="1" applyBorder="1"/>
    <xf numFmtId="0" fontId="2" fillId="0" borderId="6" xfId="0" applyFont="1" applyBorder="1" applyAlignment="1">
      <alignment horizontal="right"/>
    </xf>
    <xf numFmtId="0" fontId="2" fillId="0" borderId="7" xfId="0" applyFont="1" applyBorder="1"/>
    <xf numFmtId="0" fontId="2" fillId="0" borderId="8" xfId="0" applyFont="1" applyBorder="1"/>
    <xf numFmtId="0" fontId="11" fillId="0" borderId="7" xfId="0" applyFont="1" applyBorder="1" applyAlignment="1">
      <alignment horizontal="center"/>
    </xf>
    <xf numFmtId="44" fontId="9" fillId="6" borderId="0" xfId="1" applyNumberFormat="1" applyFont="1" applyFill="1"/>
    <xf numFmtId="44" fontId="4" fillId="4" borderId="0" xfId="1" applyNumberFormat="1" applyFill="1"/>
    <xf numFmtId="0" fontId="10" fillId="4" borderId="0" xfId="0" applyFont="1" applyFill="1"/>
    <xf numFmtId="15" fontId="2" fillId="0" borderId="0" xfId="0" applyNumberFormat="1" applyFont="1"/>
    <xf numFmtId="43" fontId="9" fillId="4" borderId="4" xfId="1" applyNumberFormat="1" applyFont="1" applyFill="1" applyBorder="1"/>
    <xf numFmtId="0" fontId="5" fillId="0" borderId="0" xfId="1" applyFont="1"/>
    <xf numFmtId="0" fontId="3" fillId="0" borderId="0" xfId="0" applyFont="1"/>
    <xf numFmtId="44" fontId="2" fillId="9" borderId="0" xfId="0" applyNumberFormat="1" applyFont="1" applyFill="1"/>
    <xf numFmtId="43" fontId="4" fillId="2" borderId="0" xfId="37" applyFont="1" applyFill="1"/>
    <xf numFmtId="43" fontId="4" fillId="4" borderId="2" xfId="37" applyFont="1" applyFill="1" applyBorder="1"/>
    <xf numFmtId="0" fontId="2" fillId="4" borderId="0" xfId="0" applyFont="1" applyFill="1" applyAlignment="1">
      <alignment horizontal="left"/>
    </xf>
    <xf numFmtId="44" fontId="0" fillId="11" borderId="0" xfId="0" applyNumberFormat="1" applyFill="1"/>
    <xf numFmtId="0" fontId="0" fillId="11" borderId="0" xfId="0" applyFill="1"/>
    <xf numFmtId="14" fontId="2" fillId="0" borderId="0" xfId="0" applyNumberFormat="1" applyFont="1" applyAlignment="1">
      <alignment horizontal="left"/>
    </xf>
    <xf numFmtId="43" fontId="0" fillId="6" borderId="0" xfId="37" applyFont="1" applyFill="1"/>
    <xf numFmtId="167" fontId="0" fillId="6" borderId="0" xfId="0" applyNumberFormat="1" applyFill="1"/>
    <xf numFmtId="10" fontId="0" fillId="0" borderId="0" xfId="35" applyNumberFormat="1" applyFont="1" applyAlignment="1">
      <alignment horizontal="center"/>
    </xf>
    <xf numFmtId="44" fontId="0" fillId="0" borderId="6" xfId="0" applyNumberFormat="1" applyBorder="1"/>
    <xf numFmtId="44" fontId="0" fillId="0" borderId="7" xfId="0" applyNumberFormat="1" applyBorder="1"/>
    <xf numFmtId="44" fontId="0" fillId="4" borderId="7" xfId="0" applyNumberFormat="1" applyFill="1" applyBorder="1"/>
    <xf numFmtId="44" fontId="0" fillId="0" borderId="8" xfId="0" applyNumberFormat="1" applyBorder="1"/>
    <xf numFmtId="44" fontId="0" fillId="0" borderId="9" xfId="0" applyNumberFormat="1" applyBorder="1"/>
    <xf numFmtId="44" fontId="0" fillId="0" borderId="10" xfId="0" applyNumberFormat="1" applyBorder="1"/>
    <xf numFmtId="43" fontId="0" fillId="0" borderId="0" xfId="37" applyFont="1" applyBorder="1"/>
    <xf numFmtId="44" fontId="0" fillId="0" borderId="11" xfId="0" applyNumberFormat="1" applyBorder="1"/>
    <xf numFmtId="44" fontId="0" fillId="0" borderId="12" xfId="0" applyNumberFormat="1" applyBorder="1"/>
    <xf numFmtId="43" fontId="0" fillId="0" borderId="12" xfId="0" applyNumberFormat="1" applyBorder="1"/>
    <xf numFmtId="44" fontId="0" fillId="0" borderId="13" xfId="0" applyNumberFormat="1" applyBorder="1"/>
    <xf numFmtId="168" fontId="0" fillId="2" borderId="0" xfId="0" applyNumberFormat="1" applyFill="1"/>
    <xf numFmtId="0" fontId="2" fillId="4" borderId="6" xfId="0" applyFont="1" applyFill="1" applyBorder="1"/>
    <xf numFmtId="42" fontId="2" fillId="4" borderId="7" xfId="0" applyNumberFormat="1" applyFont="1" applyFill="1" applyBorder="1" applyAlignment="1">
      <alignment horizontal="right"/>
    </xf>
    <xf numFmtId="42" fontId="2" fillId="4" borderId="7" xfId="0" applyNumberFormat="1" applyFont="1" applyFill="1" applyBorder="1"/>
    <xf numFmtId="9" fontId="2" fillId="4" borderId="7" xfId="0" applyNumberFormat="1" applyFont="1" applyFill="1" applyBorder="1" applyAlignment="1">
      <alignment horizontal="center"/>
    </xf>
    <xf numFmtId="42" fontId="2" fillId="4" borderId="8" xfId="0" applyNumberFormat="1" applyFont="1" applyFill="1" applyBorder="1"/>
    <xf numFmtId="0" fontId="2" fillId="4" borderId="9" xfId="0" applyFont="1" applyFill="1" applyBorder="1"/>
    <xf numFmtId="42" fontId="2" fillId="4" borderId="0" xfId="0" applyNumberFormat="1" applyFont="1" applyFill="1" applyAlignment="1">
      <alignment horizontal="right"/>
    </xf>
    <xf numFmtId="42" fontId="2" fillId="4" borderId="0" xfId="0" applyNumberFormat="1" applyFont="1" applyFill="1"/>
    <xf numFmtId="9" fontId="2" fillId="4" borderId="0" xfId="0" applyNumberFormat="1" applyFont="1" applyFill="1" applyAlignment="1">
      <alignment horizontal="center"/>
    </xf>
    <xf numFmtId="42" fontId="2" fillId="4" borderId="10" xfId="0" applyNumberFormat="1" applyFont="1" applyFill="1" applyBorder="1"/>
    <xf numFmtId="0" fontId="2" fillId="4" borderId="11" xfId="0" applyFont="1" applyFill="1" applyBorder="1"/>
    <xf numFmtId="42" fontId="2" fillId="4" borderId="12" xfId="0" applyNumberFormat="1" applyFont="1" applyFill="1" applyBorder="1"/>
    <xf numFmtId="42" fontId="2" fillId="4" borderId="14" xfId="0" applyNumberFormat="1" applyFont="1" applyFill="1" applyBorder="1"/>
    <xf numFmtId="0" fontId="2" fillId="4" borderId="12" xfId="0" applyFont="1" applyFill="1" applyBorder="1"/>
    <xf numFmtId="42" fontId="2" fillId="4" borderId="13" xfId="0" applyNumberFormat="1" applyFont="1" applyFill="1" applyBorder="1"/>
    <xf numFmtId="42" fontId="0" fillId="9" borderId="0" xfId="0" applyNumberFormat="1" applyFill="1"/>
    <xf numFmtId="1" fontId="0" fillId="9" borderId="0" xfId="0" applyNumberFormat="1" applyFill="1"/>
    <xf numFmtId="42" fontId="2" fillId="0" borderId="0" xfId="0" applyNumberFormat="1" applyFont="1" applyAlignment="1">
      <alignment horizontal="left"/>
    </xf>
    <xf numFmtId="168" fontId="0" fillId="9" borderId="0" xfId="0" applyNumberFormat="1" applyFill="1"/>
    <xf numFmtId="167" fontId="0" fillId="9" borderId="0" xfId="37" applyNumberFormat="1" applyFont="1" applyFill="1"/>
    <xf numFmtId="44" fontId="2" fillId="0" borderId="9" xfId="0" applyNumberFormat="1" applyFont="1" applyBorder="1"/>
    <xf numFmtId="44" fontId="9" fillId="0" borderId="2" xfId="1" applyNumberFormat="1" applyFont="1" applyBorder="1"/>
    <xf numFmtId="44" fontId="0" fillId="9" borderId="0" xfId="0" applyNumberFormat="1" applyFill="1"/>
    <xf numFmtId="10" fontId="0" fillId="0" borderId="1" xfId="0" applyNumberFormat="1" applyBorder="1" applyAlignment="1">
      <alignment horizontal="center"/>
    </xf>
    <xf numFmtId="167" fontId="2" fillId="0" borderId="1" xfId="37" applyNumberFormat="1" applyFont="1" applyBorder="1" applyAlignment="1">
      <alignment horizontal="center"/>
    </xf>
    <xf numFmtId="43" fontId="2" fillId="5" borderId="3" xfId="37" applyFont="1" applyFill="1" applyBorder="1"/>
    <xf numFmtId="3" fontId="9" fillId="0" borderId="0" xfId="1" applyNumberFormat="1" applyFont="1"/>
    <xf numFmtId="44" fontId="2" fillId="5" borderId="3" xfId="0" applyNumberFormat="1" applyFont="1" applyFill="1" applyBorder="1"/>
    <xf numFmtId="44" fontId="2" fillId="5" borderId="2" xfId="0" applyNumberFormat="1" applyFont="1" applyFill="1" applyBorder="1"/>
    <xf numFmtId="168" fontId="2" fillId="5" borderId="2" xfId="0" applyNumberFormat="1" applyFont="1" applyFill="1" applyBorder="1"/>
    <xf numFmtId="168" fontId="2" fillId="0" borderId="0" xfId="0" applyNumberFormat="1" applyFont="1"/>
    <xf numFmtId="168" fontId="0" fillId="5" borderId="0" xfId="0" applyNumberFormat="1" applyFill="1"/>
    <xf numFmtId="44" fontId="2" fillId="3" borderId="0" xfId="0" applyNumberFormat="1" applyFont="1" applyFill="1"/>
    <xf numFmtId="44" fontId="0" fillId="5" borderId="2" xfId="0" applyNumberFormat="1" applyFill="1" applyBorder="1"/>
    <xf numFmtId="168" fontId="2" fillId="3" borderId="0" xfId="0" applyNumberFormat="1" applyFont="1" applyFill="1"/>
    <xf numFmtId="43" fontId="0" fillId="5" borderId="0" xfId="37" applyFont="1" applyFill="1"/>
    <xf numFmtId="43" fontId="0" fillId="5" borderId="2" xfId="37" applyFont="1" applyFill="1" applyBorder="1"/>
    <xf numFmtId="43" fontId="2" fillId="5" borderId="2" xfId="37" applyFont="1" applyFill="1" applyBorder="1"/>
    <xf numFmtId="43" fontId="2" fillId="0" borderId="0" xfId="37" quotePrefix="1" applyFont="1" applyAlignment="1">
      <alignment horizontal="center"/>
    </xf>
    <xf numFmtId="43" fontId="0" fillId="3" borderId="0" xfId="37" applyFont="1" applyFill="1"/>
    <xf numFmtId="44" fontId="0" fillId="3" borderId="0" xfId="0" applyNumberFormat="1" applyFill="1"/>
    <xf numFmtId="10" fontId="0" fillId="9" borderId="0" xfId="0" applyNumberFormat="1" applyFill="1" applyAlignment="1">
      <alignment horizontal="center"/>
    </xf>
    <xf numFmtId="44" fontId="0" fillId="6" borderId="0" xfId="0" applyNumberFormat="1" applyFill="1"/>
    <xf numFmtId="0" fontId="10" fillId="0" borderId="0" xfId="0" applyFont="1"/>
    <xf numFmtId="9" fontId="2" fillId="0" borderId="0" xfId="35" applyFont="1" applyFill="1"/>
    <xf numFmtId="44" fontId="0" fillId="9" borderId="0" xfId="36" applyFont="1" applyFill="1"/>
    <xf numFmtId="44" fontId="0" fillId="0" borderId="0" xfId="36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</cellXfs>
  <cellStyles count="40">
    <cellStyle name="40% - Accent3" xfId="39" builtinId="39"/>
    <cellStyle name="Comma" xfId="37" builtinId="3"/>
    <cellStyle name="Comma 2" xfId="38" xr:uid="{513D87A2-7FE0-4886-A503-4EF5D7E53954}"/>
    <cellStyle name="Currency" xfId="36" builtinId="4"/>
    <cellStyle name="Currency 2" xfId="5" xr:uid="{00000000-0005-0000-0000-000001000000}"/>
    <cellStyle name="Currency 2 2" xfId="12" xr:uid="{00000000-0005-0000-0000-000002000000}"/>
    <cellStyle name="Currency 2 3" xfId="15" xr:uid="{00000000-0005-0000-0000-000003000000}"/>
    <cellStyle name="Currency 2 4" xfId="18" xr:uid="{00000000-0005-0000-0000-000004000000}"/>
    <cellStyle name="Currency 2 5" xfId="21" xr:uid="{00000000-0005-0000-0000-000005000000}"/>
    <cellStyle name="Currency 2 6" xfId="24" xr:uid="{00000000-0005-0000-0000-000006000000}"/>
    <cellStyle name="Currency 2 7" xfId="27" xr:uid="{00000000-0005-0000-0000-000007000000}"/>
    <cellStyle name="Currency 2 8" xfId="30" xr:uid="{00000000-0005-0000-0000-000008000000}"/>
    <cellStyle name="Currency 2 9" xfId="33" xr:uid="{00000000-0005-0000-0000-000009000000}"/>
    <cellStyle name="Currency 3" xfId="2" xr:uid="{00000000-0005-0000-0000-00000A000000}"/>
    <cellStyle name="Normal" xfId="0" builtinId="0"/>
    <cellStyle name="Normal 2" xfId="1" xr:uid="{00000000-0005-0000-0000-00000C000000}"/>
    <cellStyle name="Normal 2 10" xfId="20" xr:uid="{00000000-0005-0000-0000-00000D000000}"/>
    <cellStyle name="Normal 2 11" xfId="23" xr:uid="{00000000-0005-0000-0000-00000E000000}"/>
    <cellStyle name="Normal 2 12" xfId="26" xr:uid="{00000000-0005-0000-0000-00000F000000}"/>
    <cellStyle name="Normal 2 13" xfId="29" xr:uid="{00000000-0005-0000-0000-000010000000}"/>
    <cellStyle name="Normal 2 14" xfId="32" xr:uid="{00000000-0005-0000-0000-000011000000}"/>
    <cellStyle name="Normal 2 2" xfId="4" xr:uid="{00000000-0005-0000-0000-000012000000}"/>
    <cellStyle name="Normal 2 3" xfId="7" xr:uid="{00000000-0005-0000-0000-000013000000}"/>
    <cellStyle name="Normal 2 4" xfId="8" xr:uid="{00000000-0005-0000-0000-000014000000}"/>
    <cellStyle name="Normal 2 5" xfId="9" xr:uid="{00000000-0005-0000-0000-000015000000}"/>
    <cellStyle name="Normal 2 6" xfId="10" xr:uid="{00000000-0005-0000-0000-000016000000}"/>
    <cellStyle name="Normal 2 7" xfId="11" xr:uid="{00000000-0005-0000-0000-000017000000}"/>
    <cellStyle name="Normal 2 8" xfId="14" xr:uid="{00000000-0005-0000-0000-000018000000}"/>
    <cellStyle name="Normal 2 9" xfId="17" xr:uid="{00000000-0005-0000-0000-000019000000}"/>
    <cellStyle name="Percent" xfId="35" builtinId="5"/>
    <cellStyle name="Percent 2" xfId="6" xr:uid="{00000000-0005-0000-0000-00001B000000}"/>
    <cellStyle name="Percent 2 2" xfId="13" xr:uid="{00000000-0005-0000-0000-00001C000000}"/>
    <cellStyle name="Percent 2 3" xfId="16" xr:uid="{00000000-0005-0000-0000-00001D000000}"/>
    <cellStyle name="Percent 2 4" xfId="19" xr:uid="{00000000-0005-0000-0000-00001E000000}"/>
    <cellStyle name="Percent 2 5" xfId="22" xr:uid="{00000000-0005-0000-0000-00001F000000}"/>
    <cellStyle name="Percent 2 6" xfId="25" xr:uid="{00000000-0005-0000-0000-000020000000}"/>
    <cellStyle name="Percent 2 7" xfId="28" xr:uid="{00000000-0005-0000-0000-000021000000}"/>
    <cellStyle name="Percent 2 8" xfId="31" xr:uid="{00000000-0005-0000-0000-000022000000}"/>
    <cellStyle name="Percent 2 9" xfId="34" xr:uid="{00000000-0005-0000-0000-000023000000}"/>
    <cellStyle name="Percent 3" xfId="3" xr:uid="{00000000-0005-0000-0000-00002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6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8.png"/><Relationship Id="rId1" Type="http://schemas.openxmlformats.org/officeDocument/2006/relationships/image" Target="../media/image13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2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10583</xdr:colOff>
      <xdr:row>0</xdr:row>
      <xdr:rowOff>21167</xdr:rowOff>
    </xdr:from>
    <xdr:to>
      <xdr:col>26</xdr:col>
      <xdr:colOff>11354</xdr:colOff>
      <xdr:row>41</xdr:row>
      <xdr:rowOff>155626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6FE666-FA9B-7472-83B4-5A1ECF626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6250" y="21167"/>
          <a:ext cx="5525271" cy="7944959"/>
        </a:xfrm>
        <a:prstGeom prst="rect">
          <a:avLst/>
        </a:prstGeom>
      </xdr:spPr>
    </xdr:pic>
    <xdr:clientData/>
  </xdr:twoCellAnchor>
  <xdr:twoCellAnchor editAs="oneCell">
    <xdr:from>
      <xdr:col>16</xdr:col>
      <xdr:colOff>592667</xdr:colOff>
      <xdr:row>41</xdr:row>
      <xdr:rowOff>137583</xdr:rowOff>
    </xdr:from>
    <xdr:to>
      <xdr:col>26</xdr:col>
      <xdr:colOff>36762</xdr:colOff>
      <xdr:row>78</xdr:row>
      <xdr:rowOff>119514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499318-5AAB-BCCF-2E54-6837617F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4500" y="7948083"/>
          <a:ext cx="5582429" cy="7030431"/>
        </a:xfrm>
        <a:prstGeom prst="rect">
          <a:avLst/>
        </a:prstGeom>
      </xdr:spPr>
    </xdr:pic>
    <xdr:clientData/>
  </xdr:twoCellAnchor>
  <xdr:twoCellAnchor editAs="oneCell">
    <xdr:from>
      <xdr:col>16</xdr:col>
      <xdr:colOff>592667</xdr:colOff>
      <xdr:row>77</xdr:row>
      <xdr:rowOff>84667</xdr:rowOff>
    </xdr:from>
    <xdr:to>
      <xdr:col>26</xdr:col>
      <xdr:colOff>8183</xdr:colOff>
      <xdr:row>114</xdr:row>
      <xdr:rowOff>76124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74B37BD-86CD-3BAE-4B8D-29898537B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34500" y="14753167"/>
          <a:ext cx="5553850" cy="7039957"/>
        </a:xfrm>
        <a:prstGeom prst="rect">
          <a:avLst/>
        </a:prstGeom>
      </xdr:spPr>
    </xdr:pic>
    <xdr:clientData/>
  </xdr:twoCellAnchor>
  <xdr:twoCellAnchor editAs="oneCell">
    <xdr:from>
      <xdr:col>16</xdr:col>
      <xdr:colOff>571500</xdr:colOff>
      <xdr:row>113</xdr:row>
      <xdr:rowOff>21167</xdr:rowOff>
    </xdr:from>
    <xdr:to>
      <xdr:col>25</xdr:col>
      <xdr:colOff>610376</xdr:colOff>
      <xdr:row>116</xdr:row>
      <xdr:rowOff>97457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A8771E1-1D08-8049-D2E9-88F7560E5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13333" y="21547667"/>
          <a:ext cx="5563376" cy="6477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34C6CC-82AF-4B5C-AC34-BDCD0B921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09F055-D24D-A043-DB8D-232447E5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553246</xdr:colOff>
      <xdr:row>64</xdr:row>
      <xdr:rowOff>96028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73AE7E-AA62-A2F0-019D-25EBEA75B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504825</xdr:colOff>
      <xdr:row>31</xdr:row>
      <xdr:rowOff>152400</xdr:rowOff>
    </xdr:from>
    <xdr:to>
      <xdr:col>21</xdr:col>
      <xdr:colOff>334457</xdr:colOff>
      <xdr:row>73</xdr:row>
      <xdr:rowOff>124938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F007BB3-843F-4666-9AA2-E862FC302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48650" y="6267450"/>
          <a:ext cx="7754432" cy="7973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7</xdr:col>
      <xdr:colOff>191532</xdr:colOff>
      <xdr:row>73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C88C428-E925-41DF-8050-6352747E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96050"/>
          <a:ext cx="7392432" cy="7754432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48E35-0383-4BCA-8AAF-C68A8DBA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583407</xdr:colOff>
      <xdr:row>56</xdr:row>
      <xdr:rowOff>71435</xdr:rowOff>
    </xdr:from>
    <xdr:to>
      <xdr:col>38</xdr:col>
      <xdr:colOff>270054</xdr:colOff>
      <xdr:row>96</xdr:row>
      <xdr:rowOff>72499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668B6-FED1-4A92-ACFD-31B6C68BE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92938" y="10775154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119063</xdr:colOff>
      <xdr:row>55</xdr:row>
      <xdr:rowOff>83344</xdr:rowOff>
    </xdr:from>
    <xdr:to>
      <xdr:col>27</xdr:col>
      <xdr:colOff>86768</xdr:colOff>
      <xdr:row>99</xdr:row>
      <xdr:rowOff>74988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40F457-9342-48ED-8F47-163C6466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4876" y="10596563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6</xdr:col>
      <xdr:colOff>321468</xdr:colOff>
      <xdr:row>58</xdr:row>
      <xdr:rowOff>83344</xdr:rowOff>
    </xdr:from>
    <xdr:to>
      <xdr:col>15</xdr:col>
      <xdr:colOff>84194</xdr:colOff>
      <xdr:row>94</xdr:row>
      <xdr:rowOff>65249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5153243-07CC-9493-68B0-3102D6E96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03156" y="11168063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560264</xdr:colOff>
      <xdr:row>23</xdr:row>
      <xdr:rowOff>76769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7DC0C5-4919-2BA1-1761-EDA5DCDF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4156" y="381000"/>
          <a:ext cx="4810796" cy="40772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12</xdr:col>
      <xdr:colOff>189596</xdr:colOff>
      <xdr:row>44</xdr:row>
      <xdr:rowOff>162320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05A297-FF1D-E108-253B-8ABFE7AAB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750719"/>
          <a:ext cx="10583752" cy="282932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56</xdr:row>
      <xdr:rowOff>142875</xdr:rowOff>
    </xdr:from>
    <xdr:to>
      <xdr:col>6</xdr:col>
      <xdr:colOff>148459</xdr:colOff>
      <xdr:row>93</xdr:row>
      <xdr:rowOff>39069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0594E6-BAAF-661A-1B4B-C57F2747A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10846594"/>
          <a:ext cx="5887272" cy="69446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416719</xdr:colOff>
      <xdr:row>78</xdr:row>
      <xdr:rowOff>35718</xdr:rowOff>
    </xdr:from>
    <xdr:to>
      <xdr:col>23</xdr:col>
      <xdr:colOff>567709</xdr:colOff>
      <xdr:row>118</xdr:row>
      <xdr:rowOff>36782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EF281-FB36-4434-85E0-3EC5664F8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1969" y="14894718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23</xdr:col>
      <xdr:colOff>41208</xdr:colOff>
      <xdr:row>50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861B5FE-49FF-4850-9734-87AD072A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32469" y="9334500"/>
          <a:ext cx="6256271" cy="321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119062</xdr:rowOff>
    </xdr:from>
    <xdr:to>
      <xdr:col>8</xdr:col>
      <xdr:colOff>39142</xdr:colOff>
      <xdr:row>123</xdr:row>
      <xdr:rowOff>110706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52F80D1-BD0A-4AD3-835C-C75B54C6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782" y="15168562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</xdr:colOff>
      <xdr:row>51</xdr:row>
      <xdr:rowOff>71438</xdr:rowOff>
    </xdr:from>
    <xdr:to>
      <xdr:col>13</xdr:col>
      <xdr:colOff>42001</xdr:colOff>
      <xdr:row>71</xdr:row>
      <xdr:rowOff>119601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CABEC0-F990-4F29-8DBB-54DACC34D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781" y="9810751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23</xdr:col>
      <xdr:colOff>491473</xdr:colOff>
      <xdr:row>36</xdr:row>
      <xdr:rowOff>181904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562175-5F6F-4552-A2CB-186E0390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1375" y="381000"/>
          <a:ext cx="6706536" cy="665890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4E840F-C6B5-479E-CC0A-733C224A7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9902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387774</xdr:colOff>
      <xdr:row>35</xdr:row>
      <xdr:rowOff>86136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F38498-8546-4B90-81BE-9A59E2C4F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621857" cy="2943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22</xdr:row>
      <xdr:rowOff>0</xdr:rowOff>
    </xdr:from>
    <xdr:to>
      <xdr:col>22</xdr:col>
      <xdr:colOff>40678</xdr:colOff>
      <xdr:row>42</xdr:row>
      <xdr:rowOff>48163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974FCD-6C64-4514-8FC7-D03CE043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35750" y="4191000"/>
          <a:ext cx="10888595" cy="38581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8</xdr:col>
      <xdr:colOff>49685</xdr:colOff>
      <xdr:row>60</xdr:row>
      <xdr:rowOff>1090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6651A7-E605-4649-878D-12221E71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3619500"/>
          <a:ext cx="7182852" cy="78115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70185</xdr:colOff>
      <xdr:row>20</xdr:row>
      <xdr:rowOff>90237</xdr:rowOff>
    </xdr:from>
    <xdr:to>
      <xdr:col>36</xdr:col>
      <xdr:colOff>84200</xdr:colOff>
      <xdr:row>35</xdr:row>
      <xdr:rowOff>176373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2149-F5BB-4BE8-BDE5-4EEF8908B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7211" y="3900237"/>
          <a:ext cx="10621857" cy="29436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10026</xdr:colOff>
      <xdr:row>21</xdr:row>
      <xdr:rowOff>40106</xdr:rowOff>
    </xdr:from>
    <xdr:to>
      <xdr:col>11</xdr:col>
      <xdr:colOff>394217</xdr:colOff>
      <xdr:row>57</xdr:row>
      <xdr:rowOff>136326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AAFF2E0-37BF-4509-89DF-BB4ABE3F8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552" y="4040606"/>
          <a:ext cx="4906060" cy="695422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18</xdr:col>
      <xdr:colOff>536</xdr:colOff>
      <xdr:row>54</xdr:row>
      <xdr:rowOff>115193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1BF3F-F314-4D02-B757-25BA11ED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26" y="4000500"/>
          <a:ext cx="7440063" cy="640169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39</xdr:col>
      <xdr:colOff>391043</xdr:colOff>
      <xdr:row>41</xdr:row>
      <xdr:rowOff>48163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992E5-319F-4E29-AE8A-B3E64B1A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2132" y="4000500"/>
          <a:ext cx="10888595" cy="38581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80961</xdr:colOff>
      <xdr:row>12</xdr:row>
      <xdr:rowOff>57149</xdr:rowOff>
    </xdr:from>
    <xdr:to>
      <xdr:col>50</xdr:col>
      <xdr:colOff>75936</xdr:colOff>
      <xdr:row>50</xdr:row>
      <xdr:rowOff>15301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BD9A68-7E0B-434D-826B-75D756B9C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68686" y="2371724"/>
          <a:ext cx="15234975" cy="72543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20</xdr:col>
      <xdr:colOff>116076</xdr:colOff>
      <xdr:row>89</xdr:row>
      <xdr:rowOff>124932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C1AF3B-E63C-32E8-4E60-DD212475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9229725"/>
          <a:ext cx="12727176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39</xdr:col>
      <xdr:colOff>325629</xdr:colOff>
      <xdr:row>19</xdr:row>
      <xdr:rowOff>19478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6D32EA-2525-880B-E70C-4F0DF7046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58250" y="571500"/>
          <a:ext cx="12746229" cy="306747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20</xdr:row>
      <xdr:rowOff>0</xdr:rowOff>
    </xdr:from>
    <xdr:to>
      <xdr:col>39</xdr:col>
      <xdr:colOff>230365</xdr:colOff>
      <xdr:row>30</xdr:row>
      <xdr:rowOff>133637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13FF88-D91E-46A1-7576-BC5FAE9F3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8250" y="3810000"/>
          <a:ext cx="12650965" cy="20576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21</xdr:row>
      <xdr:rowOff>0</xdr:rowOff>
    </xdr:from>
    <xdr:to>
      <xdr:col>25</xdr:col>
      <xdr:colOff>382574</xdr:colOff>
      <xdr:row>40</xdr:row>
      <xdr:rowOff>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EFE34B-83CD-8C82-2A36-C2B2F1E43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29125" y="4000500"/>
          <a:ext cx="11279174" cy="36200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EE004-EB31-4768-A0B0-88189002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5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18</xdr:col>
      <xdr:colOff>515188</xdr:colOff>
      <xdr:row>69</xdr:row>
      <xdr:rowOff>39009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DDCC01F-CC68-0541-8940-34FA79C72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6775" y="6686550"/>
          <a:ext cx="6001588" cy="651600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35</xdr:row>
      <xdr:rowOff>38100</xdr:rowOff>
    </xdr:from>
    <xdr:to>
      <xdr:col>6</xdr:col>
      <xdr:colOff>143705</xdr:colOff>
      <xdr:row>66</xdr:row>
      <xdr:rowOff>96082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008A8D-B2BA-2105-17B3-6195313C1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6724650"/>
          <a:ext cx="5944430" cy="5963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59532</xdr:colOff>
      <xdr:row>56</xdr:row>
      <xdr:rowOff>178592</xdr:rowOff>
    </xdr:from>
    <xdr:to>
      <xdr:col>49</xdr:col>
      <xdr:colOff>353397</xdr:colOff>
      <xdr:row>96</xdr:row>
      <xdr:rowOff>179656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17D51-C938-401B-9F4B-7F4243E8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55688" y="10882311"/>
          <a:ext cx="6973272" cy="7621064"/>
        </a:xfrm>
        <a:prstGeom prst="rect">
          <a:avLst/>
        </a:prstGeom>
      </xdr:spPr>
    </xdr:pic>
    <xdr:clientData/>
  </xdr:twoCellAnchor>
  <xdr:twoCellAnchor editAs="oneCell">
    <xdr:from>
      <xdr:col>25</xdr:col>
      <xdr:colOff>595313</xdr:colOff>
      <xdr:row>56</xdr:row>
      <xdr:rowOff>1</xdr:rowOff>
    </xdr:from>
    <xdr:to>
      <xdr:col>38</xdr:col>
      <xdr:colOff>170112</xdr:colOff>
      <xdr:row>99</xdr:row>
      <xdr:rowOff>182145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911E2A-63A3-4492-8AD7-42C7704D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97626" y="10703720"/>
          <a:ext cx="7468642" cy="8373644"/>
        </a:xfrm>
        <a:prstGeom prst="rect">
          <a:avLst/>
        </a:prstGeom>
      </xdr:spPr>
    </xdr:pic>
    <xdr:clientData/>
  </xdr:twoCellAnchor>
  <xdr:twoCellAnchor editAs="oneCell">
    <xdr:from>
      <xdr:col>16</xdr:col>
      <xdr:colOff>142875</xdr:colOff>
      <xdr:row>59</xdr:row>
      <xdr:rowOff>1</xdr:rowOff>
    </xdr:from>
    <xdr:to>
      <xdr:col>25</xdr:col>
      <xdr:colOff>560444</xdr:colOff>
      <xdr:row>94</xdr:row>
      <xdr:rowOff>172406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2117CB-74BD-4891-BE1B-B788FC0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5906" y="11275220"/>
          <a:ext cx="6096851" cy="6839905"/>
        </a:xfrm>
        <a:prstGeom prst="rect">
          <a:avLst/>
        </a:prstGeom>
      </xdr:spPr>
    </xdr:pic>
    <xdr:clientData/>
  </xdr:twoCellAnchor>
  <xdr:twoCellAnchor editAs="oneCell">
    <xdr:from>
      <xdr:col>7</xdr:col>
      <xdr:colOff>71437</xdr:colOff>
      <xdr:row>57</xdr:row>
      <xdr:rowOff>59532</xdr:rowOff>
    </xdr:from>
    <xdr:to>
      <xdr:col>15</xdr:col>
      <xdr:colOff>577084</xdr:colOff>
      <xdr:row>93</xdr:row>
      <xdr:rowOff>146226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600AFA-0B94-4BF9-8A8D-95C89778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5625" y="10953751"/>
          <a:ext cx="5887272" cy="694469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29</xdr:row>
      <xdr:rowOff>142875</xdr:rowOff>
    </xdr:from>
    <xdr:to>
      <xdr:col>13</xdr:col>
      <xdr:colOff>58660</xdr:colOff>
      <xdr:row>46</xdr:row>
      <xdr:rowOff>67116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C3FDF9-0470-1B41-8959-EE602EB0B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5" y="5703094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57</xdr:row>
      <xdr:rowOff>107156</xdr:rowOff>
    </xdr:from>
    <xdr:to>
      <xdr:col>6</xdr:col>
      <xdr:colOff>567610</xdr:colOff>
      <xdr:row>93</xdr:row>
      <xdr:rowOff>155745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CA3F7C9-009C-689B-B39B-9B0925C3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500" y="11001375"/>
          <a:ext cx="6258798" cy="690658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19</xdr:col>
      <xdr:colOff>550738</xdr:colOff>
      <xdr:row>22</xdr:row>
      <xdr:rowOff>105321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3CAB049-64F9-C2F8-1364-55C28E4FB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94156" y="381000"/>
          <a:ext cx="4801270" cy="39153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5</xdr:col>
      <xdr:colOff>225069</xdr:colOff>
      <xdr:row>52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3845DE-2EAB-454F-9924-0959343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0"/>
          <a:ext cx="5025669" cy="62492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20</xdr:row>
      <xdr:rowOff>0</xdr:rowOff>
    </xdr:from>
    <xdr:to>
      <xdr:col>21</xdr:col>
      <xdr:colOff>587827</xdr:colOff>
      <xdr:row>36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63D6B09-CA55-42A2-9537-7B66B1B55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88000" y="3810000"/>
          <a:ext cx="10821910" cy="31627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21</xdr:row>
      <xdr:rowOff>0</xdr:rowOff>
    </xdr:from>
    <xdr:to>
      <xdr:col>36</xdr:col>
      <xdr:colOff>113805</xdr:colOff>
      <xdr:row>37</xdr:row>
      <xdr:rowOff>114741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F303C2-356A-41AD-B42C-BF06FF7B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7553" y="4000500"/>
          <a:ext cx="10821910" cy="316274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11</xdr:col>
      <xdr:colOff>765244</xdr:colOff>
      <xdr:row>47</xdr:row>
      <xdr:rowOff>10218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70D39-9F3E-804E-BEAD-B8357EF7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526" y="4000500"/>
          <a:ext cx="5287113" cy="49632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10</xdr:row>
      <xdr:rowOff>19050</xdr:rowOff>
    </xdr:from>
    <xdr:to>
      <xdr:col>24</xdr:col>
      <xdr:colOff>182229</xdr:colOff>
      <xdr:row>19</xdr:row>
      <xdr:rowOff>38343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BBAB63-61A5-43B8-BECB-1BE58A72B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933575"/>
          <a:ext cx="8983329" cy="1743318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34</xdr:row>
      <xdr:rowOff>152400</xdr:rowOff>
    </xdr:from>
    <xdr:to>
      <xdr:col>18</xdr:col>
      <xdr:colOff>372294</xdr:colOff>
      <xdr:row>67</xdr:row>
      <xdr:rowOff>153277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F5A66-74EE-447E-BF8F-1BEE9AB2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10575" y="6648450"/>
          <a:ext cx="5868219" cy="6287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35</xdr:row>
      <xdr:rowOff>47625</xdr:rowOff>
    </xdr:from>
    <xdr:to>
      <xdr:col>5</xdr:col>
      <xdr:colOff>486571</xdr:colOff>
      <xdr:row>64</xdr:row>
      <xdr:rowOff>96028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173A01-B41E-4C98-9474-AC8B1DC5E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6734175"/>
          <a:ext cx="5706271" cy="5572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72"/>
  <sheetViews>
    <sheetView tabSelected="1" zoomScale="90" zoomScaleNormal="90" zoomScalePageLayoutView="64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J6" sqref="J6"/>
    </sheetView>
  </sheetViews>
  <sheetFormatPr defaultRowHeight="15" x14ac:dyDescent="0.25"/>
  <cols>
    <col min="1" max="3" width="1.42578125" customWidth="1"/>
    <col min="4" max="4" width="35.140625" customWidth="1"/>
    <col min="5" max="5" width="1.42578125" customWidth="1"/>
    <col min="6" max="6" width="13.28515625" style="102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1.42578125" customWidth="1"/>
    <col min="16" max="16" width="16.42578125" bestFit="1" customWidth="1"/>
  </cols>
  <sheetData>
    <row r="1" spans="1:16" x14ac:dyDescent="0.25">
      <c r="A1" s="16" t="s">
        <v>95</v>
      </c>
      <c r="F1" s="102" t="str">
        <f>+'Commodity OK'!H2</f>
        <v>Data Input Jan.23 billing = Jan invoices = Dec Flow  data= Dec Sales Volume</v>
      </c>
    </row>
    <row r="2" spans="1:16" x14ac:dyDescent="0.25">
      <c r="H2" s="18"/>
      <c r="I2" s="18"/>
      <c r="J2" s="2"/>
      <c r="K2" s="17" t="s">
        <v>9</v>
      </c>
      <c r="L2" s="18"/>
      <c r="M2" s="18"/>
      <c r="N2" s="18"/>
      <c r="O2" s="18"/>
      <c r="P2" s="18"/>
    </row>
    <row r="3" spans="1:16" x14ac:dyDescent="0.25">
      <c r="A3" s="16" t="s">
        <v>94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P3" s="19" t="s">
        <v>281</v>
      </c>
    </row>
    <row r="4" spans="1:16" x14ac:dyDescent="0.25">
      <c r="F4" s="111" t="s">
        <v>8</v>
      </c>
      <c r="H4" s="1"/>
      <c r="J4" s="1"/>
      <c r="L4" s="1"/>
      <c r="N4" s="1"/>
    </row>
    <row r="6" spans="1:16" x14ac:dyDescent="0.25">
      <c r="B6" s="53" t="s">
        <v>0</v>
      </c>
      <c r="C6" s="54"/>
      <c r="D6" s="54"/>
    </row>
    <row r="7" spans="1:16" x14ac:dyDescent="0.25">
      <c r="C7" t="s">
        <v>1</v>
      </c>
      <c r="F7" s="112">
        <v>5326.1</v>
      </c>
      <c r="G7" s="56"/>
      <c r="H7" s="79">
        <f>F7</f>
        <v>5326.1</v>
      </c>
      <c r="I7" s="8"/>
      <c r="J7" s="79"/>
      <c r="K7" s="8"/>
      <c r="L7" s="79"/>
      <c r="M7" s="8"/>
      <c r="N7" s="79"/>
      <c r="P7" s="79"/>
    </row>
    <row r="8" spans="1:16" x14ac:dyDescent="0.25">
      <c r="C8" t="s">
        <v>2</v>
      </c>
      <c r="F8" s="112">
        <v>-3042.84</v>
      </c>
      <c r="G8" s="56"/>
      <c r="H8" s="79"/>
      <c r="I8" s="8"/>
      <c r="J8" s="79">
        <f>F8</f>
        <v>-3042.84</v>
      </c>
      <c r="K8" s="8"/>
      <c r="L8" s="79"/>
      <c r="M8" s="8"/>
      <c r="N8" s="79"/>
      <c r="P8" s="79"/>
    </row>
    <row r="9" spans="1:16" x14ac:dyDescent="0.25">
      <c r="C9" t="s">
        <v>124</v>
      </c>
      <c r="F9" s="112">
        <v>662.93</v>
      </c>
      <c r="G9" s="56"/>
      <c r="H9" s="79"/>
      <c r="I9" s="8"/>
      <c r="J9" s="79"/>
      <c r="K9" s="8"/>
      <c r="L9" s="79"/>
      <c r="M9" s="8"/>
      <c r="N9" s="79">
        <f>F9</f>
        <v>662.93</v>
      </c>
      <c r="P9" s="79"/>
    </row>
    <row r="10" spans="1:16" x14ac:dyDescent="0.25">
      <c r="C10" t="s">
        <v>3</v>
      </c>
      <c r="F10" s="112">
        <v>53527.48</v>
      </c>
      <c r="G10" s="56"/>
      <c r="H10" s="79"/>
      <c r="I10" s="8"/>
      <c r="J10" s="79"/>
      <c r="K10" s="8"/>
      <c r="L10" s="79">
        <f>F10</f>
        <v>53527.48</v>
      </c>
      <c r="M10" s="8"/>
      <c r="N10" s="79"/>
      <c r="P10" s="79"/>
    </row>
    <row r="11" spans="1:16" x14ac:dyDescent="0.25">
      <c r="G11" s="56"/>
      <c r="H11" s="8"/>
      <c r="I11" s="8"/>
      <c r="J11" s="8"/>
      <c r="K11" s="8"/>
      <c r="L11" s="8"/>
      <c r="M11" s="8"/>
      <c r="N11" s="8"/>
    </row>
    <row r="12" spans="1:16" x14ac:dyDescent="0.25">
      <c r="B12" s="53" t="s">
        <v>4</v>
      </c>
      <c r="C12" s="54"/>
      <c r="D12" s="54"/>
      <c r="G12" s="56"/>
      <c r="H12" s="8"/>
      <c r="I12" s="8"/>
      <c r="J12" s="8"/>
      <c r="K12" s="8"/>
      <c r="L12" s="8"/>
      <c r="M12" s="8"/>
      <c r="N12" s="8"/>
    </row>
    <row r="13" spans="1:16" x14ac:dyDescent="0.25">
      <c r="C13" t="s">
        <v>5</v>
      </c>
      <c r="F13" s="112">
        <v>5868.4</v>
      </c>
      <c r="G13" s="56"/>
      <c r="H13" s="79">
        <f>F13</f>
        <v>5868.4</v>
      </c>
      <c r="I13" s="8"/>
      <c r="J13" s="79"/>
      <c r="K13" s="8"/>
      <c r="L13" s="79"/>
      <c r="M13" s="8"/>
      <c r="N13" s="79"/>
      <c r="P13" s="79"/>
    </row>
    <row r="14" spans="1:16" x14ac:dyDescent="0.25">
      <c r="C14" t="s">
        <v>6</v>
      </c>
      <c r="F14" s="116">
        <v>8433.61</v>
      </c>
      <c r="G14" s="56"/>
      <c r="H14" s="79"/>
      <c r="I14" s="8"/>
      <c r="J14" s="79">
        <f>F14</f>
        <v>8433.61</v>
      </c>
      <c r="K14" s="8"/>
      <c r="L14" s="79"/>
      <c r="M14" s="8"/>
      <c r="N14" s="79"/>
      <c r="P14" s="79"/>
    </row>
    <row r="15" spans="1:16" x14ac:dyDescent="0.25">
      <c r="C15" t="s">
        <v>125</v>
      </c>
      <c r="F15" s="112">
        <v>950.62</v>
      </c>
      <c r="G15" s="56"/>
      <c r="H15" s="79"/>
      <c r="I15" s="8"/>
      <c r="J15" s="79"/>
      <c r="K15" s="8"/>
      <c r="L15" s="79"/>
      <c r="M15" s="8"/>
      <c r="N15" s="79">
        <f>F15</f>
        <v>950.62</v>
      </c>
      <c r="P15" s="79"/>
    </row>
    <row r="16" spans="1:16" x14ac:dyDescent="0.25">
      <c r="C16" t="s">
        <v>7</v>
      </c>
      <c r="F16" s="112">
        <v>16528.13</v>
      </c>
      <c r="G16" s="56"/>
      <c r="H16" s="79"/>
      <c r="I16" s="8"/>
      <c r="J16" s="79"/>
      <c r="K16" s="8"/>
      <c r="L16" s="79">
        <f>F16</f>
        <v>16528.13</v>
      </c>
      <c r="M16" s="8"/>
      <c r="N16" s="79"/>
      <c r="P16" s="79"/>
    </row>
    <row r="17" spans="2:16" x14ac:dyDescent="0.25">
      <c r="G17" s="56"/>
      <c r="H17" s="8"/>
      <c r="I17" s="8"/>
      <c r="J17" s="8"/>
      <c r="K17" s="8"/>
      <c r="L17" s="8"/>
      <c r="M17" s="8"/>
      <c r="N17" s="8"/>
      <c r="P17" s="8"/>
    </row>
    <row r="18" spans="2:16" x14ac:dyDescent="0.25">
      <c r="B18" s="53" t="s">
        <v>14</v>
      </c>
      <c r="C18" s="54"/>
      <c r="D18" s="54"/>
      <c r="F18" s="112">
        <v>8759.32</v>
      </c>
      <c r="G18" s="56"/>
      <c r="H18" s="79"/>
      <c r="I18" s="8"/>
      <c r="J18" s="79"/>
      <c r="K18" s="8"/>
      <c r="L18" s="79">
        <f>F18</f>
        <v>8759.32</v>
      </c>
      <c r="M18" s="8"/>
      <c r="N18" s="79"/>
      <c r="P18" s="79"/>
    </row>
    <row r="19" spans="2:16" x14ac:dyDescent="0.25">
      <c r="G19" s="56"/>
      <c r="H19" s="8"/>
      <c r="I19" s="8"/>
      <c r="J19" s="8"/>
      <c r="K19" s="8"/>
      <c r="L19" s="8"/>
      <c r="M19" s="8"/>
      <c r="N19" s="8"/>
    </row>
    <row r="20" spans="2:16" x14ac:dyDescent="0.25">
      <c r="B20" s="53" t="s">
        <v>288</v>
      </c>
      <c r="C20" s="53"/>
      <c r="D20" s="53"/>
      <c r="G20" s="56"/>
      <c r="H20" s="8"/>
      <c r="I20" s="8"/>
      <c r="J20" s="8"/>
      <c r="K20" s="8"/>
      <c r="L20" s="8"/>
      <c r="M20" s="8"/>
      <c r="N20" s="8"/>
    </row>
    <row r="21" spans="2:16" x14ac:dyDescent="0.25">
      <c r="C21" t="s">
        <v>282</v>
      </c>
      <c r="F21" s="112">
        <v>605.67999999999995</v>
      </c>
      <c r="G21" s="56"/>
      <c r="H21" s="79"/>
      <c r="I21" s="8"/>
      <c r="J21" s="79"/>
      <c r="K21" s="8"/>
      <c r="L21" s="79"/>
      <c r="M21" s="8"/>
      <c r="N21" s="79"/>
      <c r="P21" s="79">
        <f>+F21</f>
        <v>605.67999999999995</v>
      </c>
    </row>
    <row r="22" spans="2:16" x14ac:dyDescent="0.25">
      <c r="C22" t="s">
        <v>283</v>
      </c>
      <c r="F22" s="112">
        <v>1079.75</v>
      </c>
      <c r="G22" s="56"/>
      <c r="H22" s="79"/>
      <c r="I22" s="8"/>
      <c r="J22" s="79"/>
      <c r="K22" s="8"/>
      <c r="L22" s="79"/>
      <c r="M22" s="8"/>
      <c r="N22" s="79"/>
      <c r="P22" s="79">
        <f>+F22</f>
        <v>1079.75</v>
      </c>
    </row>
    <row r="23" spans="2:16" x14ac:dyDescent="0.25">
      <c r="G23" s="56"/>
      <c r="H23" s="8"/>
      <c r="I23" s="8"/>
      <c r="J23" s="8"/>
      <c r="K23" s="8"/>
      <c r="L23" s="8"/>
      <c r="M23" s="8"/>
      <c r="N23" s="8"/>
    </row>
    <row r="24" spans="2:16" x14ac:dyDescent="0.25">
      <c r="B24" s="53" t="s">
        <v>17</v>
      </c>
      <c r="C24" s="53"/>
      <c r="D24" s="53"/>
      <c r="G24" s="56"/>
      <c r="H24" s="8"/>
      <c r="I24" s="8"/>
      <c r="J24" s="8"/>
      <c r="K24" s="8"/>
      <c r="L24" s="8"/>
      <c r="M24" s="8"/>
      <c r="N24" s="8"/>
    </row>
    <row r="25" spans="2:16" x14ac:dyDescent="0.25">
      <c r="C25" t="s">
        <v>119</v>
      </c>
      <c r="F25" s="112">
        <v>243.99</v>
      </c>
      <c r="G25" s="56"/>
      <c r="H25" s="79">
        <f>F25</f>
        <v>243.99</v>
      </c>
      <c r="I25" s="8"/>
      <c r="J25" s="79"/>
      <c r="K25" s="8"/>
      <c r="L25" s="79"/>
      <c r="M25" s="8"/>
      <c r="N25" s="79"/>
      <c r="P25" s="79"/>
    </row>
    <row r="26" spans="2:16" x14ac:dyDescent="0.25">
      <c r="C26" t="s">
        <v>155</v>
      </c>
      <c r="F26" s="112">
        <v>201.65</v>
      </c>
      <c r="G26" s="56"/>
      <c r="H26" s="79"/>
      <c r="I26" s="8"/>
      <c r="J26" s="79">
        <f>F26</f>
        <v>201.65</v>
      </c>
      <c r="K26" s="8"/>
      <c r="L26" s="79"/>
      <c r="M26" s="8"/>
      <c r="N26" s="79"/>
      <c r="P26" s="79"/>
    </row>
    <row r="27" spans="2:16" x14ac:dyDescent="0.25">
      <c r="C27" t="s">
        <v>126</v>
      </c>
      <c r="F27" s="112">
        <v>0</v>
      </c>
      <c r="G27" s="56"/>
      <c r="H27" s="79"/>
      <c r="I27" s="8"/>
      <c r="J27" s="79"/>
      <c r="K27" s="8"/>
      <c r="L27" s="79"/>
      <c r="M27" s="8"/>
      <c r="N27" s="79">
        <f>F27</f>
        <v>0</v>
      </c>
      <c r="P27" s="79"/>
    </row>
    <row r="28" spans="2:16" x14ac:dyDescent="0.25">
      <c r="C28" t="s">
        <v>118</v>
      </c>
      <c r="F28" s="112">
        <v>5084.1000000000004</v>
      </c>
      <c r="G28" s="56"/>
      <c r="H28" s="79"/>
      <c r="I28" s="8"/>
      <c r="J28" s="79"/>
      <c r="K28" s="8"/>
      <c r="L28" s="79">
        <f>F28</f>
        <v>5084.1000000000004</v>
      </c>
      <c r="M28" s="8"/>
      <c r="N28" s="79"/>
      <c r="P28" s="79"/>
    </row>
    <row r="29" spans="2:16" x14ac:dyDescent="0.25">
      <c r="G29" s="56"/>
      <c r="H29" s="8"/>
      <c r="I29" s="8"/>
      <c r="J29" s="8"/>
      <c r="K29" s="8"/>
      <c r="L29" s="8"/>
      <c r="M29" s="8"/>
      <c r="N29" s="8"/>
    </row>
    <row r="30" spans="2:16" x14ac:dyDescent="0.25">
      <c r="B30" s="53" t="s">
        <v>15</v>
      </c>
      <c r="C30" s="54"/>
      <c r="D30" s="54"/>
      <c r="G30" s="56"/>
      <c r="H30" s="8"/>
      <c r="I30" s="8"/>
      <c r="J30" s="8"/>
      <c r="K30" s="8"/>
      <c r="L30" s="8"/>
      <c r="M30" s="8"/>
      <c r="N30" s="8"/>
    </row>
    <row r="31" spans="2:16" x14ac:dyDescent="0.25">
      <c r="C31" t="s">
        <v>237</v>
      </c>
      <c r="F31" s="112">
        <v>0</v>
      </c>
      <c r="G31" s="56"/>
      <c r="H31" s="79">
        <f>+F31</f>
        <v>0</v>
      </c>
      <c r="I31" s="8"/>
      <c r="J31" s="79"/>
      <c r="K31" s="8"/>
      <c r="L31" s="79"/>
      <c r="M31" s="8"/>
      <c r="N31" s="79"/>
      <c r="P31" s="79"/>
    </row>
    <row r="32" spans="2:16" x14ac:dyDescent="0.25">
      <c r="C32" t="s">
        <v>16</v>
      </c>
      <c r="F32" s="112">
        <v>3035.62</v>
      </c>
      <c r="G32" s="56"/>
      <c r="H32" s="79"/>
      <c r="I32" s="8"/>
      <c r="J32" s="79"/>
      <c r="K32" s="8"/>
      <c r="L32" s="79">
        <f>F32</f>
        <v>3035.62</v>
      </c>
      <c r="M32" s="8"/>
      <c r="N32" s="79"/>
      <c r="P32" s="79"/>
    </row>
    <row r="33" spans="2:16" x14ac:dyDescent="0.25">
      <c r="G33" s="56"/>
      <c r="H33" s="8"/>
      <c r="I33" s="8"/>
      <c r="J33" s="8"/>
      <c r="K33" s="8"/>
      <c r="L33" s="8"/>
      <c r="M33" s="8"/>
      <c r="N33" s="8"/>
    </row>
    <row r="34" spans="2:16" x14ac:dyDescent="0.25">
      <c r="B34" s="53" t="s">
        <v>20</v>
      </c>
      <c r="C34" s="53"/>
      <c r="D34" s="53"/>
      <c r="G34" s="56"/>
      <c r="H34" s="8"/>
      <c r="I34" s="8"/>
      <c r="J34" s="8"/>
      <c r="K34" s="8"/>
      <c r="L34" s="8"/>
      <c r="M34" s="8"/>
      <c r="N34" s="8"/>
    </row>
    <row r="35" spans="2:16" x14ac:dyDescent="0.25">
      <c r="C35" t="s">
        <v>284</v>
      </c>
      <c r="F35" s="112">
        <v>175.03</v>
      </c>
      <c r="G35" s="56"/>
      <c r="H35" s="79"/>
      <c r="I35" s="8"/>
      <c r="J35" s="79"/>
      <c r="K35" s="8"/>
      <c r="L35" s="79"/>
      <c r="M35" s="8"/>
      <c r="N35" s="79"/>
      <c r="P35" s="79">
        <f>+F35</f>
        <v>175.03</v>
      </c>
    </row>
    <row r="36" spans="2:16" x14ac:dyDescent="0.25">
      <c r="C36" t="s">
        <v>285</v>
      </c>
      <c r="F36" s="112">
        <v>245.94</v>
      </c>
      <c r="G36" s="56"/>
      <c r="H36" s="79"/>
      <c r="I36" s="8"/>
      <c r="J36" s="79"/>
      <c r="K36" s="8"/>
      <c r="L36" s="79"/>
      <c r="M36" s="8"/>
      <c r="N36" s="79"/>
      <c r="P36" s="79">
        <f>+F36</f>
        <v>245.94</v>
      </c>
    </row>
    <row r="37" spans="2:16" x14ac:dyDescent="0.25">
      <c r="C37" t="s">
        <v>120</v>
      </c>
      <c r="F37" s="112">
        <v>20.54</v>
      </c>
      <c r="G37" s="56"/>
      <c r="H37" s="79">
        <f>F37</f>
        <v>20.54</v>
      </c>
      <c r="I37" s="8"/>
      <c r="J37" s="79"/>
      <c r="K37" s="8"/>
      <c r="L37" s="79"/>
      <c r="M37" s="8"/>
      <c r="N37" s="79"/>
      <c r="P37" s="79"/>
    </row>
    <row r="38" spans="2:16" x14ac:dyDescent="0.25">
      <c r="C38" t="s">
        <v>121</v>
      </c>
      <c r="F38" s="112">
        <v>144.13999999999999</v>
      </c>
      <c r="G38" s="56"/>
      <c r="H38" s="79"/>
      <c r="I38" s="8"/>
      <c r="J38" s="79">
        <f>F38</f>
        <v>144.13999999999999</v>
      </c>
      <c r="K38" s="8"/>
      <c r="L38" s="79"/>
      <c r="M38" s="8"/>
      <c r="N38" s="79"/>
      <c r="P38" s="79"/>
    </row>
    <row r="39" spans="2:16" x14ac:dyDescent="0.25">
      <c r="C39" t="s">
        <v>127</v>
      </c>
      <c r="F39" s="112">
        <v>0</v>
      </c>
      <c r="G39" s="56"/>
      <c r="H39" s="79"/>
      <c r="I39" s="8"/>
      <c r="J39" s="79"/>
      <c r="K39" s="8"/>
      <c r="L39" s="79"/>
      <c r="M39" s="8"/>
      <c r="N39" s="79">
        <f>F39</f>
        <v>0</v>
      </c>
      <c r="P39" s="79"/>
    </row>
    <row r="40" spans="2:16" x14ac:dyDescent="0.25">
      <c r="C40" t="s">
        <v>122</v>
      </c>
      <c r="F40" s="112">
        <v>3288.17</v>
      </c>
      <c r="G40" s="56"/>
      <c r="H40" s="79"/>
      <c r="I40" s="8"/>
      <c r="J40" s="79"/>
      <c r="K40" s="8"/>
      <c r="L40" s="79">
        <f>F40</f>
        <v>3288.17</v>
      </c>
      <c r="M40" s="8"/>
      <c r="N40" s="79"/>
      <c r="P40" s="79"/>
    </row>
    <row r="41" spans="2:16" x14ac:dyDescent="0.25">
      <c r="G41" s="56"/>
      <c r="H41" s="8"/>
      <c r="I41" s="8"/>
      <c r="J41" s="8"/>
      <c r="K41" s="8"/>
      <c r="L41" s="8"/>
      <c r="M41" s="8"/>
      <c r="N41" s="8"/>
    </row>
    <row r="42" spans="2:16" x14ac:dyDescent="0.25">
      <c r="B42" s="53" t="s">
        <v>21</v>
      </c>
      <c r="C42" s="53"/>
      <c r="D42" s="53"/>
      <c r="G42" s="56"/>
      <c r="H42" s="8"/>
      <c r="I42" s="8"/>
      <c r="J42" s="8"/>
      <c r="K42" s="8"/>
      <c r="L42" s="8"/>
      <c r="M42" s="8"/>
      <c r="N42" s="8"/>
    </row>
    <row r="43" spans="2:16" x14ac:dyDescent="0.25">
      <c r="C43" t="s">
        <v>23</v>
      </c>
      <c r="F43" s="112">
        <v>4295</v>
      </c>
      <c r="G43" s="56"/>
      <c r="H43" s="79">
        <f>F43</f>
        <v>4295</v>
      </c>
      <c r="I43" s="8"/>
      <c r="J43" s="79"/>
      <c r="K43" s="8"/>
      <c r="L43" s="79"/>
      <c r="M43" s="8"/>
      <c r="N43" s="79"/>
      <c r="P43" s="79"/>
    </row>
    <row r="44" spans="2:16" x14ac:dyDescent="0.25">
      <c r="C44" t="s">
        <v>22</v>
      </c>
      <c r="F44" s="112">
        <v>3240.85</v>
      </c>
      <c r="G44" s="56"/>
      <c r="H44" s="79"/>
      <c r="I44" s="8"/>
      <c r="J44" s="79">
        <f>F44</f>
        <v>3240.85</v>
      </c>
      <c r="K44" s="8"/>
      <c r="L44" s="79"/>
      <c r="M44" s="8"/>
      <c r="N44" s="79"/>
      <c r="P44" s="79"/>
    </row>
    <row r="45" spans="2:16" x14ac:dyDescent="0.25">
      <c r="C45" t="s">
        <v>128</v>
      </c>
      <c r="F45" s="112">
        <v>225</v>
      </c>
      <c r="G45" s="56"/>
      <c r="H45" s="79"/>
      <c r="I45" s="8"/>
      <c r="J45" s="79"/>
      <c r="K45" s="8"/>
      <c r="L45" s="79"/>
      <c r="M45" s="8"/>
      <c r="N45" s="79">
        <f>F45</f>
        <v>225</v>
      </c>
      <c r="P45" s="79"/>
    </row>
    <row r="46" spans="2:16" x14ac:dyDescent="0.25">
      <c r="C46" t="s">
        <v>24</v>
      </c>
      <c r="F46" s="112">
        <v>20921.03</v>
      </c>
      <c r="G46" s="56"/>
      <c r="H46" s="79"/>
      <c r="I46" s="8"/>
      <c r="J46" s="79"/>
      <c r="K46" s="8"/>
      <c r="L46" s="79">
        <f>F46</f>
        <v>20921.03</v>
      </c>
      <c r="M46" s="8"/>
      <c r="N46" s="79"/>
      <c r="P46" s="79"/>
    </row>
    <row r="47" spans="2:16" x14ac:dyDescent="0.25">
      <c r="G47" s="56"/>
      <c r="H47" s="8"/>
      <c r="I47" s="8"/>
      <c r="J47" s="8"/>
      <c r="K47" s="8"/>
      <c r="L47" s="8"/>
      <c r="M47" s="8"/>
      <c r="N47" s="8"/>
    </row>
    <row r="48" spans="2:16" x14ac:dyDescent="0.25">
      <c r="B48" s="53" t="s">
        <v>252</v>
      </c>
      <c r="C48" s="53"/>
      <c r="D48" s="53"/>
      <c r="G48" s="56"/>
      <c r="H48" s="8"/>
      <c r="I48" s="8"/>
      <c r="J48" s="8"/>
      <c r="K48" s="8"/>
      <c r="L48" s="8"/>
      <c r="M48" s="8"/>
      <c r="N48" s="8"/>
    </row>
    <row r="49" spans="1:16" x14ac:dyDescent="0.25">
      <c r="C49" t="s">
        <v>253</v>
      </c>
      <c r="F49" s="112">
        <v>157.5</v>
      </c>
      <c r="G49" s="56"/>
      <c r="H49" s="79">
        <f>F49</f>
        <v>157.5</v>
      </c>
      <c r="I49" s="8"/>
      <c r="J49" s="79"/>
      <c r="K49" s="8"/>
      <c r="L49" s="79"/>
      <c r="M49" s="8"/>
      <c r="N49" s="79"/>
      <c r="P49" s="79"/>
    </row>
    <row r="50" spans="1:16" x14ac:dyDescent="0.25">
      <c r="C50" t="s">
        <v>254</v>
      </c>
      <c r="F50" s="112">
        <v>1832.53</v>
      </c>
      <c r="G50" s="56"/>
      <c r="H50" s="79"/>
      <c r="I50" s="8"/>
      <c r="J50" s="79">
        <f>F50</f>
        <v>1832.53</v>
      </c>
      <c r="K50" s="8"/>
      <c r="L50" s="79"/>
      <c r="M50" s="8"/>
      <c r="N50" s="79"/>
      <c r="P50" s="79"/>
    </row>
    <row r="51" spans="1:16" x14ac:dyDescent="0.25">
      <c r="C51" t="s">
        <v>255</v>
      </c>
      <c r="F51" s="112">
        <v>0</v>
      </c>
      <c r="G51" s="56"/>
      <c r="H51" s="79"/>
      <c r="I51" s="8"/>
      <c r="J51" s="79"/>
      <c r="K51" s="8"/>
      <c r="L51" s="79"/>
      <c r="M51" s="8"/>
      <c r="N51" s="79">
        <f>F51</f>
        <v>0</v>
      </c>
      <c r="P51" s="79"/>
    </row>
    <row r="52" spans="1:16" x14ac:dyDescent="0.25">
      <c r="C52" t="s">
        <v>256</v>
      </c>
      <c r="F52" s="112">
        <v>768.68</v>
      </c>
      <c r="G52" s="56"/>
      <c r="H52" s="79"/>
      <c r="I52" s="8"/>
      <c r="J52" s="79"/>
      <c r="K52" s="8"/>
      <c r="L52" s="79">
        <f>F52</f>
        <v>768.68</v>
      </c>
      <c r="M52" s="8"/>
      <c r="N52" s="79"/>
      <c r="P52" s="79"/>
    </row>
    <row r="53" spans="1:16" x14ac:dyDescent="0.25">
      <c r="F53" s="134"/>
      <c r="G53" s="56"/>
      <c r="H53" s="8"/>
      <c r="I53" s="8"/>
      <c r="J53" s="8"/>
      <c r="K53" s="8"/>
      <c r="L53" s="8"/>
      <c r="M53" s="8"/>
      <c r="N53" s="8"/>
    </row>
    <row r="54" spans="1:16" x14ac:dyDescent="0.25">
      <c r="B54" s="53" t="s">
        <v>257</v>
      </c>
      <c r="C54" s="53"/>
      <c r="D54" s="53"/>
      <c r="F54" s="134"/>
      <c r="G54" s="56"/>
      <c r="H54" s="8"/>
      <c r="I54" s="8"/>
      <c r="J54" s="8"/>
      <c r="K54" s="8"/>
      <c r="L54" s="8"/>
      <c r="M54" s="8"/>
      <c r="N54" s="8"/>
    </row>
    <row r="55" spans="1:16" x14ac:dyDescent="0.25">
      <c r="C55" t="s">
        <v>258</v>
      </c>
      <c r="F55" s="112">
        <v>2917.76</v>
      </c>
      <c r="G55" s="56"/>
      <c r="H55" s="79">
        <f>F55</f>
        <v>2917.76</v>
      </c>
      <c r="I55" s="8"/>
      <c r="J55" s="79"/>
      <c r="K55" s="8"/>
      <c r="L55" s="79"/>
      <c r="M55" s="8"/>
      <c r="N55" s="79"/>
      <c r="P55" s="79"/>
    </row>
    <row r="56" spans="1:16" x14ac:dyDescent="0.25">
      <c r="C56" t="s">
        <v>259</v>
      </c>
      <c r="F56" s="112">
        <v>730.54</v>
      </c>
      <c r="G56" s="56"/>
      <c r="H56" s="79"/>
      <c r="I56" s="8"/>
      <c r="J56" s="79">
        <f>F56</f>
        <v>730.54</v>
      </c>
      <c r="K56" s="8"/>
      <c r="L56" s="79"/>
      <c r="M56" s="8"/>
      <c r="N56" s="79"/>
      <c r="P56" s="79"/>
    </row>
    <row r="57" spans="1:16" x14ac:dyDescent="0.25">
      <c r="C57" t="s">
        <v>260</v>
      </c>
      <c r="F57" s="112">
        <v>0</v>
      </c>
      <c r="G57" s="56"/>
      <c r="H57" s="79"/>
      <c r="I57" s="8"/>
      <c r="J57" s="79"/>
      <c r="K57" s="8"/>
      <c r="L57" s="79"/>
      <c r="M57" s="8"/>
      <c r="N57" s="79">
        <f>F57</f>
        <v>0</v>
      </c>
      <c r="P57" s="79"/>
    </row>
    <row r="58" spans="1:16" x14ac:dyDescent="0.25">
      <c r="C58" t="s">
        <v>261</v>
      </c>
      <c r="F58" s="112">
        <v>30580.03</v>
      </c>
      <c r="G58" s="56"/>
      <c r="H58" s="79"/>
      <c r="I58" s="8"/>
      <c r="J58" s="79"/>
      <c r="K58" s="8"/>
      <c r="L58" s="79">
        <f>F58</f>
        <v>30580.03</v>
      </c>
      <c r="M58" s="8"/>
      <c r="N58" s="79"/>
      <c r="P58" s="79"/>
    </row>
    <row r="59" spans="1:16" x14ac:dyDescent="0.25">
      <c r="F59" s="134"/>
      <c r="G59" s="56"/>
      <c r="H59" s="8"/>
      <c r="I59" s="8"/>
      <c r="J59" s="8"/>
      <c r="K59" s="8"/>
      <c r="L59" s="8"/>
      <c r="M59" s="8"/>
      <c r="N59" s="8"/>
    </row>
    <row r="60" spans="1:16" x14ac:dyDescent="0.25">
      <c r="F60" s="113">
        <f>SUM(F7:F58)</f>
        <v>176807.28</v>
      </c>
      <c r="G60" s="57"/>
      <c r="H60" s="113">
        <f>SUM(H7:H58)</f>
        <v>18829.29</v>
      </c>
      <c r="I60" s="23"/>
      <c r="J60" s="113">
        <f>SUM(J7:J58)</f>
        <v>11540.48</v>
      </c>
      <c r="K60" s="23"/>
      <c r="L60" s="113">
        <f>SUM(L7:L58)</f>
        <v>142492.56</v>
      </c>
      <c r="M60" s="23"/>
      <c r="N60" s="113">
        <f>SUM(N7:N58)</f>
        <v>1838.55</v>
      </c>
      <c r="P60" s="113">
        <f>SUM(P7:P58)</f>
        <v>2106.3999999999996</v>
      </c>
    </row>
    <row r="61" spans="1:16" x14ac:dyDescent="0.25">
      <c r="G61" s="6"/>
      <c r="H61" s="6"/>
      <c r="I61" s="6"/>
      <c r="J61" s="6"/>
      <c r="K61" s="6"/>
      <c r="L61" s="6"/>
      <c r="M61" s="6"/>
      <c r="N61" s="6"/>
    </row>
    <row r="62" spans="1:16" x14ac:dyDescent="0.25">
      <c r="A62" s="16" t="s">
        <v>96</v>
      </c>
      <c r="G62" s="6"/>
      <c r="H62" s="6"/>
      <c r="I62" s="6"/>
      <c r="J62" s="6"/>
      <c r="K62" s="6"/>
      <c r="L62" s="6"/>
      <c r="M62" s="6"/>
      <c r="N62" s="6"/>
    </row>
    <row r="63" spans="1:16" x14ac:dyDescent="0.25">
      <c r="D63" s="16" t="s">
        <v>163</v>
      </c>
      <c r="G63" s="6"/>
      <c r="H63" s="6"/>
      <c r="I63" s="6"/>
      <c r="J63" s="6"/>
      <c r="K63" s="6"/>
      <c r="L63" s="6"/>
      <c r="M63" s="6"/>
      <c r="N63" s="6" t="s">
        <v>267</v>
      </c>
      <c r="P63" t="s">
        <v>266</v>
      </c>
    </row>
    <row r="64" spans="1:16" x14ac:dyDescent="0.25">
      <c r="D64" s="16" t="s">
        <v>161</v>
      </c>
      <c r="F64" s="115">
        <v>33231.599999999999</v>
      </c>
      <c r="G64" s="6"/>
      <c r="H64" s="6" t="s">
        <v>165</v>
      </c>
      <c r="I64" s="6"/>
      <c r="J64" s="6"/>
      <c r="K64" s="6"/>
      <c r="L64" s="6" t="s">
        <v>10</v>
      </c>
      <c r="M64" s="6"/>
      <c r="N64" s="60">
        <f>+Oklahoma!F42</f>
        <v>263173.00406327622</v>
      </c>
      <c r="P64" s="60">
        <f>+L60+'Allocation Charges'!L21</f>
        <v>263173.00406327622</v>
      </c>
    </row>
    <row r="65" spans="2:16" x14ac:dyDescent="0.25">
      <c r="B65" s="16"/>
      <c r="D65" t="s">
        <v>157</v>
      </c>
      <c r="F65" s="102">
        <f>+F60</f>
        <v>176807.28</v>
      </c>
      <c r="G65" s="6"/>
      <c r="H65" s="6"/>
      <c r="I65" s="6"/>
      <c r="J65" s="6"/>
      <c r="K65" s="6"/>
      <c r="L65" s="6" t="s">
        <v>12</v>
      </c>
      <c r="M65" s="6"/>
      <c r="N65" s="60">
        <f>+Kentucky!F42</f>
        <v>52931</v>
      </c>
      <c r="P65" s="60">
        <f>+H60+'Allocation Charges'!H21</f>
        <v>52924.329163802875</v>
      </c>
    </row>
    <row r="66" spans="2:16" x14ac:dyDescent="0.25">
      <c r="D66" t="s">
        <v>158</v>
      </c>
      <c r="F66" s="102">
        <f>+'Allocation Charges'!F21</f>
        <v>175317.88999999998</v>
      </c>
      <c r="G66" s="8"/>
      <c r="H66" s="8"/>
      <c r="I66" s="8"/>
      <c r="J66" s="8"/>
      <c r="K66" s="8"/>
      <c r="L66" s="8" t="s">
        <v>11</v>
      </c>
      <c r="M66" s="8"/>
      <c r="N66" s="60">
        <f>+Tennessee!F40</f>
        <v>27571</v>
      </c>
      <c r="P66" s="60">
        <f>+J60+'Allocation Charges'!J21</f>
        <v>27565.008049240372</v>
      </c>
    </row>
    <row r="67" spans="2:16" x14ac:dyDescent="0.25">
      <c r="D67" t="s">
        <v>50</v>
      </c>
      <c r="F67" s="102">
        <f>SUM(F64:F66)</f>
        <v>385356.77</v>
      </c>
      <c r="G67" s="8"/>
      <c r="H67" s="8"/>
      <c r="I67" s="8"/>
      <c r="J67" s="8"/>
      <c r="K67" s="8"/>
      <c r="L67" s="8" t="s">
        <v>123</v>
      </c>
      <c r="M67" s="8"/>
      <c r="N67" s="60">
        <f>+'Commodity Texas'!F40</f>
        <v>6360</v>
      </c>
      <c r="P67" s="60">
        <f>+N60+'Allocation Charges'!N21</f>
        <v>6356.4287236805694</v>
      </c>
    </row>
    <row r="68" spans="2:16" x14ac:dyDescent="0.25">
      <c r="D68" s="16" t="s">
        <v>159</v>
      </c>
      <c r="F68" s="115">
        <v>383856.77</v>
      </c>
      <c r="G68" s="8"/>
      <c r="H68" s="6" t="s">
        <v>165</v>
      </c>
      <c r="I68" s="8"/>
      <c r="J68" s="8"/>
      <c r="K68" s="8"/>
      <c r="L68" s="8" t="s">
        <v>281</v>
      </c>
      <c r="M68" s="8"/>
      <c r="N68" s="60">
        <f>+'NC Hydro'!F14</f>
        <v>2106.3999999999996</v>
      </c>
      <c r="P68" s="60">
        <f>+P60</f>
        <v>2106.3999999999996</v>
      </c>
    </row>
    <row r="69" spans="2:16" x14ac:dyDescent="0.25">
      <c r="D69" t="s">
        <v>160</v>
      </c>
      <c r="F69" s="102">
        <f>+F67-F68</f>
        <v>1500</v>
      </c>
      <c r="G69" s="8"/>
      <c r="H69" s="8" t="s">
        <v>307</v>
      </c>
      <c r="I69" s="8"/>
      <c r="J69" s="8"/>
      <c r="K69" s="8"/>
      <c r="L69" s="8" t="s">
        <v>265</v>
      </c>
      <c r="M69" s="8"/>
      <c r="N69" s="60">
        <f>SUM(N64:N68)</f>
        <v>352141.40406327625</v>
      </c>
      <c r="P69" s="60">
        <f>SUM(P64:P68)</f>
        <v>352125.1700000001</v>
      </c>
    </row>
    <row r="70" spans="2:16" x14ac:dyDescent="0.25">
      <c r="G70" s="8"/>
      <c r="H70" s="8"/>
      <c r="I70" s="8"/>
      <c r="J70" s="8"/>
      <c r="K70" s="8"/>
      <c r="L70" s="8" t="s">
        <v>160</v>
      </c>
      <c r="M70" s="8"/>
      <c r="N70" s="8">
        <f>+F66+F65-N69</f>
        <v>-16.234063276264351</v>
      </c>
      <c r="P70" s="55">
        <f>+F65+F66-P69</f>
        <v>0</v>
      </c>
    </row>
    <row r="71" spans="2:16" x14ac:dyDescent="0.25">
      <c r="F71" s="103"/>
      <c r="G71" s="23"/>
      <c r="H71" s="23"/>
      <c r="I71" s="23"/>
      <c r="J71" s="23"/>
      <c r="K71" s="23"/>
      <c r="L71" s="8"/>
      <c r="M71" s="8"/>
      <c r="N71" s="8"/>
    </row>
    <row r="72" spans="2:16" x14ac:dyDescent="0.25">
      <c r="L72" s="23"/>
      <c r="M72" s="23"/>
      <c r="N72" s="23"/>
    </row>
  </sheetData>
  <pageMargins left="0.7" right="0.7" top="0.75" bottom="0.75" header="0.3" footer="0.3"/>
  <pageSetup scale="39" orientation="portrait" horizontalDpi="4294967295" verticalDpi="4294967295" r:id="rId1"/>
  <headerFooter>
    <oddHeader xml:space="preserve">&amp;C&amp;"-,Bold"Monthly System Billing 
</oddHeader>
    <oddFooter>&amp;C&amp;Z&amp;F&amp;R&amp;D&amp;T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5AFB9-636C-40A3-BD64-6D90B8A225A6}">
  <sheetPr>
    <tabColor rgb="FF92D050"/>
  </sheetPr>
  <dimension ref="A1:H29"/>
  <sheetViews>
    <sheetView workbookViewId="0">
      <selection activeCell="L28" sqref="L28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169</v>
      </c>
    </row>
    <row r="2" spans="1:8" x14ac:dyDescent="0.25">
      <c r="A2" s="180">
        <v>44926</v>
      </c>
      <c r="B2" t="s">
        <v>170</v>
      </c>
      <c r="C2" t="s">
        <v>33</v>
      </c>
      <c r="D2" t="s">
        <v>171</v>
      </c>
      <c r="E2" t="s">
        <v>172</v>
      </c>
      <c r="F2" t="s">
        <v>123</v>
      </c>
      <c r="G2" t="s">
        <v>50</v>
      </c>
    </row>
    <row r="3" spans="1:8" x14ac:dyDescent="0.25">
      <c r="A3" t="s">
        <v>248</v>
      </c>
      <c r="B3" s="102">
        <v>977100</v>
      </c>
      <c r="C3" s="103">
        <f>+G19</f>
        <v>14893376</v>
      </c>
      <c r="D3" s="102">
        <f>1737573+127210</f>
        <v>1864783</v>
      </c>
      <c r="E3" s="134">
        <f>3388099+2860744</f>
        <v>6248843</v>
      </c>
      <c r="F3" s="102">
        <f>565000+488305</f>
        <v>1053305</v>
      </c>
      <c r="G3" s="103">
        <f>SUM(B3:F3)</f>
        <v>25037407</v>
      </c>
    </row>
    <row r="4" spans="1:8" x14ac:dyDescent="0.25">
      <c r="A4" t="s">
        <v>249</v>
      </c>
      <c r="B4" s="102"/>
      <c r="C4" s="102">
        <f>+C3</f>
        <v>14893376</v>
      </c>
      <c r="D4" s="102">
        <f t="shared" ref="D4:F4" si="0">+D3</f>
        <v>1864783</v>
      </c>
      <c r="E4" s="134">
        <f t="shared" si="0"/>
        <v>6248843</v>
      </c>
      <c r="F4" s="102">
        <f t="shared" si="0"/>
        <v>1053305</v>
      </c>
      <c r="G4" s="102">
        <f>SUM(B4:F4)</f>
        <v>24060307</v>
      </c>
    </row>
    <row r="5" spans="1:8" x14ac:dyDescent="0.25">
      <c r="A5" s="117" t="s">
        <v>174</v>
      </c>
      <c r="B5" s="102"/>
      <c r="C5" s="135">
        <f>+C4/$G$4</f>
        <v>0.61900191049100084</v>
      </c>
      <c r="D5" s="135">
        <f>+D4/$G$4</f>
        <v>7.7504538907171877E-2</v>
      </c>
      <c r="E5" s="240">
        <f>+E4/$G$4</f>
        <v>0.25971584651850038</v>
      </c>
      <c r="F5" s="135">
        <f>+F4/$G$4</f>
        <v>4.377770408332695E-2</v>
      </c>
      <c r="G5" s="135">
        <f>SUM(C5:F5)</f>
        <v>1</v>
      </c>
    </row>
    <row r="6" spans="1:8" x14ac:dyDescent="0.25">
      <c r="B6" s="102"/>
      <c r="C6" s="102"/>
      <c r="D6" s="102"/>
      <c r="E6" s="134"/>
      <c r="F6" s="102"/>
      <c r="G6" s="102"/>
    </row>
    <row r="7" spans="1:8" x14ac:dyDescent="0.25">
      <c r="A7" s="16" t="s">
        <v>300</v>
      </c>
      <c r="B7" s="102"/>
      <c r="C7" s="102"/>
      <c r="D7" s="102"/>
      <c r="E7" s="134"/>
      <c r="F7" s="102"/>
      <c r="G7" s="102"/>
    </row>
    <row r="8" spans="1:8" x14ac:dyDescent="0.25">
      <c r="A8" t="s">
        <v>175</v>
      </c>
      <c r="C8" s="126">
        <f>+G23</f>
        <v>3887</v>
      </c>
      <c r="D8" s="118">
        <v>559</v>
      </c>
      <c r="E8" s="118">
        <v>701</v>
      </c>
      <c r="F8" s="118">
        <v>4</v>
      </c>
      <c r="G8" s="118">
        <f>SUM(C8:F8)</f>
        <v>5151</v>
      </c>
    </row>
    <row r="9" spans="1:8" x14ac:dyDescent="0.25">
      <c r="C9" s="125">
        <f>+C8/$G$8</f>
        <v>0.75461075519316634</v>
      </c>
      <c r="D9" s="125">
        <f t="shared" ref="D9:F9" si="1">+D8/$G$8</f>
        <v>0.10852261696757912</v>
      </c>
      <c r="E9" s="125">
        <f t="shared" si="1"/>
        <v>0.1360900795961949</v>
      </c>
      <c r="F9" s="125">
        <f t="shared" si="1"/>
        <v>7.7654824305960007E-4</v>
      </c>
      <c r="G9" s="65">
        <f>SUM(C9:F9)</f>
        <v>1</v>
      </c>
    </row>
    <row r="10" spans="1:8" ht="15.75" thickBot="1" x14ac:dyDescent="0.3">
      <c r="A10" t="s">
        <v>176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188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250</v>
      </c>
      <c r="C12" s="143">
        <f>+C5*0.5</f>
        <v>0.30950095524550042</v>
      </c>
      <c r="D12" s="143">
        <f>+D5*0.5</f>
        <v>3.8752269453585939E-2</v>
      </c>
      <c r="E12" s="143">
        <f>+E5*0.5</f>
        <v>0.12985792325925019</v>
      </c>
      <c r="F12" s="143">
        <f>+F5*0.5</f>
        <v>2.1888852041663475E-2</v>
      </c>
      <c r="H12" s="144"/>
    </row>
    <row r="13" spans="1:8" x14ac:dyDescent="0.25">
      <c r="A13" s="142" t="s">
        <v>180</v>
      </c>
      <c r="C13" s="143">
        <f>+C9*0.5</f>
        <v>0.37730537759658317</v>
      </c>
      <c r="D13" s="143">
        <f t="shared" ref="D13:F13" si="2">+D9*0.5</f>
        <v>5.4261308483789558E-2</v>
      </c>
      <c r="E13" s="143">
        <f t="shared" si="2"/>
        <v>6.8045039798097451E-2</v>
      </c>
      <c r="F13" s="143">
        <f t="shared" si="2"/>
        <v>3.8827412152980003E-4</v>
      </c>
      <c r="H13" s="144"/>
    </row>
    <row r="14" spans="1:8" x14ac:dyDescent="0.25">
      <c r="A14" s="145" t="s">
        <v>50</v>
      </c>
      <c r="B14" s="127"/>
      <c r="C14" s="146">
        <f>+C12+C13</f>
        <v>0.68680633284208359</v>
      </c>
      <c r="D14" s="146">
        <f t="shared" ref="D14:F14" si="3">+D12+D13</f>
        <v>9.3013577937375497E-2</v>
      </c>
      <c r="E14" s="146">
        <f t="shared" si="3"/>
        <v>0.19790296305734764</v>
      </c>
      <c r="F14" s="146">
        <f t="shared" si="3"/>
        <v>2.2277126163193276E-2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169</v>
      </c>
    </row>
    <row r="18" spans="1:7" x14ac:dyDescent="0.25">
      <c r="A18" s="180">
        <f>+A2</f>
        <v>44926</v>
      </c>
      <c r="C18" t="s">
        <v>33</v>
      </c>
      <c r="D18" t="s">
        <v>34</v>
      </c>
      <c r="E18" t="s">
        <v>35</v>
      </c>
      <c r="F18" t="s">
        <v>186</v>
      </c>
      <c r="G18" t="s">
        <v>50</v>
      </c>
    </row>
    <row r="19" spans="1:7" x14ac:dyDescent="0.25">
      <c r="A19" t="s">
        <v>251</v>
      </c>
      <c r="B19" s="102"/>
      <c r="C19" s="102">
        <f>5547916+2715939</f>
        <v>8263855</v>
      </c>
      <c r="D19" s="102">
        <f>1739615+875397</f>
        <v>2615012</v>
      </c>
      <c r="E19" s="102">
        <f>378422+623809+378100</f>
        <v>1380331</v>
      </c>
      <c r="F19" s="102">
        <f>51876+321665+2260637</f>
        <v>2634178</v>
      </c>
      <c r="G19" s="103">
        <f>SUM(B19:F19)</f>
        <v>14893376</v>
      </c>
    </row>
    <row r="20" spans="1:7" x14ac:dyDescent="0.25">
      <c r="A20" s="117" t="s">
        <v>174</v>
      </c>
      <c r="B20" s="102"/>
      <c r="C20" s="65">
        <f>+C19/$G$19</f>
        <v>0.55486781506087002</v>
      </c>
      <c r="D20" s="65">
        <f>+D19/$G$19</f>
        <v>0.17558221856481701</v>
      </c>
      <c r="E20" s="65">
        <f>+E19/$G$19</f>
        <v>9.2680866984087423E-2</v>
      </c>
      <c r="F20" s="65">
        <f>+F19/$G$19</f>
        <v>0.17686909939022555</v>
      </c>
      <c r="G20" s="65">
        <f>SUM(C20:F20)</f>
        <v>1</v>
      </c>
    </row>
    <row r="22" spans="1:7" x14ac:dyDescent="0.25">
      <c r="A22" t="s">
        <v>300</v>
      </c>
      <c r="B22" s="102"/>
      <c r="C22" s="102"/>
      <c r="D22" s="102"/>
      <c r="E22" s="102"/>
      <c r="F22" s="102"/>
      <c r="G22" s="102"/>
    </row>
    <row r="23" spans="1:7" x14ac:dyDescent="0.25">
      <c r="A23" t="s">
        <v>175</v>
      </c>
      <c r="C23" s="137">
        <v>1933</v>
      </c>
      <c r="D23" s="137">
        <v>1799</v>
      </c>
      <c r="E23" s="137">
        <v>132</v>
      </c>
      <c r="F23" s="137">
        <v>23</v>
      </c>
      <c r="G23" s="126">
        <f>SUM(C23:F23)</f>
        <v>3887</v>
      </c>
    </row>
    <row r="24" spans="1:7" x14ac:dyDescent="0.25">
      <c r="C24" s="125">
        <f>+C23/$G$23</f>
        <v>0.49729868793413945</v>
      </c>
      <c r="D24" s="125">
        <f>+D23/$G$23</f>
        <v>0.46282480061744274</v>
      </c>
      <c r="E24" s="125">
        <f>+E23/$G$23</f>
        <v>3.3959351685104194E-2</v>
      </c>
      <c r="F24" s="125">
        <f>+F23/$G$23</f>
        <v>5.9171597633136093E-3</v>
      </c>
      <c r="G24" s="65">
        <f>SUM(C24:F24)</f>
        <v>1</v>
      </c>
    </row>
    <row r="25" spans="1:7" x14ac:dyDescent="0.25">
      <c r="A25" s="130" t="s">
        <v>188</v>
      </c>
      <c r="C25" s="118"/>
      <c r="D25" s="118"/>
      <c r="E25" s="118"/>
      <c r="F25" s="118"/>
      <c r="G25" s="118"/>
    </row>
    <row r="26" spans="1:7" x14ac:dyDescent="0.25">
      <c r="A26" t="s">
        <v>187</v>
      </c>
    </row>
    <row r="27" spans="1:7" x14ac:dyDescent="0.25">
      <c r="A27" t="s">
        <v>250</v>
      </c>
      <c r="C27" s="65">
        <f>+C20*0.5</f>
        <v>0.27743390753043501</v>
      </c>
      <c r="D27" s="65">
        <f>+D20*0.5</f>
        <v>8.7791109282408505E-2</v>
      </c>
      <c r="E27" s="65">
        <f>+E20*0.5</f>
        <v>4.6340433492043712E-2</v>
      </c>
      <c r="F27" s="65">
        <f>+F20*0.5</f>
        <v>8.8434549695112774E-2</v>
      </c>
    </row>
    <row r="28" spans="1:7" x14ac:dyDescent="0.25">
      <c r="A28" t="s">
        <v>180</v>
      </c>
      <c r="C28" s="65">
        <f>+C24*0.5</f>
        <v>0.24864934396706972</v>
      </c>
      <c r="D28" s="65">
        <f t="shared" ref="D28:F28" si="4">+D24*0.5</f>
        <v>0.23141240030872137</v>
      </c>
      <c r="E28" s="65">
        <f t="shared" si="4"/>
        <v>1.6979675842552097E-2</v>
      </c>
      <c r="F28" s="65">
        <f t="shared" si="4"/>
        <v>2.9585798816568047E-3</v>
      </c>
    </row>
    <row r="29" spans="1:7" x14ac:dyDescent="0.25">
      <c r="A29" s="127" t="s">
        <v>50</v>
      </c>
      <c r="B29" s="127"/>
      <c r="C29" s="128">
        <f>+C27+C28</f>
        <v>0.52608325149750468</v>
      </c>
      <c r="D29" s="128">
        <f t="shared" ref="D29:F29" si="5">+D27+D28</f>
        <v>0.31920350959112986</v>
      </c>
      <c r="E29" s="128">
        <f t="shared" si="5"/>
        <v>6.3320109334595809E-2</v>
      </c>
      <c r="F29" s="128">
        <f t="shared" si="5"/>
        <v>9.139312957676958E-2</v>
      </c>
      <c r="G29" s="129">
        <f>SUM(C29:F29)</f>
        <v>1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B46E8-D6E8-4AA9-AAC8-FD0A49F4A82C}">
  <dimension ref="A2:K27"/>
  <sheetViews>
    <sheetView topLeftCell="A7" zoomScale="80" zoomScaleNormal="80" workbookViewId="0">
      <selection activeCell="X29" sqref="X29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297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290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930873.98</v>
      </c>
      <c r="C8" s="94">
        <f t="shared" ref="C8:C13" si="0">$D$25</f>
        <v>0.74772351739659004</v>
      </c>
      <c r="D8" s="95">
        <v>6.4100000000000004E-2</v>
      </c>
      <c r="E8" s="79">
        <f t="shared" ref="E8:E13" si="1">B8*C8*D8</f>
        <v>44615.931097685891</v>
      </c>
      <c r="F8" s="79">
        <f t="shared" ref="F8:F13" si="2">E8/12</f>
        <v>3717.9942581404907</v>
      </c>
      <c r="G8" s="79">
        <f t="shared" ref="G8:G13" si="3">B8</f>
        <v>930873.98</v>
      </c>
      <c r="H8" s="13">
        <v>6</v>
      </c>
      <c r="I8" s="79">
        <f t="shared" ref="I8:I13" si="4">G8/H8</f>
        <v>155145.66333333333</v>
      </c>
      <c r="J8" s="79">
        <f t="shared" ref="J8:J13" si="5">I8/12</f>
        <v>12928.805277777778</v>
      </c>
      <c r="K8" s="79">
        <f>ROUNDUP(F8+J8,0)</f>
        <v>16647</v>
      </c>
    </row>
    <row r="9" spans="1:11" x14ac:dyDescent="0.25">
      <c r="A9" t="s">
        <v>32</v>
      </c>
      <c r="B9" s="195">
        <v>306568.88</v>
      </c>
      <c r="C9" s="94">
        <f t="shared" si="0"/>
        <v>0.74772351739659004</v>
      </c>
      <c r="D9" s="95">
        <v>6.4100000000000004E-2</v>
      </c>
      <c r="E9" s="79">
        <f t="shared" si="1"/>
        <v>14693.563597915516</v>
      </c>
      <c r="F9" s="79">
        <f t="shared" si="2"/>
        <v>1224.4636331596264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5483</v>
      </c>
    </row>
    <row r="10" spans="1:11" x14ac:dyDescent="0.25">
      <c r="A10" t="s">
        <v>47</v>
      </c>
      <c r="B10" s="195">
        <v>705882.72</v>
      </c>
      <c r="C10" s="94">
        <f t="shared" si="0"/>
        <v>0.74772351739659004</v>
      </c>
      <c r="D10" s="95">
        <v>6.4100000000000004E-2</v>
      </c>
      <c r="E10" s="79">
        <f t="shared" si="1"/>
        <v>33832.30756817061</v>
      </c>
      <c r="F10" s="79">
        <f t="shared" si="2"/>
        <v>2819.3589640142177</v>
      </c>
      <c r="G10" s="79">
        <f t="shared" si="3"/>
        <v>705882.72</v>
      </c>
      <c r="H10" s="13">
        <v>10</v>
      </c>
      <c r="I10" s="79">
        <f t="shared" si="4"/>
        <v>70588.271999999997</v>
      </c>
      <c r="J10" s="79">
        <f t="shared" si="5"/>
        <v>5882.3559999999998</v>
      </c>
      <c r="K10" s="79">
        <f t="shared" si="6"/>
        <v>8702</v>
      </c>
    </row>
    <row r="11" spans="1:11" x14ac:dyDescent="0.25">
      <c r="A11" t="s">
        <v>48</v>
      </c>
      <c r="B11" s="195">
        <v>253932.31</v>
      </c>
      <c r="C11" s="94">
        <f t="shared" si="0"/>
        <v>0.74772351739659004</v>
      </c>
      <c r="D11" s="95">
        <v>6.4100000000000004E-2</v>
      </c>
      <c r="E11" s="79">
        <f t="shared" si="1"/>
        <v>12170.741356887227</v>
      </c>
      <c r="F11" s="79">
        <f t="shared" si="2"/>
        <v>1014.228446407269</v>
      </c>
      <c r="G11" s="79">
        <f t="shared" si="3"/>
        <v>253932.31</v>
      </c>
      <c r="H11" s="13">
        <v>5</v>
      </c>
      <c r="I11" s="79">
        <f t="shared" si="4"/>
        <v>50786.462</v>
      </c>
      <c r="J11" s="79">
        <f t="shared" si="5"/>
        <v>4232.2051666666666</v>
      </c>
      <c r="K11" s="79">
        <f t="shared" si="6"/>
        <v>5247</v>
      </c>
    </row>
    <row r="12" spans="1:11" x14ac:dyDescent="0.25">
      <c r="A12" t="s">
        <v>41</v>
      </c>
      <c r="B12" s="195">
        <v>199641.49</v>
      </c>
      <c r="C12" s="94">
        <f t="shared" si="0"/>
        <v>0.74772351739659004</v>
      </c>
      <c r="D12" s="95">
        <v>6.4100000000000004E-2</v>
      </c>
      <c r="E12" s="79">
        <f t="shared" si="1"/>
        <v>9568.6324394622625</v>
      </c>
      <c r="F12" s="79">
        <f t="shared" si="2"/>
        <v>797.38603662185517</v>
      </c>
      <c r="G12" s="79">
        <f t="shared" si="3"/>
        <v>199641.49</v>
      </c>
      <c r="H12" s="13">
        <v>4</v>
      </c>
      <c r="I12" s="79">
        <f t="shared" si="4"/>
        <v>49910.372499999998</v>
      </c>
      <c r="J12" s="79">
        <f t="shared" si="5"/>
        <v>4159.1977083333331</v>
      </c>
      <c r="K12" s="79">
        <f t="shared" si="6"/>
        <v>4957</v>
      </c>
    </row>
    <row r="13" spans="1:11" x14ac:dyDescent="0.25">
      <c r="A13" t="s">
        <v>31</v>
      </c>
      <c r="B13" s="195">
        <v>1115641.08</v>
      </c>
      <c r="C13" s="94">
        <f t="shared" si="0"/>
        <v>0.74772351739659004</v>
      </c>
      <c r="D13" s="95">
        <v>6.4100000000000004E-2</v>
      </c>
      <c r="E13" s="79">
        <f t="shared" si="1"/>
        <v>53471.647746591734</v>
      </c>
      <c r="F13" s="79">
        <f t="shared" si="2"/>
        <v>4455.9706455493115</v>
      </c>
      <c r="G13" s="79">
        <f t="shared" si="3"/>
        <v>1115641.08</v>
      </c>
      <c r="H13" s="13">
        <v>10</v>
      </c>
      <c r="I13" s="79">
        <f t="shared" si="4"/>
        <v>111564.10800000001</v>
      </c>
      <c r="J13" s="79">
        <f t="shared" si="5"/>
        <v>9297.009</v>
      </c>
      <c r="K13" s="79">
        <f t="shared" si="6"/>
        <v>13753</v>
      </c>
    </row>
    <row r="14" spans="1:11" x14ac:dyDescent="0.25">
      <c r="B14" s="120"/>
    </row>
    <row r="15" spans="1:11" x14ac:dyDescent="0.25">
      <c r="B15" s="121">
        <f>SUM(B8:B13)</f>
        <v>3512540.46</v>
      </c>
      <c r="D15" s="183">
        <f>AVERAGE(D8:D13)</f>
        <v>6.4100000000000004E-2</v>
      </c>
      <c r="E15" s="14">
        <f>SUM(E8:E13)</f>
        <v>168352.82380671325</v>
      </c>
      <c r="F15" s="22">
        <f>SUM(F8:F13)</f>
        <v>14029.401983892771</v>
      </c>
      <c r="G15" s="14">
        <f>SUM(G8:G13)</f>
        <v>3512540.46</v>
      </c>
      <c r="I15" s="14">
        <f>SUM(I8:I13)</f>
        <v>489089.69116666669</v>
      </c>
      <c r="J15" s="22">
        <f>SUM(J8:J13)</f>
        <v>40757.474263888886</v>
      </c>
      <c r="K15" s="22">
        <f>SUM(K8:K13)</f>
        <v>54789</v>
      </c>
    </row>
    <row r="19" spans="1:7" x14ac:dyDescent="0.25">
      <c r="A19" s="16" t="s">
        <v>270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185</v>
      </c>
      <c r="C25" s="198">
        <f>675186+9307627+(1433258*0.5)</f>
        <v>10699442</v>
      </c>
      <c r="D25" s="199">
        <f>C25/C27</f>
        <v>0.74772351739659004</v>
      </c>
      <c r="E25" s="198" t="s">
        <v>296</v>
      </c>
      <c r="F25" s="198"/>
      <c r="G25" s="200"/>
    </row>
    <row r="26" spans="1:7" x14ac:dyDescent="0.25">
      <c r="A26" s="201"/>
      <c r="B26" s="202" t="s">
        <v>184</v>
      </c>
      <c r="C26" s="203">
        <v>3609914</v>
      </c>
      <c r="D26" s="204">
        <f>C26/C27</f>
        <v>0.25227648260340996</v>
      </c>
      <c r="E26" s="198" t="s">
        <v>296</v>
      </c>
      <c r="F26" s="203"/>
      <c r="G26" s="205"/>
    </row>
    <row r="27" spans="1:7" ht="15.75" thickBot="1" x14ac:dyDescent="0.3">
      <c r="A27" s="206"/>
      <c r="B27" s="207"/>
      <c r="C27" s="208">
        <f>C25+C26</f>
        <v>14309356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2570D-3DD8-4906-BEB7-A366277CC9F0}">
  <sheetPr>
    <pageSetUpPr fitToPage="1"/>
  </sheetPr>
  <dimension ref="A2:L22"/>
  <sheetViews>
    <sheetView zoomScale="90" zoomScaleNormal="90" workbookViewId="0">
      <selection activeCell="M16" sqref="M16:N16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'2023 NUC Rent'!D25</f>
        <v>0.74772351739659004</v>
      </c>
      <c r="D8" s="95">
        <v>6.4100000000000004E-2</v>
      </c>
      <c r="E8" s="79">
        <f>B8*C8*D8</f>
        <v>61733.314154926971</v>
      </c>
      <c r="F8" s="79">
        <f>E8/12</f>
        <v>5144.4428462439146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8118</v>
      </c>
    </row>
    <row r="10" spans="1:12" x14ac:dyDescent="0.25">
      <c r="B10" s="14">
        <f>SUM(B8:B8)</f>
        <v>1288013.82</v>
      </c>
      <c r="E10" s="14">
        <f>SUM(E8:E8)</f>
        <v>61733.314154926971</v>
      </c>
      <c r="F10" s="22">
        <f>SUM(F8:F8)</f>
        <v>5144.4428462439146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8118</v>
      </c>
    </row>
    <row r="12" spans="1:12" x14ac:dyDescent="0.25">
      <c r="H12" s="213" t="s">
        <v>219</v>
      </c>
    </row>
    <row r="13" spans="1:12" x14ac:dyDescent="0.25">
      <c r="I13"/>
      <c r="J13" t="s">
        <v>194</v>
      </c>
      <c r="K13" s="8" t="s">
        <v>51</v>
      </c>
      <c r="L13" t="s">
        <v>168</v>
      </c>
    </row>
    <row r="14" spans="1:12" x14ac:dyDescent="0.25">
      <c r="B14" s="24"/>
      <c r="I14" s="11" t="s">
        <v>12</v>
      </c>
      <c r="J14" s="237">
        <f>+'2023 Allocation Source'!E14</f>
        <v>0.19790296305734764</v>
      </c>
      <c r="K14" s="214">
        <f>ROUNDUP(J14*K$10,0)</f>
        <v>1607</v>
      </c>
      <c r="L14" s="215">
        <f>+K14*12</f>
        <v>19284</v>
      </c>
    </row>
    <row r="15" spans="1:12" x14ac:dyDescent="0.25">
      <c r="B15" s="11"/>
      <c r="D15" s="25"/>
      <c r="I15" s="11" t="s">
        <v>11</v>
      </c>
      <c r="J15" s="237">
        <f>+'2023 Allocation Source'!D14</f>
        <v>9.3013577937375497E-2</v>
      </c>
      <c r="K15" s="214">
        <f t="shared" ref="K15:K17" si="0">ROUNDUP(J15*K$10,0)</f>
        <v>756</v>
      </c>
      <c r="L15" s="215">
        <f t="shared" ref="L15:L18" si="1">+K15*12</f>
        <v>9072</v>
      </c>
    </row>
    <row r="16" spans="1:12" x14ac:dyDescent="0.25">
      <c r="B16" s="11"/>
      <c r="D16" s="25"/>
      <c r="I16" s="11" t="s">
        <v>10</v>
      </c>
      <c r="J16" s="237">
        <f>+'2023 Allocation Source'!C14</f>
        <v>0.68680633284208359</v>
      </c>
      <c r="K16" s="214">
        <f t="shared" si="0"/>
        <v>5576</v>
      </c>
      <c r="L16" s="215">
        <f>+K16*12</f>
        <v>66912</v>
      </c>
    </row>
    <row r="17" spans="2:12" x14ac:dyDescent="0.25">
      <c r="B17" s="11"/>
      <c r="D17" s="25"/>
      <c r="I17" s="11" t="s">
        <v>123</v>
      </c>
      <c r="J17" s="237">
        <f>+'2023 Allocation Source'!F14</f>
        <v>2.2277126163193276E-2</v>
      </c>
      <c r="K17" s="214">
        <f t="shared" si="0"/>
        <v>181</v>
      </c>
      <c r="L17" s="215">
        <f t="shared" si="1"/>
        <v>2172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8120</v>
      </c>
      <c r="L18" s="106">
        <f t="shared" si="1"/>
        <v>97440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9BD0A-2362-48AB-B479-543E089E2800}">
  <sheetPr>
    <pageSetUpPr fitToPage="1"/>
  </sheetPr>
  <dimension ref="C2:AA18"/>
  <sheetViews>
    <sheetView zoomScale="95" zoomScaleNormal="95" workbookViewId="0">
      <selection sqref="A1:AA18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  <col min="27" max="27" width="13.7109375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646372.36</v>
      </c>
      <c r="H8" s="94">
        <f>'2023 NUC Rent'!D25</f>
        <v>0.74772351739659004</v>
      </c>
      <c r="J8" s="95">
        <v>6.4100000000000004E-2</v>
      </c>
      <c r="L8" s="79">
        <f>F8*H8*J8</f>
        <v>30980.030913753351</v>
      </c>
      <c r="N8" s="79">
        <f>L8/12</f>
        <v>2581.6692428127794</v>
      </c>
      <c r="R8" s="79">
        <f>F8-40000</f>
        <v>606372.36</v>
      </c>
      <c r="T8" s="13">
        <v>20</v>
      </c>
      <c r="V8" s="79">
        <f>R8/T8</f>
        <v>30318.617999999999</v>
      </c>
      <c r="X8" s="79">
        <f>V8/12</f>
        <v>2526.5515</v>
      </c>
      <c r="Z8" s="79">
        <f>ROUND(N8+X8,0)</f>
        <v>5108</v>
      </c>
    </row>
    <row r="10" spans="3:27" x14ac:dyDescent="0.25">
      <c r="F10" s="14">
        <f>SUM(F8:F8)</f>
        <v>646372.36</v>
      </c>
      <c r="L10" s="14">
        <f>SUM(L8:L8)</f>
        <v>30980.030913753351</v>
      </c>
      <c r="N10" s="22">
        <f>SUM(N8:N8)</f>
        <v>2581.6692428127794</v>
      </c>
      <c r="R10" s="14">
        <f>SUM(R8:R8)</f>
        <v>606372.36</v>
      </c>
      <c r="V10" s="14">
        <f>SUM(V8:V8)</f>
        <v>30318.617999999999</v>
      </c>
      <c r="X10" s="22">
        <f>SUM(X8:X8)</f>
        <v>2526.5515</v>
      </c>
      <c r="Z10" s="22">
        <f>SUM(Z8:Z8)</f>
        <v>5108</v>
      </c>
    </row>
    <row r="13" spans="3:27" x14ac:dyDescent="0.25">
      <c r="C13" t="s">
        <v>61</v>
      </c>
      <c r="F13" s="8" t="s">
        <v>306</v>
      </c>
      <c r="T13" s="24" t="s">
        <v>263</v>
      </c>
      <c r="V13"/>
      <c r="X13"/>
      <c r="Z13" s="8" t="s">
        <v>51</v>
      </c>
      <c r="AA13" t="s">
        <v>168</v>
      </c>
    </row>
    <row r="14" spans="3:27" x14ac:dyDescent="0.25">
      <c r="F14" s="24"/>
      <c r="T14" s="11" t="s">
        <v>12</v>
      </c>
      <c r="V14" s="122">
        <f>+'2023 Allocation Source'!E14</f>
        <v>0.19790296305734764</v>
      </c>
      <c r="W14" s="81"/>
      <c r="X14" s="81"/>
      <c r="Z14" s="211">
        <f>ROUNDUP($Z$10*V14,0)</f>
        <v>1011</v>
      </c>
      <c r="AA14" s="241">
        <f>+Z14*12</f>
        <v>12132</v>
      </c>
    </row>
    <row r="15" spans="3:27" x14ac:dyDescent="0.25">
      <c r="F15" s="11"/>
      <c r="J15" s="25"/>
      <c r="T15" s="11" t="s">
        <v>11</v>
      </c>
      <c r="V15" s="122">
        <f>+'2023 Allocation Source'!D14</f>
        <v>9.3013577937375497E-2</v>
      </c>
      <c r="W15" s="81"/>
      <c r="X15" s="81"/>
      <c r="Z15" s="211">
        <f t="shared" ref="Z15:Z17" si="0">ROUNDUP($Z$10*V15,0)</f>
        <v>476</v>
      </c>
      <c r="AA15" s="241">
        <f t="shared" ref="AA15:AA17" si="1">+Z15*12</f>
        <v>5712</v>
      </c>
    </row>
    <row r="16" spans="3:27" x14ac:dyDescent="0.25">
      <c r="F16" s="11"/>
      <c r="J16" s="25"/>
      <c r="T16" s="11" t="s">
        <v>10</v>
      </c>
      <c r="V16" s="122">
        <f>+'2023 Allocation Source'!C14</f>
        <v>0.68680633284208359</v>
      </c>
      <c r="W16" s="81"/>
      <c r="X16" s="81"/>
      <c r="Z16" s="8">
        <f t="shared" si="0"/>
        <v>3509</v>
      </c>
      <c r="AA16" s="242">
        <f t="shared" si="1"/>
        <v>42108</v>
      </c>
    </row>
    <row r="17" spans="6:27" x14ac:dyDescent="0.25">
      <c r="F17" s="11"/>
      <c r="J17" s="25"/>
      <c r="T17" s="11" t="s">
        <v>123</v>
      </c>
      <c r="V17" s="123">
        <f>+'2023 Allocation Source'!F14</f>
        <v>2.2277126163193276E-2</v>
      </c>
      <c r="W17" s="81"/>
      <c r="X17" s="81"/>
      <c r="Z17" s="211">
        <f t="shared" si="0"/>
        <v>114</v>
      </c>
      <c r="AA17" s="241">
        <f t="shared" si="1"/>
        <v>1368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5110</v>
      </c>
      <c r="AA18" s="71">
        <f>SUM(AA14:AA17)</f>
        <v>61320</v>
      </c>
    </row>
  </sheetData>
  <pageMargins left="0.7" right="0.7" top="0.75" bottom="0.75" header="0.3" footer="0.3"/>
  <pageSetup scale="37" fitToHeight="0" orientation="landscape" horizontalDpi="4294967295" verticalDpi="4294967295" r:id="rId1"/>
  <headerFooter>
    <oddFooter>&amp;L&amp;Z&amp;F&amp;R&amp;D&amp;T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EC031-86E3-4919-A993-760BE76A2798}">
  <dimension ref="A1:H29"/>
  <sheetViews>
    <sheetView workbookViewId="0">
      <selection activeCell="R33" sqref="R33"/>
    </sheetView>
  </sheetViews>
  <sheetFormatPr defaultRowHeight="15" x14ac:dyDescent="0.25"/>
  <cols>
    <col min="1" max="1" width="26.28515625" customWidth="1"/>
    <col min="2" max="2" width="13.28515625" bestFit="1" customWidth="1"/>
    <col min="3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169</v>
      </c>
    </row>
    <row r="2" spans="1:8" x14ac:dyDescent="0.25">
      <c r="A2" s="180">
        <v>44561</v>
      </c>
      <c r="B2" t="s">
        <v>170</v>
      </c>
      <c r="C2" t="s">
        <v>33</v>
      </c>
      <c r="D2" t="s">
        <v>171</v>
      </c>
      <c r="E2" t="s">
        <v>172</v>
      </c>
      <c r="F2" t="s">
        <v>123</v>
      </c>
      <c r="G2" t="s">
        <v>50</v>
      </c>
    </row>
    <row r="3" spans="1:8" x14ac:dyDescent="0.25">
      <c r="A3" t="s">
        <v>248</v>
      </c>
      <c r="B3" s="102">
        <v>977100</v>
      </c>
      <c r="C3" s="103">
        <f>+G19</f>
        <v>14273356</v>
      </c>
      <c r="D3" s="102">
        <f>1737573+115068</f>
        <v>1852641</v>
      </c>
      <c r="E3" s="181">
        <f>3388099+2839195</f>
        <v>6227294</v>
      </c>
      <c r="F3" s="102">
        <f>565000+464380</f>
        <v>1029380</v>
      </c>
      <c r="G3" s="103">
        <f>SUM(B3:F3)</f>
        <v>24359771</v>
      </c>
    </row>
    <row r="4" spans="1:8" x14ac:dyDescent="0.25">
      <c r="A4" t="s">
        <v>249</v>
      </c>
      <c r="B4" s="102"/>
      <c r="C4" s="102">
        <f>+C3</f>
        <v>14273356</v>
      </c>
      <c r="D4" s="102">
        <f t="shared" ref="D4:F4" si="0">+D3</f>
        <v>1852641</v>
      </c>
      <c r="E4" s="102">
        <f t="shared" si="0"/>
        <v>6227294</v>
      </c>
      <c r="F4" s="102">
        <f t="shared" si="0"/>
        <v>1029380</v>
      </c>
      <c r="G4" s="102">
        <f>SUM(B4:F4)</f>
        <v>23382671</v>
      </c>
    </row>
    <row r="5" spans="1:8" x14ac:dyDescent="0.25">
      <c r="A5" s="117" t="s">
        <v>174</v>
      </c>
      <c r="B5" s="102"/>
      <c r="C5" s="135">
        <f>+C4/$G$4</f>
        <v>0.61042453191083257</v>
      </c>
      <c r="D5" s="135">
        <f>+D4/$G$4</f>
        <v>7.923136753709617E-2</v>
      </c>
      <c r="E5" s="135">
        <f>+E4/$G$4</f>
        <v>0.2663209006362019</v>
      </c>
      <c r="F5" s="135">
        <f>+F4/$G$4</f>
        <v>4.4023199915869324E-2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269</v>
      </c>
      <c r="B7" s="102"/>
      <c r="C7" s="102"/>
      <c r="D7" s="102"/>
      <c r="E7" s="102"/>
      <c r="F7" s="102"/>
      <c r="G7" s="102"/>
    </row>
    <row r="8" spans="1:8" x14ac:dyDescent="0.25">
      <c r="A8" t="s">
        <v>175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176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188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250</v>
      </c>
      <c r="C12" s="143">
        <f>+C5*0.5</f>
        <v>0.30521226595541628</v>
      </c>
      <c r="D12" s="143">
        <f>+D5*0.5</f>
        <v>3.9615683768548085E-2</v>
      </c>
      <c r="E12" s="143">
        <f>+E5*0.5</f>
        <v>0.13316045031810095</v>
      </c>
      <c r="F12" s="143">
        <f>+F5*0.5</f>
        <v>2.2011599957934662E-2</v>
      </c>
      <c r="H12" s="144"/>
    </row>
    <row r="13" spans="1:8" x14ac:dyDescent="0.25">
      <c r="A13" s="142" t="s">
        <v>180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0.68284281934590729</v>
      </c>
      <c r="D14" s="146">
        <f t="shared" ref="D14:F14" si="3">+D12+D13</f>
        <v>9.3688170128641612E-2</v>
      </c>
      <c r="E14" s="146">
        <f t="shared" si="3"/>
        <v>0.20116512685746182</v>
      </c>
      <c r="F14" s="146">
        <f t="shared" si="3"/>
        <v>2.2303883667989223E-2</v>
      </c>
      <c r="G14" s="129">
        <f>SUM(C14:F14)</f>
        <v>0.99999999999999989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7" x14ac:dyDescent="0.25">
      <c r="A17" s="119" t="s">
        <v>169</v>
      </c>
    </row>
    <row r="18" spans="1:7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186</v>
      </c>
      <c r="G18" t="s">
        <v>50</v>
      </c>
    </row>
    <row r="19" spans="1:7" x14ac:dyDescent="0.25">
      <c r="A19" t="s">
        <v>251</v>
      </c>
      <c r="B19" s="102"/>
      <c r="C19" s="102">
        <f>5353381+2453493</f>
        <v>7806874</v>
      </c>
      <c r="D19" s="102">
        <f>1739615+760280</f>
        <v>2499895</v>
      </c>
      <c r="E19" s="102">
        <f>378422+623809+336669</f>
        <v>1338900</v>
      </c>
      <c r="F19" s="102">
        <f>51876+321665+2254146</f>
        <v>2627687</v>
      </c>
      <c r="G19" s="103">
        <f>SUM(B19:F19)</f>
        <v>14273356</v>
      </c>
    </row>
    <row r="20" spans="1:7" x14ac:dyDescent="0.25">
      <c r="A20" s="117" t="s">
        <v>174</v>
      </c>
      <c r="B20" s="102"/>
      <c r="C20" s="65">
        <f>+C19/$G$19</f>
        <v>0.54695433925980685</v>
      </c>
      <c r="D20" s="65">
        <f>+D19/$G$19</f>
        <v>0.17514416371314498</v>
      </c>
      <c r="E20" s="65">
        <f>+E19/$G$19</f>
        <v>9.3804148092431802E-2</v>
      </c>
      <c r="F20" s="65">
        <f>+F19/$G$19</f>
        <v>0.18409734893461635</v>
      </c>
      <c r="G20" s="65">
        <f>SUM(C20:F20)</f>
        <v>1</v>
      </c>
    </row>
    <row r="22" spans="1:7" x14ac:dyDescent="0.25">
      <c r="A22" t="s">
        <v>269</v>
      </c>
      <c r="B22" s="102"/>
      <c r="C22" s="102"/>
      <c r="D22" s="102"/>
      <c r="E22" s="102"/>
      <c r="F22" s="102"/>
      <c r="G22" s="102"/>
    </row>
    <row r="23" spans="1:7" x14ac:dyDescent="0.25">
      <c r="A23" t="s">
        <v>175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</row>
    <row r="24" spans="1:7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7" x14ac:dyDescent="0.25">
      <c r="A25" s="130" t="s">
        <v>188</v>
      </c>
      <c r="C25" s="118"/>
      <c r="D25" s="118"/>
      <c r="E25" s="118"/>
      <c r="F25" s="118"/>
      <c r="G25" s="118"/>
    </row>
    <row r="26" spans="1:7" x14ac:dyDescent="0.25">
      <c r="A26" t="s">
        <v>187</v>
      </c>
    </row>
    <row r="27" spans="1:7" x14ac:dyDescent="0.25">
      <c r="A27" t="s">
        <v>250</v>
      </c>
      <c r="C27" s="65">
        <f>+C20*0.5</f>
        <v>0.27347716962990343</v>
      </c>
      <c r="D27" s="65">
        <f>+D20*0.5</f>
        <v>8.757208185657249E-2</v>
      </c>
      <c r="E27" s="65">
        <f>+E20*0.5</f>
        <v>4.6902074046215901E-2</v>
      </c>
      <c r="F27" s="65">
        <f>+F20*0.5</f>
        <v>9.2048674467308175E-2</v>
      </c>
    </row>
    <row r="28" spans="1:7" x14ac:dyDescent="0.25">
      <c r="A28" t="s">
        <v>180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7" x14ac:dyDescent="0.25">
      <c r="A29" s="127" t="s">
        <v>50</v>
      </c>
      <c r="B29" s="127"/>
      <c r="C29" s="128">
        <f>+C27+C28</f>
        <v>0.51947820162164748</v>
      </c>
      <c r="D29" s="128">
        <f t="shared" ref="D29:F29" si="5">+D27+D28</f>
        <v>0.32157620982354873</v>
      </c>
      <c r="E29" s="128">
        <f t="shared" si="5"/>
        <v>6.4058936791313942E-2</v>
      </c>
      <c r="F29" s="128">
        <f t="shared" si="5"/>
        <v>9.4886651763489802E-2</v>
      </c>
      <c r="G29" s="129">
        <f>SUM(C29:F29)</f>
        <v>0.99999999999999989</v>
      </c>
    </row>
  </sheetData>
  <pageMargins left="0.7" right="0.7" top="0.75" bottom="0.75" header="0.3" footer="0.3"/>
  <pageSetup orientation="landscape" r:id="rId1"/>
  <headerFooter>
    <oddFooter>&amp;C&amp;Z&amp;F&amp;R&amp;D&amp;T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33CE-E271-43DD-9087-E6E8396E4A52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169</v>
      </c>
    </row>
    <row r="2" spans="1:8" x14ac:dyDescent="0.25">
      <c r="A2" s="180">
        <v>44561</v>
      </c>
      <c r="B2" t="s">
        <v>170</v>
      </c>
      <c r="C2" t="s">
        <v>33</v>
      </c>
      <c r="D2" t="s">
        <v>171</v>
      </c>
      <c r="E2" t="s">
        <v>172</v>
      </c>
      <c r="F2" t="s">
        <v>123</v>
      </c>
      <c r="G2" t="s">
        <v>50</v>
      </c>
    </row>
    <row r="3" spans="1:8" x14ac:dyDescent="0.25">
      <c r="A3" t="s">
        <v>178</v>
      </c>
      <c r="B3" s="102">
        <v>977100</v>
      </c>
      <c r="C3" s="103">
        <f>+G19</f>
        <v>6200481</v>
      </c>
      <c r="D3" s="102">
        <v>366916</v>
      </c>
      <c r="E3" s="181">
        <v>3009665</v>
      </c>
      <c r="F3" s="102">
        <v>626676</v>
      </c>
      <c r="G3" s="103">
        <f>SUM(B3:F3)</f>
        <v>11180838</v>
      </c>
    </row>
    <row r="4" spans="1:8" x14ac:dyDescent="0.25">
      <c r="A4" t="s">
        <v>173</v>
      </c>
      <c r="B4" s="102"/>
      <c r="C4" s="102">
        <f>+C3</f>
        <v>6200481</v>
      </c>
      <c r="D4" s="102">
        <f t="shared" ref="D4:F4" si="0">+D3</f>
        <v>366916</v>
      </c>
      <c r="E4" s="102">
        <f t="shared" si="0"/>
        <v>3009665</v>
      </c>
      <c r="F4" s="102">
        <f t="shared" si="0"/>
        <v>626676</v>
      </c>
      <c r="G4" s="102">
        <f>SUM(B4:F4)</f>
        <v>10203738</v>
      </c>
    </row>
    <row r="5" spans="1:8" x14ac:dyDescent="0.25">
      <c r="A5" s="117" t="s">
        <v>174</v>
      </c>
      <c r="B5" s="102"/>
      <c r="C5" s="135">
        <f>+C4/$G$4</f>
        <v>0.60766760181415869</v>
      </c>
      <c r="D5" s="135">
        <f>+D4/$G$4</f>
        <v>3.5958978954575276E-2</v>
      </c>
      <c r="E5" s="135">
        <f>+E4/$G$4</f>
        <v>0.29495710297539979</v>
      </c>
      <c r="F5" s="135">
        <f>+F4/$G$4</f>
        <v>6.141631625586623E-2</v>
      </c>
      <c r="G5" s="135">
        <f>SUM(C5:F5)</f>
        <v>0.99999999999999989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220</v>
      </c>
      <c r="B7" s="102"/>
      <c r="C7" s="102"/>
      <c r="D7" s="102"/>
      <c r="E7" s="102"/>
      <c r="F7" s="102"/>
      <c r="G7" s="102"/>
    </row>
    <row r="8" spans="1:8" x14ac:dyDescent="0.25">
      <c r="A8" t="s">
        <v>175</v>
      </c>
      <c r="C8" s="126">
        <f>+G23</f>
        <v>3876</v>
      </c>
      <c r="D8" s="118">
        <v>555</v>
      </c>
      <c r="E8" s="182">
        <v>698</v>
      </c>
      <c r="F8" s="118">
        <v>3</v>
      </c>
      <c r="G8" s="118">
        <f>SUM(C8:F8)</f>
        <v>5132</v>
      </c>
      <c r="H8" t="s">
        <v>223</v>
      </c>
    </row>
    <row r="9" spans="1:8" x14ac:dyDescent="0.25">
      <c r="C9" s="125">
        <f>+C8/$G$8</f>
        <v>0.75526110678098213</v>
      </c>
      <c r="D9" s="125">
        <f t="shared" ref="D9:F9" si="1">+D8/$G$8</f>
        <v>0.10814497272018705</v>
      </c>
      <c r="E9" s="125">
        <f t="shared" si="1"/>
        <v>0.13600935307872175</v>
      </c>
      <c r="F9" s="125">
        <f t="shared" si="1"/>
        <v>5.8456742010911929E-4</v>
      </c>
      <c r="G9" s="65">
        <f>SUM(C9:F9)</f>
        <v>1</v>
      </c>
    </row>
    <row r="10" spans="1:8" ht="15.75" thickBot="1" x14ac:dyDescent="0.3">
      <c r="A10" t="s">
        <v>176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188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179</v>
      </c>
      <c r="C12" s="143">
        <f>+C5*0.5</f>
        <v>0.30383380090707934</v>
      </c>
      <c r="D12" s="143">
        <f>+D5*0.5</f>
        <v>1.7979489477287638E-2</v>
      </c>
      <c r="E12" s="143">
        <f>+E5*0.5</f>
        <v>0.14747855148769989</v>
      </c>
      <c r="F12" s="143">
        <f>+F5*0.5</f>
        <v>3.0708158127933115E-2</v>
      </c>
      <c r="H12" s="144"/>
    </row>
    <row r="13" spans="1:8" x14ac:dyDescent="0.25">
      <c r="A13" s="142" t="s">
        <v>180</v>
      </c>
      <c r="C13" s="143">
        <f>+C9*0.5</f>
        <v>0.37763055339049106</v>
      </c>
      <c r="D13" s="143">
        <f t="shared" ref="D13:F13" si="2">+D9*0.5</f>
        <v>5.4072486360093527E-2</v>
      </c>
      <c r="E13" s="143">
        <f t="shared" si="2"/>
        <v>6.8004676539360875E-2</v>
      </c>
      <c r="F13" s="143">
        <f t="shared" si="2"/>
        <v>2.9228371005455964E-4</v>
      </c>
      <c r="H13" s="144"/>
    </row>
    <row r="14" spans="1:8" x14ac:dyDescent="0.25">
      <c r="A14" s="145" t="s">
        <v>50</v>
      </c>
      <c r="B14" s="127"/>
      <c r="C14" s="146">
        <f>+C12+C13</f>
        <v>0.68146435429757046</v>
      </c>
      <c r="D14" s="146">
        <f t="shared" ref="D14:F14" si="3">+D12+D13</f>
        <v>7.2051975837381169E-2</v>
      </c>
      <c r="E14" s="146">
        <f t="shared" si="3"/>
        <v>0.21548322802706077</v>
      </c>
      <c r="F14" s="146">
        <f t="shared" si="3"/>
        <v>3.1000441837987676E-2</v>
      </c>
      <c r="G14" s="129">
        <f>SUM(C14:F14)</f>
        <v>1.0000000000000002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169</v>
      </c>
    </row>
    <row r="18" spans="1:8" x14ac:dyDescent="0.25">
      <c r="A18" s="180">
        <f>+A2</f>
        <v>44561</v>
      </c>
      <c r="C18" t="s">
        <v>33</v>
      </c>
      <c r="D18" t="s">
        <v>34</v>
      </c>
      <c r="E18" t="s">
        <v>35</v>
      </c>
      <c r="F18" t="s">
        <v>186</v>
      </c>
      <c r="G18" t="s">
        <v>50</v>
      </c>
    </row>
    <row r="19" spans="1:8" x14ac:dyDescent="0.25">
      <c r="A19" t="s">
        <v>173</v>
      </c>
      <c r="B19" s="102"/>
      <c r="C19" s="102">
        <v>2674386</v>
      </c>
      <c r="D19" s="102">
        <v>1274951</v>
      </c>
      <c r="E19" s="102">
        <v>190371</v>
      </c>
      <c r="F19" s="102">
        <v>2060773</v>
      </c>
      <c r="G19" s="103">
        <f>SUM(B19:F19)</f>
        <v>6200481</v>
      </c>
    </row>
    <row r="20" spans="1:8" x14ac:dyDescent="0.25">
      <c r="A20" s="117" t="s">
        <v>174</v>
      </c>
      <c r="B20" s="102"/>
      <c r="C20" s="65">
        <f>+C19/$G$19</f>
        <v>0.4313191186296676</v>
      </c>
      <c r="D20" s="65">
        <f>+D19/$G$19</f>
        <v>0.20562130583095087</v>
      </c>
      <c r="E20" s="65">
        <f>+E19/$G$19</f>
        <v>3.0702618071081905E-2</v>
      </c>
      <c r="F20" s="65">
        <f>+F19/$G$19</f>
        <v>0.33235695746829963</v>
      </c>
      <c r="G20" s="65">
        <f>SUM(C20:F20)</f>
        <v>1</v>
      </c>
    </row>
    <row r="22" spans="1:8" x14ac:dyDescent="0.25">
      <c r="A22" t="s">
        <v>177</v>
      </c>
      <c r="B22" s="102"/>
      <c r="C22" s="102"/>
      <c r="D22" s="102"/>
      <c r="E22" s="102"/>
      <c r="F22" s="102"/>
      <c r="G22" s="102"/>
    </row>
    <row r="23" spans="1:8" x14ac:dyDescent="0.25">
      <c r="A23" t="s">
        <v>175</v>
      </c>
      <c r="C23" s="137">
        <v>1907</v>
      </c>
      <c r="D23" s="137">
        <v>1814</v>
      </c>
      <c r="E23" s="137">
        <v>133</v>
      </c>
      <c r="F23" s="137">
        <v>22</v>
      </c>
      <c r="G23" s="126">
        <f>SUM(C23:F23)</f>
        <v>3876</v>
      </c>
      <c r="H23" t="s">
        <v>223</v>
      </c>
    </row>
    <row r="24" spans="1:8" x14ac:dyDescent="0.25">
      <c r="C24" s="125">
        <f>+C23/$G$23</f>
        <v>0.49200206398348811</v>
      </c>
      <c r="D24" s="125">
        <f>+D23/$G$23</f>
        <v>0.46800825593395251</v>
      </c>
      <c r="E24" s="125">
        <f>+E23/$G$23</f>
        <v>3.4313725490196081E-2</v>
      </c>
      <c r="F24" s="125">
        <f>+F23/$G$23</f>
        <v>5.6759545923632613E-3</v>
      </c>
      <c r="G24" s="65">
        <f>SUM(C24:F24)</f>
        <v>0.99999999999999989</v>
      </c>
    </row>
    <row r="25" spans="1:8" x14ac:dyDescent="0.25">
      <c r="A25" s="130" t="s">
        <v>188</v>
      </c>
      <c r="C25" s="118"/>
      <c r="D25" s="118"/>
      <c r="E25" s="118"/>
      <c r="F25" s="118"/>
      <c r="G25" s="118"/>
    </row>
    <row r="26" spans="1:8" x14ac:dyDescent="0.25">
      <c r="A26" t="s">
        <v>187</v>
      </c>
    </row>
    <row r="27" spans="1:8" x14ac:dyDescent="0.25">
      <c r="A27" t="s">
        <v>179</v>
      </c>
      <c r="C27" s="65">
        <f>+C20*0.5</f>
        <v>0.2156595593148338</v>
      </c>
      <c r="D27" s="65">
        <f>+D20*0.5</f>
        <v>0.10281065291547543</v>
      </c>
      <c r="E27" s="65">
        <f>+E20*0.5</f>
        <v>1.5351309035540953E-2</v>
      </c>
      <c r="F27" s="65">
        <f>+F20*0.5</f>
        <v>0.16617847873414981</v>
      </c>
    </row>
    <row r="28" spans="1:8" x14ac:dyDescent="0.25">
      <c r="A28" t="s">
        <v>180</v>
      </c>
      <c r="C28" s="65">
        <f>+C24*0.5</f>
        <v>0.24600103199174406</v>
      </c>
      <c r="D28" s="65">
        <f t="shared" ref="D28:F28" si="4">+D24*0.5</f>
        <v>0.23400412796697626</v>
      </c>
      <c r="E28" s="65">
        <f t="shared" si="4"/>
        <v>1.7156862745098041E-2</v>
      </c>
      <c r="F28" s="65">
        <f t="shared" si="4"/>
        <v>2.8379772961816306E-3</v>
      </c>
    </row>
    <row r="29" spans="1:8" x14ac:dyDescent="0.25">
      <c r="A29" s="127" t="s">
        <v>50</v>
      </c>
      <c r="B29" s="127"/>
      <c r="C29" s="128">
        <f>+C27+C28</f>
        <v>0.46166059130657788</v>
      </c>
      <c r="D29" s="128">
        <f t="shared" ref="D29:F29" si="5">+D27+D28</f>
        <v>0.3368147808824517</v>
      </c>
      <c r="E29" s="128">
        <f t="shared" si="5"/>
        <v>3.2508171780638993E-2</v>
      </c>
      <c r="F29" s="128">
        <f t="shared" si="5"/>
        <v>0.16901645603033144</v>
      </c>
      <c r="G29" s="129">
        <f>SUM(C29:F29)</f>
        <v>1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3281-1FAA-4889-89B0-408B4770FE25}">
  <dimension ref="A1:H29"/>
  <sheetViews>
    <sheetView workbookViewId="0">
      <selection activeCell="C34" sqref="C34"/>
    </sheetView>
  </sheetViews>
  <sheetFormatPr defaultRowHeight="15" x14ac:dyDescent="0.25"/>
  <cols>
    <col min="1" max="1" width="26.28515625" customWidth="1"/>
    <col min="2" max="3" width="13.28515625" bestFit="1" customWidth="1"/>
    <col min="4" max="4" width="14.28515625" bestFit="1" customWidth="1"/>
    <col min="5" max="6" width="13.28515625" bestFit="1" customWidth="1"/>
    <col min="7" max="7" width="14.28515625" bestFit="1" customWidth="1"/>
  </cols>
  <sheetData>
    <row r="1" spans="1:8" x14ac:dyDescent="0.25">
      <c r="A1" s="119" t="s">
        <v>169</v>
      </c>
    </row>
    <row r="2" spans="1:8" x14ac:dyDescent="0.25">
      <c r="A2" s="180">
        <v>44196</v>
      </c>
      <c r="B2" t="s">
        <v>170</v>
      </c>
      <c r="C2" t="s">
        <v>33</v>
      </c>
      <c r="D2" t="s">
        <v>171</v>
      </c>
      <c r="E2" t="s">
        <v>172</v>
      </c>
      <c r="F2" t="s">
        <v>123</v>
      </c>
      <c r="G2" t="s">
        <v>50</v>
      </c>
    </row>
    <row r="3" spans="1:8" x14ac:dyDescent="0.25">
      <c r="A3" t="s">
        <v>178</v>
      </c>
      <c r="B3" s="102">
        <v>1018101</v>
      </c>
      <c r="C3" s="103">
        <f>+G19</f>
        <v>6100764</v>
      </c>
      <c r="D3" s="102">
        <v>390390</v>
      </c>
      <c r="E3" s="181">
        <v>1964903</v>
      </c>
      <c r="F3" s="102">
        <v>603039</v>
      </c>
      <c r="G3" s="103">
        <f>SUM(B3:F3)</f>
        <v>10077197</v>
      </c>
    </row>
    <row r="4" spans="1:8" x14ac:dyDescent="0.25">
      <c r="A4" t="s">
        <v>173</v>
      </c>
      <c r="B4" s="102"/>
      <c r="C4" s="102">
        <f>+C3</f>
        <v>6100764</v>
      </c>
      <c r="D4" s="102">
        <f t="shared" ref="D4:F4" si="0">+D3</f>
        <v>390390</v>
      </c>
      <c r="E4" s="102">
        <f t="shared" si="0"/>
        <v>1964903</v>
      </c>
      <c r="F4" s="102">
        <f t="shared" si="0"/>
        <v>603039</v>
      </c>
      <c r="G4" s="102">
        <f>SUM(B4:F4)</f>
        <v>9059096</v>
      </c>
    </row>
    <row r="5" spans="1:8" x14ac:dyDescent="0.25">
      <c r="A5" s="117" t="s">
        <v>174</v>
      </c>
      <c r="B5" s="102"/>
      <c r="C5" s="135">
        <f>+C4/$G$4</f>
        <v>0.6734407053419017</v>
      </c>
      <c r="D5" s="135">
        <f>+D4/$G$4</f>
        <v>4.3093703830934124E-2</v>
      </c>
      <c r="E5" s="135">
        <f>+E4/$G$4</f>
        <v>0.21689835277162312</v>
      </c>
      <c r="F5" s="135">
        <f>+F4/$G$4</f>
        <v>6.6567238055541086E-2</v>
      </c>
      <c r="G5" s="135">
        <f>SUM(C5:F5)</f>
        <v>1</v>
      </c>
    </row>
    <row r="6" spans="1:8" x14ac:dyDescent="0.25">
      <c r="B6" s="102"/>
      <c r="C6" s="102"/>
      <c r="D6" s="102"/>
      <c r="E6" s="102"/>
      <c r="F6" s="102"/>
      <c r="G6" s="102"/>
    </row>
    <row r="7" spans="1:8" x14ac:dyDescent="0.25">
      <c r="A7" s="16" t="s">
        <v>220</v>
      </c>
      <c r="B7" s="102"/>
      <c r="C7" s="102"/>
      <c r="D7" s="102"/>
      <c r="E7" s="102"/>
      <c r="F7" s="102"/>
      <c r="G7" s="102"/>
    </row>
    <row r="8" spans="1:8" x14ac:dyDescent="0.25">
      <c r="A8" t="s">
        <v>175</v>
      </c>
      <c r="C8" s="126">
        <f>+G23</f>
        <v>3484.9166666666665</v>
      </c>
      <c r="D8" s="118">
        <v>547.08333333333326</v>
      </c>
      <c r="E8" s="182">
        <v>157.66666666666666</v>
      </c>
      <c r="F8" s="118">
        <v>3</v>
      </c>
      <c r="G8" s="118">
        <f>SUM(C8:F8)</f>
        <v>4192.666666666667</v>
      </c>
      <c r="H8" t="s">
        <v>223</v>
      </c>
    </row>
    <row r="9" spans="1:8" x14ac:dyDescent="0.25">
      <c r="C9" s="125">
        <f>+C8/$G$8</f>
        <v>0.83119335347432011</v>
      </c>
      <c r="D9" s="125">
        <f t="shared" ref="D9:F9" si="1">+D8/$G$8</f>
        <v>0.13048576880267129</v>
      </c>
      <c r="E9" s="125">
        <f t="shared" si="1"/>
        <v>3.7605342661790421E-2</v>
      </c>
      <c r="F9" s="125">
        <f t="shared" si="1"/>
        <v>7.1553506121799964E-4</v>
      </c>
      <c r="G9" s="65">
        <f>SUM(C9:F9)</f>
        <v>0.99999999999999978</v>
      </c>
    </row>
    <row r="10" spans="1:8" ht="15.75" thickBot="1" x14ac:dyDescent="0.3">
      <c r="A10" t="s">
        <v>176</v>
      </c>
      <c r="C10" s="118">
        <v>3580</v>
      </c>
      <c r="D10" s="118">
        <v>558</v>
      </c>
      <c r="E10" s="118">
        <v>163</v>
      </c>
      <c r="F10" s="118">
        <v>3</v>
      </c>
      <c r="G10" s="118"/>
    </row>
    <row r="11" spans="1:8" x14ac:dyDescent="0.25">
      <c r="A11" s="139" t="s">
        <v>188</v>
      </c>
      <c r="B11" s="140"/>
      <c r="C11" s="140"/>
      <c r="D11" s="140"/>
      <c r="E11" s="140"/>
      <c r="F11" s="140"/>
      <c r="G11" s="140"/>
      <c r="H11" s="141"/>
    </row>
    <row r="12" spans="1:8" x14ac:dyDescent="0.25">
      <c r="A12" s="142" t="s">
        <v>179</v>
      </c>
      <c r="C12" s="143">
        <f>+C5*0.5</f>
        <v>0.33672035267095085</v>
      </c>
      <c r="D12" s="143">
        <f>+D5*0.5</f>
        <v>2.1546851915467062E-2</v>
      </c>
      <c r="E12" s="143">
        <f>+E5*0.5</f>
        <v>0.10844917638581156</v>
      </c>
      <c r="F12" s="143">
        <f>+F5*0.5</f>
        <v>3.3283619027770543E-2</v>
      </c>
      <c r="H12" s="144"/>
    </row>
    <row r="13" spans="1:8" x14ac:dyDescent="0.25">
      <c r="A13" s="142" t="s">
        <v>180</v>
      </c>
      <c r="C13" s="143">
        <f>+C9*0.5</f>
        <v>0.41559667673716005</v>
      </c>
      <c r="D13" s="143">
        <f t="shared" ref="D13:F13" si="2">+D9*0.5</f>
        <v>6.5242884401335646E-2</v>
      </c>
      <c r="E13" s="143">
        <f t="shared" si="2"/>
        <v>1.8802671330895211E-2</v>
      </c>
      <c r="F13" s="143">
        <f t="shared" si="2"/>
        <v>3.5776753060899982E-4</v>
      </c>
      <c r="H13" s="144"/>
    </row>
    <row r="14" spans="1:8" x14ac:dyDescent="0.25">
      <c r="A14" s="145" t="s">
        <v>50</v>
      </c>
      <c r="B14" s="127"/>
      <c r="C14" s="146">
        <f>+C12+C13</f>
        <v>0.75231702940811096</v>
      </c>
      <c r="D14" s="146">
        <f t="shared" ref="D14:F14" si="3">+D12+D13</f>
        <v>8.6789736316802701E-2</v>
      </c>
      <c r="E14" s="146">
        <f t="shared" si="3"/>
        <v>0.12725184771670678</v>
      </c>
      <c r="F14" s="146">
        <f t="shared" si="3"/>
        <v>3.3641386558379546E-2</v>
      </c>
      <c r="G14" s="129">
        <f>SUM(C14:F14)</f>
        <v>1</v>
      </c>
      <c r="H14" s="144"/>
    </row>
    <row r="15" spans="1:8" ht="15.75" thickBot="1" x14ac:dyDescent="0.3">
      <c r="A15" s="147"/>
      <c r="B15" s="148"/>
      <c r="C15" s="148"/>
      <c r="D15" s="148"/>
      <c r="E15" s="148"/>
      <c r="F15" s="148"/>
      <c r="G15" s="148"/>
      <c r="H15" s="149"/>
    </row>
    <row r="17" spans="1:8" x14ac:dyDescent="0.25">
      <c r="A17" s="119" t="s">
        <v>169</v>
      </c>
    </row>
    <row r="18" spans="1:8" x14ac:dyDescent="0.25">
      <c r="A18" s="180">
        <f>+A2</f>
        <v>44196</v>
      </c>
      <c r="C18" t="s">
        <v>33</v>
      </c>
      <c r="D18" t="s">
        <v>34</v>
      </c>
      <c r="E18" t="s">
        <v>35</v>
      </c>
      <c r="F18" t="s">
        <v>186</v>
      </c>
      <c r="G18" t="s">
        <v>50</v>
      </c>
    </row>
    <row r="19" spans="1:8" x14ac:dyDescent="0.25">
      <c r="A19" t="s">
        <v>173</v>
      </c>
      <c r="B19" s="102"/>
      <c r="C19" s="102">
        <v>2599227</v>
      </c>
      <c r="D19" s="102">
        <v>1283325</v>
      </c>
      <c r="E19" s="102">
        <v>152874</v>
      </c>
      <c r="F19" s="102">
        <v>2065338</v>
      </c>
      <c r="G19" s="103">
        <f>SUM(B19:F19)</f>
        <v>6100764</v>
      </c>
    </row>
    <row r="20" spans="1:8" x14ac:dyDescent="0.25">
      <c r="A20" s="117" t="s">
        <v>174</v>
      </c>
      <c r="B20" s="102"/>
      <c r="C20" s="65">
        <f>+C19/$G$19</f>
        <v>0.42604942594075101</v>
      </c>
      <c r="D20" s="65">
        <f>+D19/$G$19</f>
        <v>0.21035480146421007</v>
      </c>
      <c r="E20" s="65">
        <f>+E19/$G$19</f>
        <v>2.5058173041933765E-2</v>
      </c>
      <c r="F20" s="65">
        <f>+F19/$G$19</f>
        <v>0.33853759955310514</v>
      </c>
      <c r="G20" s="65">
        <f>SUM(C20:F20)</f>
        <v>1</v>
      </c>
    </row>
    <row r="22" spans="1:8" x14ac:dyDescent="0.25">
      <c r="A22" t="s">
        <v>177</v>
      </c>
      <c r="B22" s="102"/>
      <c r="C22" s="102"/>
      <c r="D22" s="102"/>
      <c r="E22" s="102"/>
      <c r="F22" s="102"/>
      <c r="G22" s="102"/>
    </row>
    <row r="23" spans="1:8" x14ac:dyDescent="0.25">
      <c r="A23" t="s">
        <v>175</v>
      </c>
      <c r="C23" s="137">
        <v>1509.25</v>
      </c>
      <c r="D23" s="137">
        <v>1816.0833333333333</v>
      </c>
      <c r="E23" s="137">
        <v>138.33333333333334</v>
      </c>
      <c r="F23" s="137">
        <v>21.25</v>
      </c>
      <c r="G23" s="126">
        <f>SUM(C23:F23)</f>
        <v>3484.9166666666665</v>
      </c>
      <c r="H23" t="s">
        <v>223</v>
      </c>
    </row>
    <row r="24" spans="1:8" x14ac:dyDescent="0.25">
      <c r="C24" s="125">
        <f>+C23/$G$23</f>
        <v>0.43308065711757815</v>
      </c>
      <c r="D24" s="125">
        <f>+D23/$G$23</f>
        <v>0.52112676056338025</v>
      </c>
      <c r="E24" s="125">
        <f>+E23/$G$23</f>
        <v>3.9694875535043882E-2</v>
      </c>
      <c r="F24" s="125">
        <f>+F23/$G$23</f>
        <v>6.0977067839977049E-3</v>
      </c>
      <c r="G24" s="65">
        <f>SUM(C24:F24)</f>
        <v>1</v>
      </c>
    </row>
    <row r="25" spans="1:8" x14ac:dyDescent="0.25">
      <c r="A25" s="130" t="s">
        <v>188</v>
      </c>
      <c r="C25" s="118"/>
      <c r="D25" s="118"/>
      <c r="E25" s="118"/>
      <c r="F25" s="118"/>
      <c r="G25" s="118"/>
    </row>
    <row r="26" spans="1:8" x14ac:dyDescent="0.25">
      <c r="A26" t="s">
        <v>187</v>
      </c>
    </row>
    <row r="27" spans="1:8" x14ac:dyDescent="0.25">
      <c r="A27" t="s">
        <v>179</v>
      </c>
      <c r="C27" s="65">
        <f>+C20*0.5</f>
        <v>0.21302471297037551</v>
      </c>
      <c r="D27" s="65">
        <f>+D20*0.5</f>
        <v>0.10517740073210503</v>
      </c>
      <c r="E27" s="65">
        <f>+E20*0.5</f>
        <v>1.2529086520966883E-2</v>
      </c>
      <c r="F27" s="65">
        <f>+F20*0.5</f>
        <v>0.16926879977655257</v>
      </c>
    </row>
    <row r="28" spans="1:8" x14ac:dyDescent="0.25">
      <c r="A28" t="s">
        <v>180</v>
      </c>
      <c r="C28" s="65">
        <f>+C24*0.5</f>
        <v>0.21654032855878907</v>
      </c>
      <c r="D28" s="65">
        <f t="shared" ref="D28:F28" si="4">+D24*0.5</f>
        <v>0.26056338028169013</v>
      </c>
      <c r="E28" s="65">
        <f t="shared" si="4"/>
        <v>1.9847437767521941E-2</v>
      </c>
      <c r="F28" s="65">
        <f t="shared" si="4"/>
        <v>3.0488533919988525E-3</v>
      </c>
    </row>
    <row r="29" spans="1:8" x14ac:dyDescent="0.25">
      <c r="A29" s="127" t="s">
        <v>50</v>
      </c>
      <c r="B29" s="127"/>
      <c r="C29" s="128">
        <f>+C27+C28</f>
        <v>0.42956504152916458</v>
      </c>
      <c r="D29" s="128">
        <f t="shared" ref="D29:F29" si="5">+D27+D28</f>
        <v>0.36574078101379515</v>
      </c>
      <c r="E29" s="128">
        <f t="shared" si="5"/>
        <v>3.237652428848882E-2</v>
      </c>
      <c r="F29" s="128">
        <f t="shared" si="5"/>
        <v>0.17231765316855141</v>
      </c>
      <c r="G29" s="129">
        <f>SUM(C29:F29)</f>
        <v>0.99999999999999989</v>
      </c>
    </row>
  </sheetData>
  <pageMargins left="0.7" right="0.7" top="0.75" bottom="0.75" header="0.3" footer="0.3"/>
  <pageSetup orientation="landscape" horizontalDpi="4294967295" verticalDpi="4294967295" r:id="rId1"/>
  <headerFooter>
    <oddFooter>&amp;C&amp;Z&amp;F&amp;R&amp;D&amp;T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8B552-D403-4132-850A-5C0E550E9EFA}">
  <dimension ref="A2:K27"/>
  <sheetViews>
    <sheetView topLeftCell="A27" zoomScale="80" zoomScaleNormal="80" workbookViewId="0">
      <selection activeCell="A31" sqref="A31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2.28515625" bestFit="1" customWidth="1"/>
  </cols>
  <sheetData>
    <row r="2" spans="1:11" x14ac:dyDescent="0.25">
      <c r="A2" s="16" t="s">
        <v>291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290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916672.63</v>
      </c>
      <c r="C8" s="94">
        <f t="shared" ref="C8:C13" si="0">$D$25</f>
        <v>0.7855011155173548</v>
      </c>
      <c r="D8" s="95">
        <v>5.6099999999999997E-2</v>
      </c>
      <c r="E8" s="79">
        <f t="shared" ref="E8:E13" si="1">B8*C8*D8</f>
        <v>40394.657649379653</v>
      </c>
      <c r="F8" s="79">
        <f t="shared" ref="F8:F13" si="2">E8/12</f>
        <v>3366.2214707816379</v>
      </c>
      <c r="G8" s="79">
        <f t="shared" ref="G8:G13" si="3">B8</f>
        <v>916672.63</v>
      </c>
      <c r="H8" s="13">
        <v>6</v>
      </c>
      <c r="I8" s="79">
        <f t="shared" ref="I8:I13" si="4">G8/H8</f>
        <v>152778.77166666667</v>
      </c>
      <c r="J8" s="79">
        <f t="shared" ref="J8:J13" si="5">I8/12</f>
        <v>12731.564305555556</v>
      </c>
      <c r="K8" s="79">
        <f>ROUNDUP(F8+J8,0)</f>
        <v>16098</v>
      </c>
    </row>
    <row r="9" spans="1:11" x14ac:dyDescent="0.25">
      <c r="A9" t="s">
        <v>32</v>
      </c>
      <c r="B9" s="195">
        <v>306568.88</v>
      </c>
      <c r="C9" s="94">
        <f t="shared" si="0"/>
        <v>0.7855011155173548</v>
      </c>
      <c r="D9" s="95">
        <v>5.6099999999999997E-2</v>
      </c>
      <c r="E9" s="79">
        <f t="shared" si="1"/>
        <v>13509.45206420503</v>
      </c>
      <c r="F9" s="79">
        <f t="shared" si="2"/>
        <v>1125.7876720170859</v>
      </c>
      <c r="G9" s="79">
        <f t="shared" si="3"/>
        <v>306568.88</v>
      </c>
      <c r="H9" s="13">
        <v>6</v>
      </c>
      <c r="I9" s="79">
        <f t="shared" si="4"/>
        <v>51094.813333333332</v>
      </c>
      <c r="J9" s="79">
        <f t="shared" si="5"/>
        <v>4257.9011111111113</v>
      </c>
      <c r="K9" s="79">
        <f t="shared" ref="K9:K13" si="6">ROUNDUP(F9+J9,0)</f>
        <v>5384</v>
      </c>
    </row>
    <row r="10" spans="1:11" x14ac:dyDescent="0.25">
      <c r="A10" t="s">
        <v>47</v>
      </c>
      <c r="B10" s="195">
        <v>755702.72</v>
      </c>
      <c r="C10" s="94">
        <f t="shared" si="0"/>
        <v>0.7855011155173548</v>
      </c>
      <c r="D10" s="95">
        <v>5.6099999999999997E-2</v>
      </c>
      <c r="E10" s="79">
        <f t="shared" si="1"/>
        <v>33301.258988287904</v>
      </c>
      <c r="F10" s="79">
        <f t="shared" si="2"/>
        <v>2775.1049156906588</v>
      </c>
      <c r="G10" s="79">
        <f t="shared" si="3"/>
        <v>755702.72</v>
      </c>
      <c r="H10" s="13">
        <v>10</v>
      </c>
      <c r="I10" s="79">
        <f t="shared" si="4"/>
        <v>75570.271999999997</v>
      </c>
      <c r="J10" s="79">
        <f t="shared" si="5"/>
        <v>6297.5226666666667</v>
      </c>
      <c r="K10" s="79">
        <f t="shared" si="6"/>
        <v>9073</v>
      </c>
    </row>
    <row r="11" spans="1:11" x14ac:dyDescent="0.25">
      <c r="A11" t="s">
        <v>48</v>
      </c>
      <c r="B11" s="195">
        <v>240628.99</v>
      </c>
      <c r="C11" s="94">
        <f t="shared" si="0"/>
        <v>0.7855011155173548</v>
      </c>
      <c r="D11" s="95">
        <v>5.6099999999999997E-2</v>
      </c>
      <c r="E11" s="79">
        <f t="shared" si="1"/>
        <v>10603.704477972688</v>
      </c>
      <c r="F11" s="79">
        <f t="shared" si="2"/>
        <v>883.64203983105733</v>
      </c>
      <c r="G11" s="79">
        <f t="shared" si="3"/>
        <v>240628.99</v>
      </c>
      <c r="H11" s="13">
        <v>5</v>
      </c>
      <c r="I11" s="79">
        <f t="shared" si="4"/>
        <v>48125.797999999995</v>
      </c>
      <c r="J11" s="79">
        <f t="shared" si="5"/>
        <v>4010.4831666666664</v>
      </c>
      <c r="K11" s="79">
        <f t="shared" si="6"/>
        <v>4895</v>
      </c>
    </row>
    <row r="12" spans="1:11" x14ac:dyDescent="0.25">
      <c r="A12" t="s">
        <v>41</v>
      </c>
      <c r="B12" s="195">
        <v>201236.74</v>
      </c>
      <c r="C12" s="94">
        <f t="shared" si="0"/>
        <v>0.7855011155173548</v>
      </c>
      <c r="D12" s="95">
        <v>5.6099999999999997E-2</v>
      </c>
      <c r="E12" s="79">
        <f t="shared" si="1"/>
        <v>8867.821458547558</v>
      </c>
      <c r="F12" s="79">
        <f t="shared" si="2"/>
        <v>738.9851215456298</v>
      </c>
      <c r="G12" s="79">
        <f t="shared" si="3"/>
        <v>201236.74</v>
      </c>
      <c r="H12" s="13">
        <v>4</v>
      </c>
      <c r="I12" s="79">
        <f t="shared" si="4"/>
        <v>50309.184999999998</v>
      </c>
      <c r="J12" s="79">
        <f t="shared" si="5"/>
        <v>4192.4320833333331</v>
      </c>
      <c r="K12" s="79">
        <f t="shared" si="6"/>
        <v>4932</v>
      </c>
    </row>
    <row r="13" spans="1:11" x14ac:dyDescent="0.25">
      <c r="A13" t="s">
        <v>31</v>
      </c>
      <c r="B13" s="195">
        <v>1081407.44</v>
      </c>
      <c r="C13" s="94">
        <f t="shared" si="0"/>
        <v>0.7855011155173548</v>
      </c>
      <c r="D13" s="95">
        <v>5.6099999999999997E-2</v>
      </c>
      <c r="E13" s="79">
        <f t="shared" si="1"/>
        <v>47653.96270017582</v>
      </c>
      <c r="F13" s="79">
        <f t="shared" si="2"/>
        <v>3971.1635583479851</v>
      </c>
      <c r="G13" s="79">
        <f t="shared" si="3"/>
        <v>1081407.44</v>
      </c>
      <c r="H13" s="13">
        <v>10</v>
      </c>
      <c r="I13" s="79">
        <f t="shared" si="4"/>
        <v>108140.74399999999</v>
      </c>
      <c r="J13" s="79">
        <f t="shared" si="5"/>
        <v>9011.728666666666</v>
      </c>
      <c r="K13" s="79">
        <f t="shared" si="6"/>
        <v>12983</v>
      </c>
    </row>
    <row r="14" spans="1:11" x14ac:dyDescent="0.25">
      <c r="B14" s="120"/>
    </row>
    <row r="15" spans="1:11" x14ac:dyDescent="0.25">
      <c r="B15" s="121">
        <f>SUM(B8:B13)</f>
        <v>3502217.4</v>
      </c>
      <c r="D15" s="183">
        <f>AVERAGE(D8:D13)</f>
        <v>5.609999999999999E-2</v>
      </c>
      <c r="E15" s="14">
        <f>SUM(E8:E13)</f>
        <v>154330.85733856866</v>
      </c>
      <c r="F15" s="22">
        <f>SUM(F8:F13)</f>
        <v>12860.904778214055</v>
      </c>
      <c r="G15" s="14">
        <f>SUM(G8:G13)</f>
        <v>3502217.4</v>
      </c>
      <c r="I15" s="14">
        <f>SUM(I8:I13)</f>
        <v>486019.58399999997</v>
      </c>
      <c r="J15" s="22">
        <f>SUM(J8:J13)</f>
        <v>40501.631999999998</v>
      </c>
      <c r="K15" s="22">
        <f>SUM(K8:K13)</f>
        <v>53365</v>
      </c>
    </row>
    <row r="19" spans="1:7" x14ac:dyDescent="0.25">
      <c r="A19" s="16" t="s">
        <v>270</v>
      </c>
    </row>
    <row r="22" spans="1:7" x14ac:dyDescent="0.25">
      <c r="C22" s="4" t="s">
        <v>44</v>
      </c>
    </row>
    <row r="23" spans="1:7" x14ac:dyDescent="0.25">
      <c r="C23" s="3" t="s">
        <v>45</v>
      </c>
    </row>
    <row r="24" spans="1:7" ht="15.75" thickBot="1" x14ac:dyDescent="0.3"/>
    <row r="25" spans="1:7" ht="15.75" thickBot="1" x14ac:dyDescent="0.3">
      <c r="A25" s="196"/>
      <c r="B25" s="197" t="s">
        <v>185</v>
      </c>
      <c r="C25" s="198">
        <f>581993+9535881+(776344*0.5)</f>
        <v>10506046</v>
      </c>
      <c r="D25" s="199">
        <f>C25/C27</f>
        <v>0.7855011155173548</v>
      </c>
      <c r="E25" s="198" t="s">
        <v>262</v>
      </c>
      <c r="F25" s="198"/>
      <c r="G25" s="200"/>
    </row>
    <row r="26" spans="1:7" x14ac:dyDescent="0.25">
      <c r="A26" s="201"/>
      <c r="B26" s="202" t="s">
        <v>184</v>
      </c>
      <c r="C26" s="203">
        <v>2868914</v>
      </c>
      <c r="D26" s="204">
        <f>C26/C27</f>
        <v>0.21449888448264517</v>
      </c>
      <c r="E26" s="198" t="s">
        <v>262</v>
      </c>
      <c r="F26" s="203"/>
      <c r="G26" s="205"/>
    </row>
    <row r="27" spans="1:7" ht="15.75" thickBot="1" x14ac:dyDescent="0.3">
      <c r="A27" s="206"/>
      <c r="B27" s="207"/>
      <c r="C27" s="208">
        <f>C25+C26</f>
        <v>13374960</v>
      </c>
      <c r="D27" s="209"/>
      <c r="E27" s="207"/>
      <c r="F27" s="207"/>
      <c r="G27" s="210"/>
    </row>
  </sheetData>
  <pageMargins left="0.7" right="0.7" top="0.75" bottom="0.75" header="0.3" footer="0.3"/>
  <pageSetup scale="75" orientation="portrait" horizontalDpi="4294967295" verticalDpi="4294967295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50"/>
  <sheetViews>
    <sheetView topLeftCell="A25" zoomScale="80" zoomScaleNormal="80" workbookViewId="0">
      <selection activeCell="A55" sqref="A55"/>
    </sheetView>
  </sheetViews>
  <sheetFormatPr defaultRowHeight="15" x14ac:dyDescent="0.25"/>
  <cols>
    <col min="1" max="1" width="14.140625" customWidth="1"/>
    <col min="2" max="2" width="18.710937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23" max="23" width="11.28515625" bestFit="1" customWidth="1"/>
  </cols>
  <sheetData>
    <row r="2" spans="1:11" x14ac:dyDescent="0.25">
      <c r="A2" s="16" t="s">
        <v>221</v>
      </c>
    </row>
    <row r="3" spans="1:11" x14ac:dyDescent="0.25">
      <c r="D3" s="19" t="s">
        <v>54</v>
      </c>
      <c r="I3" s="21" t="s">
        <v>55</v>
      </c>
    </row>
    <row r="5" spans="1:11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1" x14ac:dyDescent="0.25">
      <c r="B6" s="10" t="s">
        <v>236</v>
      </c>
      <c r="C6" s="3" t="s">
        <v>45</v>
      </c>
      <c r="D6" s="3" t="s">
        <v>117</v>
      </c>
      <c r="E6" s="10"/>
      <c r="F6" s="10"/>
      <c r="G6" s="10"/>
      <c r="H6" s="3" t="s">
        <v>53</v>
      </c>
      <c r="I6" s="10"/>
      <c r="J6" s="10"/>
      <c r="K6" s="10" t="s">
        <v>50</v>
      </c>
    </row>
    <row r="7" spans="1:11" x14ac:dyDescent="0.25">
      <c r="B7" s="11"/>
      <c r="C7" s="1"/>
      <c r="D7" s="1"/>
      <c r="E7" s="11"/>
      <c r="F7" s="11"/>
      <c r="G7" s="11"/>
      <c r="H7" s="1"/>
    </row>
    <row r="8" spans="1:11" x14ac:dyDescent="0.25">
      <c r="A8" t="s">
        <v>46</v>
      </c>
      <c r="B8" s="195">
        <v>802664.3</v>
      </c>
      <c r="C8" s="94">
        <f t="shared" ref="C8:C13" si="0">$D$48</f>
        <v>0.68369956225891737</v>
      </c>
      <c r="D8" s="95">
        <v>6.0999999999999999E-2</v>
      </c>
      <c r="E8" s="79">
        <f t="shared" ref="E8:E13" si="1">B8*C8*D8</f>
        <v>33475.655063602484</v>
      </c>
      <c r="F8" s="79">
        <f t="shared" ref="F8:F13" si="2">E8/12</f>
        <v>2789.6379219668738</v>
      </c>
      <c r="G8" s="79">
        <f t="shared" ref="G8:G13" si="3">B8</f>
        <v>802664.3</v>
      </c>
      <c r="H8" s="13">
        <v>6</v>
      </c>
      <c r="I8" s="79">
        <f t="shared" ref="I8:I13" si="4">G8/H8</f>
        <v>133777.38333333333</v>
      </c>
      <c r="J8" s="79">
        <f t="shared" ref="J8:J13" si="5">I8/12</f>
        <v>11148.115277777777</v>
      </c>
      <c r="K8" s="79">
        <f t="shared" ref="K8:K13" si="6">F8+J8</f>
        <v>13937.753199744651</v>
      </c>
    </row>
    <row r="9" spans="1:11" x14ac:dyDescent="0.25">
      <c r="A9" t="s">
        <v>32</v>
      </c>
      <c r="B9" s="195">
        <v>240628.88</v>
      </c>
      <c r="C9" s="94">
        <f t="shared" si="0"/>
        <v>0.68369956225891737</v>
      </c>
      <c r="D9" s="95">
        <v>6.0999999999999999E-2</v>
      </c>
      <c r="E9" s="79">
        <f t="shared" si="1"/>
        <v>10035.589455294066</v>
      </c>
      <c r="F9" s="79">
        <f t="shared" si="2"/>
        <v>836.29912127450552</v>
      </c>
      <c r="G9" s="79">
        <f t="shared" si="3"/>
        <v>240628.88</v>
      </c>
      <c r="H9" s="13">
        <v>6</v>
      </c>
      <c r="I9" s="79">
        <f t="shared" si="4"/>
        <v>40104.813333333332</v>
      </c>
      <c r="J9" s="79">
        <f t="shared" si="5"/>
        <v>3342.0677777777778</v>
      </c>
      <c r="K9" s="79">
        <f t="shared" si="6"/>
        <v>4178.3668990522838</v>
      </c>
    </row>
    <row r="10" spans="1:11" x14ac:dyDescent="0.25">
      <c r="A10" t="s">
        <v>47</v>
      </c>
      <c r="B10" s="195">
        <v>465195.83</v>
      </c>
      <c r="C10" s="94">
        <f t="shared" si="0"/>
        <v>0.68369956225891737</v>
      </c>
      <c r="D10" s="95">
        <v>6.0999999999999999E-2</v>
      </c>
      <c r="E10" s="79">
        <f t="shared" si="1"/>
        <v>19401.305305476097</v>
      </c>
      <c r="F10" s="79">
        <f t="shared" si="2"/>
        <v>1616.7754421230081</v>
      </c>
      <c r="G10" s="79">
        <f t="shared" si="3"/>
        <v>465195.83</v>
      </c>
      <c r="H10" s="13">
        <v>10</v>
      </c>
      <c r="I10" s="79">
        <f t="shared" si="4"/>
        <v>46519.582999999999</v>
      </c>
      <c r="J10" s="79">
        <f t="shared" si="5"/>
        <v>3876.6319166666667</v>
      </c>
      <c r="K10" s="79">
        <f t="shared" si="6"/>
        <v>5493.4073587896746</v>
      </c>
    </row>
    <row r="11" spans="1:11" x14ac:dyDescent="0.25">
      <c r="A11" t="s">
        <v>48</v>
      </c>
      <c r="B11" s="195">
        <v>213288.92</v>
      </c>
      <c r="C11" s="94">
        <f t="shared" si="0"/>
        <v>0.68369956225891737</v>
      </c>
      <c r="D11" s="95">
        <v>6.0999999999999999E-2</v>
      </c>
      <c r="E11" s="79">
        <f t="shared" si="1"/>
        <v>8895.3580155593118</v>
      </c>
      <c r="F11" s="79">
        <f t="shared" si="2"/>
        <v>741.27983462994268</v>
      </c>
      <c r="G11" s="79">
        <f t="shared" si="3"/>
        <v>213288.92</v>
      </c>
      <c r="H11" s="13">
        <v>5</v>
      </c>
      <c r="I11" s="79">
        <f t="shared" si="4"/>
        <v>42657.784</v>
      </c>
      <c r="J11" s="79">
        <f t="shared" si="5"/>
        <v>3554.8153333333335</v>
      </c>
      <c r="K11" s="79">
        <f t="shared" si="6"/>
        <v>4296.0951679632763</v>
      </c>
    </row>
    <row r="12" spans="1:11" x14ac:dyDescent="0.25">
      <c r="A12" t="s">
        <v>41</v>
      </c>
      <c r="B12" s="195">
        <v>198048.19</v>
      </c>
      <c r="C12" s="94">
        <f t="shared" si="0"/>
        <v>0.68369956225891737</v>
      </c>
      <c r="D12" s="95">
        <v>6.0999999999999999E-2</v>
      </c>
      <c r="E12" s="79">
        <f t="shared" si="1"/>
        <v>8259.7331093594257</v>
      </c>
      <c r="F12" s="79">
        <f t="shared" si="2"/>
        <v>688.31109244661877</v>
      </c>
      <c r="G12" s="79">
        <f t="shared" si="3"/>
        <v>198048.19</v>
      </c>
      <c r="H12" s="13">
        <v>4</v>
      </c>
      <c r="I12" s="79">
        <f t="shared" si="4"/>
        <v>49512.047500000001</v>
      </c>
      <c r="J12" s="79">
        <f t="shared" si="5"/>
        <v>4126.0039583333337</v>
      </c>
      <c r="K12" s="79">
        <f t="shared" si="6"/>
        <v>4814.3150507799528</v>
      </c>
    </row>
    <row r="13" spans="1:11" x14ac:dyDescent="0.25">
      <c r="A13" t="s">
        <v>31</v>
      </c>
      <c r="B13" s="195">
        <v>935387.5</v>
      </c>
      <c r="C13" s="94">
        <f t="shared" si="0"/>
        <v>0.68369956225891737</v>
      </c>
      <c r="D13" s="95">
        <v>6.0999999999999999E-2</v>
      </c>
      <c r="E13" s="79">
        <f t="shared" si="1"/>
        <v>39010.965481840249</v>
      </c>
      <c r="F13" s="79">
        <f t="shared" si="2"/>
        <v>3250.9137901533541</v>
      </c>
      <c r="G13" s="79">
        <f t="shared" si="3"/>
        <v>935387.5</v>
      </c>
      <c r="H13" s="13">
        <v>10</v>
      </c>
      <c r="I13" s="79">
        <f t="shared" si="4"/>
        <v>93538.75</v>
      </c>
      <c r="J13" s="79">
        <f t="shared" si="5"/>
        <v>7794.895833333333</v>
      </c>
      <c r="K13" s="79">
        <f t="shared" si="6"/>
        <v>11045.809623486686</v>
      </c>
    </row>
    <row r="14" spans="1:11" x14ac:dyDescent="0.25">
      <c r="B14" s="120"/>
    </row>
    <row r="15" spans="1:11" x14ac:dyDescent="0.25">
      <c r="B15" s="121">
        <f>SUM(B8:B13)</f>
        <v>2855213.62</v>
      </c>
      <c r="D15" s="183">
        <f>AVERAGE(D8:D13)</f>
        <v>6.0999999999999999E-2</v>
      </c>
      <c r="E15" s="14">
        <f>SUM(E8:E13)</f>
        <v>119078.60643113163</v>
      </c>
      <c r="F15" s="22">
        <f>SUM(F8:F13)</f>
        <v>9923.2172025943037</v>
      </c>
      <c r="G15" s="14">
        <f>SUM(G8:G13)</f>
        <v>2855213.62</v>
      </c>
      <c r="I15" s="14">
        <f>SUM(I8:I13)</f>
        <v>406110.36116666661</v>
      </c>
      <c r="J15" s="22">
        <f>SUM(J8:J13)</f>
        <v>33842.530097222225</v>
      </c>
      <c r="K15" s="22">
        <f>SUM(K8:K13)</f>
        <v>43765.747299816518</v>
      </c>
    </row>
    <row r="22" spans="1:11" x14ac:dyDescent="0.25">
      <c r="A22" s="16" t="s">
        <v>56</v>
      </c>
    </row>
    <row r="23" spans="1:11" x14ac:dyDescent="0.25">
      <c r="D23" s="19" t="s">
        <v>54</v>
      </c>
      <c r="I23" s="21" t="s">
        <v>55</v>
      </c>
    </row>
    <row r="25" spans="1:11" x14ac:dyDescent="0.25">
      <c r="B25" s="9" t="s">
        <v>42</v>
      </c>
      <c r="C25" s="4" t="s">
        <v>44</v>
      </c>
      <c r="D25" s="4" t="s">
        <v>43</v>
      </c>
      <c r="E25" s="9" t="s">
        <v>50</v>
      </c>
      <c r="F25" s="9" t="s">
        <v>51</v>
      </c>
      <c r="G25" s="9" t="s">
        <v>42</v>
      </c>
      <c r="H25" s="4" t="s">
        <v>49</v>
      </c>
      <c r="I25" s="9" t="s">
        <v>50</v>
      </c>
      <c r="J25" s="9" t="s">
        <v>51</v>
      </c>
      <c r="K25" s="9" t="s">
        <v>52</v>
      </c>
    </row>
    <row r="26" spans="1:11" x14ac:dyDescent="0.25">
      <c r="B26" s="10"/>
      <c r="C26" s="3" t="s">
        <v>45</v>
      </c>
      <c r="D26" s="3" t="s">
        <v>117</v>
      </c>
      <c r="E26" s="10" t="s">
        <v>145</v>
      </c>
      <c r="F26" s="10" t="s">
        <v>145</v>
      </c>
      <c r="G26" s="10"/>
      <c r="H26" s="3" t="s">
        <v>53</v>
      </c>
      <c r="I26" s="10"/>
      <c r="J26" s="10"/>
      <c r="K26" s="10" t="s">
        <v>50</v>
      </c>
    </row>
    <row r="27" spans="1:11" x14ac:dyDescent="0.25">
      <c r="B27" s="11"/>
      <c r="C27" s="1"/>
      <c r="D27" s="1"/>
      <c r="E27" s="11"/>
      <c r="F27" s="11"/>
      <c r="G27" s="11"/>
      <c r="H27" s="1"/>
    </row>
    <row r="28" spans="1:11" x14ac:dyDescent="0.25">
      <c r="A28" t="s">
        <v>46</v>
      </c>
      <c r="B28" s="12">
        <v>35414.050000000003</v>
      </c>
      <c r="C28" s="94">
        <f>$D$48</f>
        <v>0.68369956225891737</v>
      </c>
      <c r="D28" s="95">
        <f>+D15</f>
        <v>6.0999999999999999E-2</v>
      </c>
      <c r="E28" s="79">
        <f>B28*C28*D28</f>
        <v>1476.9667994517404</v>
      </c>
      <c r="F28" s="79">
        <f>E28/12</f>
        <v>123.08056662097836</v>
      </c>
      <c r="G28" s="79">
        <f>B28</f>
        <v>35414.050000000003</v>
      </c>
      <c r="H28" s="13">
        <v>6</v>
      </c>
      <c r="I28" s="79">
        <f>G28/H28</f>
        <v>5902.3416666666672</v>
      </c>
      <c r="J28" s="79">
        <f>I28/12</f>
        <v>491.86180555555558</v>
      </c>
      <c r="K28" s="12">
        <f>F28+J28</f>
        <v>614.94237217653392</v>
      </c>
    </row>
    <row r="30" spans="1:11" x14ac:dyDescent="0.25">
      <c r="B30" s="14">
        <f>SUM(B28:B28)</f>
        <v>35414.050000000003</v>
      </c>
      <c r="E30" s="14">
        <f>SUM(E28:E28)</f>
        <v>1476.9667994517404</v>
      </c>
      <c r="F30" s="22">
        <f>SUM(F28:F28)</f>
        <v>123.08056662097836</v>
      </c>
      <c r="G30" s="14">
        <f>SUM(G28:G28)</f>
        <v>35414.050000000003</v>
      </c>
      <c r="I30" s="14">
        <f>SUM(I28:I28)</f>
        <v>5902.3416666666672</v>
      </c>
      <c r="J30" s="22">
        <f>SUM(J28:J28)</f>
        <v>491.86180555555558</v>
      </c>
      <c r="K30" s="22">
        <f>SUM(K28:K28)</f>
        <v>614.94237217653392</v>
      </c>
    </row>
    <row r="32" spans="1:11" x14ac:dyDescent="0.25">
      <c r="A32" s="16" t="s">
        <v>222</v>
      </c>
    </row>
    <row r="33" spans="1:23" x14ac:dyDescent="0.25">
      <c r="D33" s="19" t="s">
        <v>54</v>
      </c>
      <c r="I33" s="21" t="s">
        <v>55</v>
      </c>
    </row>
    <row r="35" spans="1:23" x14ac:dyDescent="0.25">
      <c r="B35" s="9" t="s">
        <v>42</v>
      </c>
      <c r="C35" s="4" t="s">
        <v>44</v>
      </c>
      <c r="D35" s="4" t="s">
        <v>43</v>
      </c>
      <c r="E35" s="9" t="s">
        <v>50</v>
      </c>
      <c r="F35" s="9" t="s">
        <v>51</v>
      </c>
      <c r="G35" s="9" t="s">
        <v>42</v>
      </c>
      <c r="H35" s="4" t="s">
        <v>49</v>
      </c>
      <c r="I35" s="9" t="s">
        <v>50</v>
      </c>
      <c r="J35" s="9" t="s">
        <v>51</v>
      </c>
      <c r="K35" s="9" t="s">
        <v>52</v>
      </c>
    </row>
    <row r="36" spans="1:23" x14ac:dyDescent="0.25">
      <c r="B36" s="10"/>
      <c r="C36" s="3" t="s">
        <v>45</v>
      </c>
      <c r="D36" s="3" t="s">
        <v>117</v>
      </c>
      <c r="E36" s="10" t="s">
        <v>145</v>
      </c>
      <c r="F36" s="10" t="s">
        <v>145</v>
      </c>
      <c r="G36" s="10"/>
      <c r="H36" s="3" t="s">
        <v>53</v>
      </c>
      <c r="I36" s="10"/>
      <c r="J36" s="10"/>
      <c r="K36" s="10" t="s">
        <v>50</v>
      </c>
    </row>
    <row r="37" spans="1:23" x14ac:dyDescent="0.25">
      <c r="B37" s="11"/>
      <c r="C37" s="1"/>
      <c r="D37" s="1"/>
      <c r="E37" s="11"/>
      <c r="F37" s="11"/>
      <c r="G37" s="11"/>
      <c r="H37" s="1"/>
    </row>
    <row r="38" spans="1:23" x14ac:dyDescent="0.25">
      <c r="A38" t="s">
        <v>46</v>
      </c>
      <c r="B38" s="12">
        <v>60343.12</v>
      </c>
      <c r="C38" s="94">
        <f>$D$48</f>
        <v>0.68369956225891737</v>
      </c>
      <c r="D38" s="95">
        <f>+D15</f>
        <v>6.0999999999999999E-2</v>
      </c>
      <c r="E38" s="79">
        <f>B38*C38*D38</f>
        <v>2516.6504484895768</v>
      </c>
      <c r="F38" s="79">
        <f>E38/12</f>
        <v>209.72087070746474</v>
      </c>
      <c r="G38" s="79">
        <f>B38</f>
        <v>60343.12</v>
      </c>
      <c r="H38" s="13" t="s">
        <v>235</v>
      </c>
      <c r="I38" s="79">
        <f>+G38</f>
        <v>60343.12</v>
      </c>
      <c r="J38" s="79">
        <v>1418.22</v>
      </c>
      <c r="K38" s="12">
        <f>F38+J38</f>
        <v>1627.9408707074647</v>
      </c>
    </row>
    <row r="40" spans="1:23" x14ac:dyDescent="0.25">
      <c r="B40" s="14">
        <f>SUM(B38:B38)</f>
        <v>60343.12</v>
      </c>
      <c r="E40" s="14">
        <f>SUM(E38:E38)</f>
        <v>2516.6504484895768</v>
      </c>
      <c r="F40" s="22">
        <f>SUM(F38:F38)</f>
        <v>209.72087070746474</v>
      </c>
      <c r="G40" s="14">
        <f>SUM(G38:G38)</f>
        <v>60343.12</v>
      </c>
      <c r="I40" s="14">
        <f>SUM(I38:I38)</f>
        <v>60343.12</v>
      </c>
      <c r="J40" s="22">
        <f>SUM(J38:J38)</f>
        <v>1418.22</v>
      </c>
      <c r="K40" s="22">
        <f>SUM(K38:K38)</f>
        <v>1627.9408707074647</v>
      </c>
    </row>
    <row r="42" spans="1:23" x14ac:dyDescent="0.25">
      <c r="N42" t="s">
        <v>224</v>
      </c>
    </row>
    <row r="43" spans="1:23" x14ac:dyDescent="0.25">
      <c r="N43" t="s">
        <v>225</v>
      </c>
      <c r="O43" t="s">
        <v>226</v>
      </c>
      <c r="P43" t="s">
        <v>227</v>
      </c>
      <c r="R43" t="s">
        <v>228</v>
      </c>
      <c r="S43" t="s">
        <v>229</v>
      </c>
      <c r="T43">
        <v>2021</v>
      </c>
      <c r="U43">
        <v>44319</v>
      </c>
      <c r="V43">
        <v>60</v>
      </c>
      <c r="W43" s="102">
        <v>4500</v>
      </c>
    </row>
    <row r="44" spans="1:23" x14ac:dyDescent="0.25">
      <c r="N44" t="s">
        <v>225</v>
      </c>
      <c r="O44" t="s">
        <v>226</v>
      </c>
      <c r="P44" t="s">
        <v>230</v>
      </c>
      <c r="R44" t="s">
        <v>228</v>
      </c>
      <c r="S44" t="s">
        <v>231</v>
      </c>
      <c r="T44">
        <v>2021</v>
      </c>
      <c r="U44">
        <v>44319</v>
      </c>
      <c r="V44">
        <v>60</v>
      </c>
      <c r="W44" s="102">
        <v>12000</v>
      </c>
    </row>
    <row r="45" spans="1:23" x14ac:dyDescent="0.25">
      <c r="C45" s="4" t="s">
        <v>44</v>
      </c>
      <c r="N45" t="s">
        <v>225</v>
      </c>
      <c r="O45" t="s">
        <v>232</v>
      </c>
      <c r="P45" t="s">
        <v>233</v>
      </c>
      <c r="R45" t="s">
        <v>228</v>
      </c>
      <c r="S45" t="s">
        <v>234</v>
      </c>
      <c r="T45">
        <v>2021</v>
      </c>
      <c r="U45">
        <v>44351</v>
      </c>
      <c r="V45">
        <v>60</v>
      </c>
      <c r="W45" s="102">
        <v>43843.12</v>
      </c>
    </row>
    <row r="46" spans="1:23" x14ac:dyDescent="0.25">
      <c r="C46" s="3" t="s">
        <v>45</v>
      </c>
      <c r="W46" s="102">
        <f>SUM(W43:W45)</f>
        <v>60343.12</v>
      </c>
    </row>
    <row r="47" spans="1:23" ht="15.75" thickBot="1" x14ac:dyDescent="0.3"/>
    <row r="48" spans="1:23" x14ac:dyDescent="0.25">
      <c r="A48" s="196"/>
      <c r="B48" s="197" t="s">
        <v>185</v>
      </c>
      <c r="C48" s="198">
        <f>492+6852+(1087*0.5)</f>
        <v>7887.5</v>
      </c>
      <c r="D48" s="199">
        <f>C48/C50</f>
        <v>0.68369956225891737</v>
      </c>
      <c r="E48" s="198" t="s">
        <v>239</v>
      </c>
      <c r="F48" s="198"/>
      <c r="G48" s="200"/>
    </row>
    <row r="49" spans="1:7" x14ac:dyDescent="0.25">
      <c r="A49" s="201"/>
      <c r="B49" s="202" t="s">
        <v>184</v>
      </c>
      <c r="C49" s="203">
        <v>3649</v>
      </c>
      <c r="D49" s="204">
        <f>C49/C50</f>
        <v>0.31630043774108263</v>
      </c>
      <c r="E49" s="203" t="s">
        <v>239</v>
      </c>
      <c r="F49" s="203"/>
      <c r="G49" s="205"/>
    </row>
    <row r="50" spans="1:7" ht="15.75" thickBot="1" x14ac:dyDescent="0.3">
      <c r="A50" s="206"/>
      <c r="B50" s="207"/>
      <c r="C50" s="208">
        <f>C48+C49</f>
        <v>11536.5</v>
      </c>
      <c r="D50" s="209"/>
      <c r="E50" s="207"/>
      <c r="F50" s="207"/>
      <c r="G50" s="210"/>
    </row>
  </sheetData>
  <pageMargins left="0.7" right="0.7" top="0.75" bottom="0.75" header="0.3" footer="0.3"/>
  <pageSetup scale="7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9675-4C7E-494F-B7E0-BC0873C91D2B}">
  <sheetPr>
    <pageSetUpPr fitToPage="1"/>
  </sheetPr>
  <dimension ref="A2:L22"/>
  <sheetViews>
    <sheetView zoomScale="90" zoomScaleNormal="90" workbookViewId="0">
      <selection activeCell="O18" sqref="O1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'2022 NUC Rent'!D25</f>
        <v>0.7855011155173548</v>
      </c>
      <c r="D8" s="95">
        <v>5.0200000000000002E-2</v>
      </c>
      <c r="E8" s="79">
        <f>B8*C8*D8</f>
        <v>50789.161879070831</v>
      </c>
      <c r="F8" s="79">
        <f>E8/12</f>
        <v>4232.4301565892356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ROUNDUP(F8+J8,0)</f>
        <v>7206</v>
      </c>
    </row>
    <row r="10" spans="1:12" x14ac:dyDescent="0.25">
      <c r="B10" s="14">
        <f>SUM(B8:B8)</f>
        <v>1288013.82</v>
      </c>
      <c r="E10" s="14">
        <f>SUM(E8:E8)</f>
        <v>50789.161879070831</v>
      </c>
      <c r="F10" s="22">
        <f>SUM(F8:F8)</f>
        <v>4232.4301565892356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7206</v>
      </c>
    </row>
    <row r="12" spans="1:12" x14ac:dyDescent="0.25">
      <c r="H12" s="213" t="s">
        <v>219</v>
      </c>
    </row>
    <row r="13" spans="1:12" x14ac:dyDescent="0.25">
      <c r="I13"/>
      <c r="J13" t="s">
        <v>194</v>
      </c>
      <c r="K13" s="8" t="s">
        <v>51</v>
      </c>
      <c r="L13" t="s">
        <v>168</v>
      </c>
    </row>
    <row r="14" spans="1:12" x14ac:dyDescent="0.25">
      <c r="B14" s="24"/>
      <c r="I14" s="11" t="s">
        <v>12</v>
      </c>
      <c r="J14" s="237">
        <f>+'2022 Allocation Source'!E14</f>
        <v>0.20116512685746182</v>
      </c>
      <c r="K14" s="214">
        <f>ROUNDUP(J14*K$10,0)</f>
        <v>1450</v>
      </c>
      <c r="L14" s="215">
        <f>+K14*12</f>
        <v>17400</v>
      </c>
    </row>
    <row r="15" spans="1:12" x14ac:dyDescent="0.25">
      <c r="B15" s="11"/>
      <c r="D15" s="25"/>
      <c r="I15" s="11" t="s">
        <v>11</v>
      </c>
      <c r="J15" s="237">
        <f>+'2022 Allocation Source'!D14</f>
        <v>9.3688170128641612E-2</v>
      </c>
      <c r="K15" s="214">
        <f t="shared" ref="K15:K17" si="0">ROUNDUP(J15*K$10,0)</f>
        <v>676</v>
      </c>
      <c r="L15" s="215">
        <f t="shared" ref="L15:L18" si="1">+K15*12</f>
        <v>8112</v>
      </c>
    </row>
    <row r="16" spans="1:12" x14ac:dyDescent="0.25">
      <c r="B16" s="11"/>
      <c r="D16" s="25"/>
      <c r="I16" s="11" t="s">
        <v>10</v>
      </c>
      <c r="J16" s="237">
        <f>+'2022 Allocation Source'!C14</f>
        <v>0.68284281934590729</v>
      </c>
      <c r="K16" s="214">
        <f t="shared" si="0"/>
        <v>4921</v>
      </c>
      <c r="L16" s="215">
        <f t="shared" si="1"/>
        <v>59052</v>
      </c>
    </row>
    <row r="17" spans="2:12" x14ac:dyDescent="0.25">
      <c r="B17" s="11"/>
      <c r="D17" s="25"/>
      <c r="I17" s="11" t="s">
        <v>123</v>
      </c>
      <c r="J17" s="237">
        <f>+'2022 Allocation Source'!F14</f>
        <v>2.2303883667989223E-2</v>
      </c>
      <c r="K17" s="214">
        <f t="shared" si="0"/>
        <v>161</v>
      </c>
      <c r="L17" s="215">
        <f t="shared" si="1"/>
        <v>1932</v>
      </c>
    </row>
    <row r="18" spans="2:12" x14ac:dyDescent="0.25">
      <c r="B18" s="11"/>
      <c r="D18" s="25"/>
      <c r="H18" s="8"/>
      <c r="I18" s="80"/>
      <c r="J18" s="5">
        <f>SUM(J14:J17)</f>
        <v>0.99999999999999989</v>
      </c>
      <c r="K18" s="121">
        <f>SUM(K14:K17)</f>
        <v>7208</v>
      </c>
      <c r="L18" s="106">
        <f t="shared" si="1"/>
        <v>86496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9" orientation="landscape" r:id="rId1"/>
  <headerFooter>
    <oddFooter>&amp;L&amp;Z&amp;F&amp;R&amp;D&amp;T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34"/>
  <sheetViews>
    <sheetView zoomScaleNormal="100" workbookViewId="0">
      <selection activeCell="U17" sqref="U17"/>
    </sheetView>
  </sheetViews>
  <sheetFormatPr defaultRowHeight="15" x14ac:dyDescent="0.25"/>
  <cols>
    <col min="1" max="3" width="1.42578125" customWidth="1"/>
    <col min="4" max="4" width="26.5703125" customWidth="1"/>
    <col min="5" max="5" width="1.42578125" customWidth="1"/>
    <col min="6" max="6" width="13.28515625" customWidth="1"/>
    <col min="7" max="7" width="1.42578125" customWidth="1"/>
    <col min="8" max="8" width="13.28515625" customWidth="1"/>
    <col min="9" max="9" width="1.42578125" customWidth="1"/>
    <col min="10" max="10" width="13.28515625" customWidth="1"/>
    <col min="11" max="11" width="1.42578125" customWidth="1"/>
    <col min="12" max="12" width="13.28515625" customWidth="1"/>
    <col min="13" max="13" width="1.42578125" customWidth="1"/>
    <col min="14" max="14" width="13.28515625" customWidth="1"/>
    <col min="15" max="15" width="3.5703125" customWidth="1"/>
    <col min="18" max="18" width="11.140625" customWidth="1"/>
    <col min="20" max="20" width="11.7109375" customWidth="1"/>
    <col min="21" max="21" width="9.140625" customWidth="1"/>
    <col min="22" max="22" width="11.85546875" customWidth="1"/>
    <col min="24" max="24" width="11.7109375" bestFit="1" customWidth="1"/>
    <col min="25" max="25" width="11.5703125" bestFit="1" customWidth="1"/>
  </cols>
  <sheetData>
    <row r="1" spans="1:21" x14ac:dyDescent="0.25">
      <c r="A1" s="16" t="s">
        <v>95</v>
      </c>
      <c r="F1" s="20" t="str">
        <f>+'Commodity OK'!H2</f>
        <v>Data Input Jan.23 billing = Jan invoices = Dec Flow  data= Dec Sales Volume</v>
      </c>
      <c r="G1" s="16"/>
      <c r="H1" s="16"/>
      <c r="I1" s="16"/>
      <c r="J1" s="16"/>
      <c r="K1" s="16"/>
      <c r="L1" s="16"/>
    </row>
    <row r="2" spans="1:21" x14ac:dyDescent="0.25">
      <c r="H2" s="18"/>
      <c r="I2" s="18"/>
      <c r="J2" s="17" t="s">
        <v>9</v>
      </c>
      <c r="K2" s="18"/>
      <c r="L2" s="18"/>
      <c r="M2" s="18"/>
      <c r="N2" s="18"/>
      <c r="O2" s="16"/>
      <c r="Q2" s="77" t="s">
        <v>144</v>
      </c>
    </row>
    <row r="3" spans="1:21" x14ac:dyDescent="0.25">
      <c r="A3" s="16" t="s">
        <v>97</v>
      </c>
      <c r="H3" s="19" t="s">
        <v>12</v>
      </c>
      <c r="I3" s="19"/>
      <c r="J3" s="19" t="s">
        <v>11</v>
      </c>
      <c r="K3" s="19"/>
      <c r="L3" s="19" t="s">
        <v>10</v>
      </c>
      <c r="M3" s="19"/>
      <c r="N3" s="19" t="s">
        <v>123</v>
      </c>
      <c r="O3" s="19"/>
      <c r="P3" s="2" t="s">
        <v>301</v>
      </c>
      <c r="Q3" s="2"/>
      <c r="R3" s="2"/>
    </row>
    <row r="4" spans="1:21" x14ac:dyDescent="0.25">
      <c r="F4" s="17" t="s">
        <v>8</v>
      </c>
      <c r="H4" s="1"/>
      <c r="J4" s="1"/>
      <c r="L4" s="1"/>
      <c r="N4" s="1"/>
      <c r="P4" s="244" t="s">
        <v>12</v>
      </c>
      <c r="Q4" s="244"/>
      <c r="R4" s="151">
        <f>'2023 Allocation Source'!E14</f>
        <v>0.19790296305734764</v>
      </c>
      <c r="S4" s="151"/>
      <c r="T4" s="151"/>
    </row>
    <row r="5" spans="1:21" x14ac:dyDescent="0.25">
      <c r="P5" s="243" t="s">
        <v>11</v>
      </c>
      <c r="Q5" s="243"/>
      <c r="R5" s="151">
        <f>'2023 Allocation Source'!D14</f>
        <v>9.3013577937375497E-2</v>
      </c>
      <c r="S5" s="7"/>
      <c r="T5" s="151"/>
    </row>
    <row r="6" spans="1:21" x14ac:dyDescent="0.25">
      <c r="B6" s="54" t="s">
        <v>13</v>
      </c>
      <c r="C6" s="54"/>
      <c r="D6" s="54"/>
      <c r="F6" s="112">
        <v>0</v>
      </c>
      <c r="G6" s="8"/>
      <c r="H6" s="79">
        <f>F6*R$4</f>
        <v>0</v>
      </c>
      <c r="I6" s="8"/>
      <c r="J6" s="79">
        <f>F6*R$5</f>
        <v>0</v>
      </c>
      <c r="K6" s="8"/>
      <c r="L6" s="79">
        <f>F6*R$6</f>
        <v>0</v>
      </c>
      <c r="M6" s="8"/>
      <c r="N6" s="79">
        <f>F6*R$7</f>
        <v>0</v>
      </c>
      <c r="O6" s="8"/>
      <c r="P6" s="243" t="s">
        <v>10</v>
      </c>
      <c r="Q6" s="243"/>
      <c r="R6" s="151">
        <f>'2023 Allocation Source'!C14</f>
        <v>0.68680633284208359</v>
      </c>
      <c r="S6" s="7"/>
      <c r="T6" s="151"/>
    </row>
    <row r="7" spans="1:21" x14ac:dyDescent="0.25">
      <c r="B7" t="s">
        <v>17</v>
      </c>
      <c r="F7" s="112">
        <f>10239.22-SUM('Direct Charges'!F25:F28)</f>
        <v>4709.4799999999987</v>
      </c>
      <c r="G7" s="8"/>
      <c r="H7" s="79">
        <f>F7*R$4</f>
        <v>932.02004645931731</v>
      </c>
      <c r="I7" s="8"/>
      <c r="J7" s="79">
        <f>F7*R$5</f>
        <v>438.04558502451101</v>
      </c>
      <c r="K7" s="8"/>
      <c r="L7" s="79">
        <f>F7*R$6</f>
        <v>3234.5006883931351</v>
      </c>
      <c r="M7" s="8"/>
      <c r="N7" s="79">
        <f>F7*R$7</f>
        <v>104.91368012303543</v>
      </c>
      <c r="O7" s="8"/>
      <c r="P7" s="243" t="s">
        <v>123</v>
      </c>
      <c r="Q7" s="243"/>
      <c r="R7" s="152">
        <f>'2023 Allocation Source'!F14</f>
        <v>2.2277126163193276E-2</v>
      </c>
      <c r="S7" s="7"/>
      <c r="T7" s="151"/>
    </row>
    <row r="8" spans="1:21" x14ac:dyDescent="0.25">
      <c r="B8" s="54" t="s">
        <v>15</v>
      </c>
      <c r="C8" s="54"/>
      <c r="D8" s="54"/>
      <c r="F8" s="112">
        <v>10896.05</v>
      </c>
      <c r="G8" s="8"/>
      <c r="H8" s="79">
        <f t="shared" ref="H8:H19" si="0">F8*R$4</f>
        <v>2156.3605806210126</v>
      </c>
      <c r="I8" s="8"/>
      <c r="J8" s="79">
        <f>F8*R$5</f>
        <v>1013.4805958845402</v>
      </c>
      <c r="K8" s="8"/>
      <c r="L8" s="79">
        <f>F8*R$6</f>
        <v>7483.4761429639848</v>
      </c>
      <c r="M8" s="8"/>
      <c r="N8" s="79">
        <f>F8*R$7</f>
        <v>242.73268053046209</v>
      </c>
      <c r="O8" s="8"/>
      <c r="R8" s="151">
        <f>SUM(R4:R7)</f>
        <v>1</v>
      </c>
      <c r="S8" s="7"/>
      <c r="T8" s="151"/>
      <c r="U8" s="73"/>
    </row>
    <row r="9" spans="1:21" x14ac:dyDescent="0.25">
      <c r="B9" t="s">
        <v>18</v>
      </c>
      <c r="F9" s="112"/>
      <c r="G9" s="8"/>
      <c r="H9" s="79">
        <f t="shared" si="0"/>
        <v>0</v>
      </c>
      <c r="I9" s="8"/>
      <c r="J9" s="79">
        <f>F9*R$5</f>
        <v>0</v>
      </c>
      <c r="K9" s="8"/>
      <c r="L9" s="79">
        <f>F9*R$6</f>
        <v>0</v>
      </c>
      <c r="M9" s="8"/>
      <c r="N9" s="79">
        <f>F9*R$7</f>
        <v>0</v>
      </c>
      <c r="O9" s="8"/>
      <c r="U9" s="73"/>
    </row>
    <row r="10" spans="1:21" x14ac:dyDescent="0.25">
      <c r="B10" s="54" t="s">
        <v>19</v>
      </c>
      <c r="C10" s="54"/>
      <c r="D10" s="54"/>
      <c r="F10" s="112">
        <v>84899.3</v>
      </c>
      <c r="G10" s="8"/>
      <c r="H10" s="79">
        <f>IF(N10=2000,(F10-N10)*(R4/(R8-R7)),(F10*R4))</f>
        <v>16779.823347078953</v>
      </c>
      <c r="I10" s="8"/>
      <c r="J10" s="83">
        <f>IF(N10=2000,(F10-N10)*(R5/(R8-R7)),(F10*R5))</f>
        <v>7886.4478962684971</v>
      </c>
      <c r="K10" s="8"/>
      <c r="L10" s="83">
        <f>IF(N10=2000,(F10-N10)*(R6/(R8-R7)),(F10*R6))</f>
        <v>58233.028756652551</v>
      </c>
      <c r="M10" s="8"/>
      <c r="N10" s="83">
        <f>IF((F10*R$7&lt;2000),(2000),F10*R$7)</f>
        <v>2000</v>
      </c>
      <c r="O10" s="8"/>
      <c r="P10" s="8"/>
      <c r="Q10" s="8"/>
      <c r="U10" s="73"/>
    </row>
    <row r="11" spans="1:21" x14ac:dyDescent="0.25">
      <c r="B11" t="s">
        <v>20</v>
      </c>
      <c r="F11" s="112">
        <f>20102.44-SUM('Direct Charges'!F35:F40)</f>
        <v>16228.619999999999</v>
      </c>
      <c r="G11" s="8"/>
      <c r="H11" s="79">
        <f t="shared" si="0"/>
        <v>3211.6919843317328</v>
      </c>
      <c r="I11" s="8"/>
      <c r="J11" s="79">
        <f>F11*R$5</f>
        <v>1509.4820111860506</v>
      </c>
      <c r="K11" s="8"/>
      <c r="L11" s="79">
        <f>F11*R$6</f>
        <v>11145.918989287693</v>
      </c>
      <c r="M11" s="8"/>
      <c r="N11" s="79">
        <f>F11*R$7</f>
        <v>361.52701519452165</v>
      </c>
      <c r="O11" s="8"/>
      <c r="U11" s="73"/>
    </row>
    <row r="12" spans="1:21" x14ac:dyDescent="0.25">
      <c r="B12" t="s">
        <v>21</v>
      </c>
      <c r="F12" s="156">
        <f>40599.72-SUM('Direct Charges'!F43:F46)</f>
        <v>11917.840000000004</v>
      </c>
      <c r="G12" s="8"/>
      <c r="H12" s="79">
        <f t="shared" si="0"/>
        <v>2358.5758492433806</v>
      </c>
      <c r="I12" s="8"/>
      <c r="J12" s="79">
        <f>F12*R$5</f>
        <v>1108.5209396851715</v>
      </c>
      <c r="K12" s="8"/>
      <c r="L12" s="79">
        <f>F12*R$6</f>
        <v>8185.2479857987</v>
      </c>
      <c r="M12" s="8"/>
      <c r="N12" s="79">
        <f>F12*R$7</f>
        <v>265.49522527275144</v>
      </c>
      <c r="O12" s="8"/>
    </row>
    <row r="13" spans="1:21" x14ac:dyDescent="0.25">
      <c r="B13" t="s">
        <v>25</v>
      </c>
      <c r="F13" s="112">
        <v>11655.64</v>
      </c>
      <c r="G13" s="8"/>
      <c r="H13" s="79">
        <f t="shared" si="0"/>
        <v>2306.6856923297432</v>
      </c>
      <c r="I13" s="8"/>
      <c r="J13" s="79">
        <f>F13*R$5</f>
        <v>1084.1327795499913</v>
      </c>
      <c r="K13" s="8"/>
      <c r="L13" s="79">
        <f>F13*R$6</f>
        <v>8005.1673653275029</v>
      </c>
      <c r="M13" s="8"/>
      <c r="N13" s="79">
        <f>F13*R$7</f>
        <v>259.65416279276207</v>
      </c>
      <c r="O13" s="8"/>
    </row>
    <row r="14" spans="1:21" x14ac:dyDescent="0.25">
      <c r="B14" t="s">
        <v>26</v>
      </c>
      <c r="F14" s="112">
        <v>157.5</v>
      </c>
      <c r="G14" s="8"/>
      <c r="H14" s="79">
        <f>F14*R$4</f>
        <v>31.169716681532254</v>
      </c>
      <c r="I14" s="8"/>
      <c r="J14" s="79">
        <f>F14*R$5</f>
        <v>14.649638525136641</v>
      </c>
      <c r="K14" s="8"/>
      <c r="L14" s="79">
        <f>F14*R$6</f>
        <v>108.17199742262817</v>
      </c>
      <c r="M14" s="8"/>
      <c r="N14" s="79">
        <f>F14*R$7</f>
        <v>3.5086473707029411</v>
      </c>
      <c r="O14" s="8"/>
    </row>
    <row r="15" spans="1:21" x14ac:dyDescent="0.25">
      <c r="B15" t="s">
        <v>27</v>
      </c>
      <c r="F15" s="112">
        <v>19926.04</v>
      </c>
      <c r="G15" s="8"/>
      <c r="H15" s="79">
        <f>IF(N15=1000,(F15-N15)*(R4/(R8-R7)),(F15*R4))</f>
        <v>3830.8599452558728</v>
      </c>
      <c r="I15" s="8"/>
      <c r="J15" s="83">
        <f>IF(N15=1000,(F15-N15)*(R5/(R8-R7)),(F15*R5))</f>
        <v>1800.4884039152735</v>
      </c>
      <c r="K15" s="8"/>
      <c r="L15" s="83">
        <f>IF(N15=1000,(F15-N15)*(R6/(R8-R7)),(F15*R6))</f>
        <v>13294.691650828856</v>
      </c>
      <c r="M15" s="8"/>
      <c r="N15" s="83">
        <f>IF((F15*R$7&lt;1000),(1000),F15*R$7)</f>
        <v>1000</v>
      </c>
      <c r="O15" s="8"/>
      <c r="Q15" s="8"/>
    </row>
    <row r="16" spans="1:21" x14ac:dyDescent="0.25">
      <c r="B16" t="s">
        <v>203</v>
      </c>
      <c r="F16" s="112">
        <v>2356.35</v>
      </c>
      <c r="G16" s="8"/>
      <c r="H16" s="79">
        <v>0</v>
      </c>
      <c r="I16" s="8"/>
      <c r="J16" s="79">
        <v>0</v>
      </c>
      <c r="K16" s="8"/>
      <c r="L16" s="79">
        <f>+F16</f>
        <v>2356.35</v>
      </c>
      <c r="M16" s="8"/>
      <c r="N16" s="79">
        <v>0</v>
      </c>
      <c r="O16" s="8"/>
    </row>
    <row r="17" spans="1:19" x14ac:dyDescent="0.25">
      <c r="B17" t="s">
        <v>28</v>
      </c>
      <c r="F17" s="102">
        <v>0</v>
      </c>
      <c r="G17" s="8"/>
      <c r="H17" s="79">
        <f t="shared" si="0"/>
        <v>0</v>
      </c>
      <c r="I17" s="8"/>
      <c r="J17" s="79">
        <f>F17*R$5</f>
        <v>0</v>
      </c>
      <c r="K17" s="8"/>
      <c r="L17" s="79">
        <f>F17*R$6</f>
        <v>0</v>
      </c>
      <c r="M17" s="8"/>
      <c r="N17" s="79">
        <f>F17*R$7</f>
        <v>0</v>
      </c>
      <c r="O17" s="8"/>
    </row>
    <row r="18" spans="1:19" x14ac:dyDescent="0.25">
      <c r="B18" t="s">
        <v>29</v>
      </c>
      <c r="F18" s="112">
        <v>5961.58</v>
      </c>
      <c r="G18" s="8"/>
      <c r="H18" s="79">
        <f t="shared" si="0"/>
        <v>1179.8143465034225</v>
      </c>
      <c r="I18" s="8"/>
      <c r="J18" s="79">
        <f>F18*R$5</f>
        <v>554.507885959899</v>
      </c>
      <c r="K18" s="8"/>
      <c r="L18" s="79">
        <f>F18*R$6</f>
        <v>4094.4508977447085</v>
      </c>
      <c r="M18" s="8"/>
      <c r="N18" s="79">
        <f>F18*R$7</f>
        <v>132.80686979196977</v>
      </c>
      <c r="O18" s="8"/>
    </row>
    <row r="19" spans="1:19" x14ac:dyDescent="0.25">
      <c r="B19" t="s">
        <v>30</v>
      </c>
      <c r="F19" s="112">
        <v>6609.49</v>
      </c>
      <c r="G19" s="8"/>
      <c r="H19" s="79">
        <f t="shared" si="0"/>
        <v>1308.0376552979087</v>
      </c>
      <c r="I19" s="8"/>
      <c r="J19" s="79">
        <f>F19*R$5</f>
        <v>614.772313241304</v>
      </c>
      <c r="K19" s="8"/>
      <c r="L19" s="79">
        <f>F19*R$6</f>
        <v>4539.4395888564231</v>
      </c>
      <c r="M19" s="8"/>
      <c r="N19" s="79">
        <f>F19*R$7</f>
        <v>147.24044260436432</v>
      </c>
      <c r="O19" s="8"/>
      <c r="R19" t="s">
        <v>195</v>
      </c>
      <c r="S19" t="s">
        <v>193</v>
      </c>
    </row>
    <row r="20" spans="1:19" x14ac:dyDescent="0.25">
      <c r="F20" s="8"/>
      <c r="G20" s="8"/>
      <c r="H20" s="8"/>
      <c r="I20" s="8"/>
      <c r="J20" s="8"/>
      <c r="K20" s="8"/>
      <c r="L20" s="8"/>
      <c r="M20" s="8"/>
      <c r="N20" s="8"/>
      <c r="O20" s="8"/>
      <c r="P20" s="244" t="s">
        <v>12</v>
      </c>
      <c r="Q20" s="244"/>
      <c r="R20" s="150">
        <f>+F21*R4</f>
        <v>34695.929907962134</v>
      </c>
      <c r="S20" s="55">
        <f>+H21-R20</f>
        <v>-600.89074415926007</v>
      </c>
    </row>
    <row r="21" spans="1:19" x14ac:dyDescent="0.25">
      <c r="F21" s="84">
        <f>SUM(F6:F19)</f>
        <v>175317.88999999998</v>
      </c>
      <c r="G21" s="23"/>
      <c r="H21" s="84">
        <f>SUM(H6:H19)</f>
        <v>34095.039163802874</v>
      </c>
      <c r="I21" s="23"/>
      <c r="J21" s="84">
        <f>SUM(J6:J19)</f>
        <v>16024.528049240374</v>
      </c>
      <c r="K21" s="23"/>
      <c r="L21" s="84">
        <f>SUM(L6:L19)</f>
        <v>120680.4440632762</v>
      </c>
      <c r="M21" s="23"/>
      <c r="N21" s="84">
        <f>SUM(N6:N19)</f>
        <v>4517.8787236805692</v>
      </c>
      <c r="O21" s="23"/>
      <c r="P21" s="243" t="s">
        <v>11</v>
      </c>
      <c r="Q21" s="243"/>
      <c r="R21" s="150">
        <f>+F21*R5</f>
        <v>16306.944225331223</v>
      </c>
      <c r="S21" s="55">
        <f>+J21-R21</f>
        <v>-282.41617609084824</v>
      </c>
    </row>
    <row r="22" spans="1:19" x14ac:dyDescent="0.25">
      <c r="F22" s="6"/>
      <c r="G22" s="6"/>
      <c r="H22" s="6"/>
      <c r="I22" s="6"/>
      <c r="J22" s="6"/>
      <c r="K22" s="6"/>
      <c r="L22" s="6"/>
      <c r="M22" s="6"/>
      <c r="N22" s="6"/>
      <c r="O22" s="6"/>
      <c r="P22" s="243" t="s">
        <v>10</v>
      </c>
      <c r="Q22" s="243"/>
      <c r="R22" s="150">
        <f>+F21*R6</f>
        <v>120409.43711251179</v>
      </c>
      <c r="S22" s="55">
        <f>+L21-R22</f>
        <v>271.00695076440752</v>
      </c>
    </row>
    <row r="23" spans="1:19" x14ac:dyDescent="0.25">
      <c r="F23" s="6"/>
      <c r="G23" s="6"/>
      <c r="H23" s="6"/>
      <c r="I23" s="6"/>
      <c r="J23" s="6"/>
      <c r="K23" s="6"/>
      <c r="L23" s="6"/>
      <c r="M23" s="6"/>
      <c r="N23" s="6"/>
      <c r="O23" s="6"/>
      <c r="P23" s="243" t="s">
        <v>123</v>
      </c>
      <c r="Q23" s="243"/>
      <c r="R23" s="150">
        <f>+F21*R7</f>
        <v>3905.5787541948407</v>
      </c>
      <c r="S23" s="55">
        <f>+N21-R23</f>
        <v>612.29996948572852</v>
      </c>
    </row>
    <row r="24" spans="1:19" ht="15.75" thickBot="1" x14ac:dyDescent="0.3">
      <c r="F24" s="6"/>
      <c r="G24" s="6"/>
      <c r="H24" s="6"/>
      <c r="I24" s="6"/>
      <c r="J24" s="6"/>
      <c r="K24" s="6"/>
      <c r="L24" s="6"/>
      <c r="M24" s="6"/>
      <c r="N24" s="6"/>
      <c r="O24" s="6"/>
      <c r="R24" s="153">
        <f>SUM(R20:R23)</f>
        <v>175317.88999999998</v>
      </c>
      <c r="S24" s="153">
        <f>SUM(S20:S23)</f>
        <v>2.7739588404074311E-11</v>
      </c>
    </row>
    <row r="25" spans="1:19" ht="15.75" thickTop="1" x14ac:dyDescent="0.25">
      <c r="F25" s="6"/>
      <c r="G25" s="6"/>
      <c r="H25" s="6"/>
      <c r="I25" s="6"/>
      <c r="J25" s="6"/>
      <c r="K25" s="6"/>
      <c r="L25" s="6"/>
      <c r="M25" s="6"/>
      <c r="N25" s="6"/>
      <c r="O25" s="6"/>
      <c r="R25" s="150"/>
    </row>
    <row r="26" spans="1:19" x14ac:dyDescent="0.25">
      <c r="A26" s="16" t="s">
        <v>98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9" x14ac:dyDescent="0.25">
      <c r="B27" t="s">
        <v>46</v>
      </c>
      <c r="F27" s="79">
        <f>'2023 NUC Rent'!K8</f>
        <v>16647</v>
      </c>
      <c r="G27" s="6"/>
      <c r="H27" s="79">
        <f t="shared" ref="H27:H29" si="1">F27*R$4</f>
        <v>3294.4906260156663</v>
      </c>
      <c r="I27" s="8"/>
      <c r="J27" s="85">
        <f t="shared" ref="J27:J29" si="2">F27*R$5</f>
        <v>1548.39703192349</v>
      </c>
      <c r="K27" s="8"/>
      <c r="L27" s="79">
        <f t="shared" ref="L27:L29" si="3">F27*R$6</f>
        <v>11433.265022822165</v>
      </c>
      <c r="M27" s="8"/>
      <c r="N27" s="79">
        <f t="shared" ref="N27:N29" si="4">F27*R$7</f>
        <v>370.84731923867849</v>
      </c>
      <c r="O27" s="8"/>
    </row>
    <row r="28" spans="1:19" x14ac:dyDescent="0.25">
      <c r="B28" t="s">
        <v>32</v>
      </c>
      <c r="F28" s="79">
        <f>'2023 NUC Rent'!K9</f>
        <v>5483</v>
      </c>
      <c r="G28" s="6"/>
      <c r="H28" s="79">
        <f t="shared" si="1"/>
        <v>1085.1019464434371</v>
      </c>
      <c r="I28" s="8"/>
      <c r="J28" s="85">
        <f t="shared" si="2"/>
        <v>509.99344783062986</v>
      </c>
      <c r="K28" s="8"/>
      <c r="L28" s="79">
        <f t="shared" si="3"/>
        <v>3765.7591229731443</v>
      </c>
      <c r="M28" s="8"/>
      <c r="N28" s="79">
        <f t="shared" si="4"/>
        <v>122.14548275278874</v>
      </c>
      <c r="O28" s="8"/>
    </row>
    <row r="29" spans="1:19" x14ac:dyDescent="0.25">
      <c r="B29" t="s">
        <v>47</v>
      </c>
      <c r="F29" s="79">
        <f>'2023 NUC Rent'!K10</f>
        <v>8702</v>
      </c>
      <c r="G29" s="6"/>
      <c r="H29" s="79">
        <f t="shared" si="1"/>
        <v>1722.1515845250392</v>
      </c>
      <c r="I29" s="8"/>
      <c r="J29" s="85">
        <f t="shared" si="2"/>
        <v>809.4041552110416</v>
      </c>
      <c r="K29" s="8"/>
      <c r="L29" s="79">
        <f t="shared" si="3"/>
        <v>5976.5887083918115</v>
      </c>
      <c r="M29" s="8"/>
      <c r="N29" s="79">
        <f t="shared" si="4"/>
        <v>193.8555518721079</v>
      </c>
      <c r="O29" s="8"/>
    </row>
    <row r="30" spans="1:19" x14ac:dyDescent="0.25">
      <c r="B30" t="s">
        <v>48</v>
      </c>
      <c r="F30" s="79">
        <f>'2023 NUC Rent'!K11</f>
        <v>5247</v>
      </c>
      <c r="G30" s="6"/>
      <c r="H30" s="79">
        <f>F30*R$4</f>
        <v>1038.396847161903</v>
      </c>
      <c r="I30" s="8"/>
      <c r="J30" s="85">
        <f>F30*R$5</f>
        <v>488.04224343740924</v>
      </c>
      <c r="K30" s="8"/>
      <c r="L30" s="79">
        <f>F30*R$6</f>
        <v>3603.6728284224127</v>
      </c>
      <c r="M30" s="8"/>
      <c r="N30" s="79">
        <f>F30*R$7</f>
        <v>116.88808097827511</v>
      </c>
      <c r="O30" s="8"/>
    </row>
    <row r="31" spans="1:19" x14ac:dyDescent="0.25">
      <c r="B31" t="s">
        <v>41</v>
      </c>
      <c r="F31" s="79">
        <f>'2023 NUC Rent'!K12</f>
        <v>4957</v>
      </c>
      <c r="G31" s="6"/>
      <c r="H31" s="79">
        <f>F31*R$4</f>
        <v>981.00498787527226</v>
      </c>
      <c r="I31" s="8"/>
      <c r="J31" s="79">
        <f>F31*R$5</f>
        <v>461.06830583557036</v>
      </c>
      <c r="K31" s="8"/>
      <c r="L31" s="79">
        <f>F31*R$6</f>
        <v>3404.4989918982083</v>
      </c>
      <c r="M31" s="8"/>
      <c r="N31" s="79">
        <f>F31*R$7</f>
        <v>110.42771439094906</v>
      </c>
      <c r="O31" s="8"/>
    </row>
    <row r="32" spans="1:19" x14ac:dyDescent="0.25">
      <c r="B32" t="s">
        <v>31</v>
      </c>
      <c r="F32" s="79">
        <f>'2023 NUC Rent'!K13</f>
        <v>13753</v>
      </c>
      <c r="G32" s="6"/>
      <c r="H32" s="79">
        <f>F32*R$4</f>
        <v>2721.7594509277019</v>
      </c>
      <c r="I32" s="8"/>
      <c r="J32" s="79">
        <f>F32*R$5</f>
        <v>1279.2157373727252</v>
      </c>
      <c r="K32" s="8"/>
      <c r="L32" s="79">
        <f>F32*R$6</f>
        <v>9445.6474955771755</v>
      </c>
      <c r="M32" s="8"/>
      <c r="N32" s="79">
        <f>F32*R$7</f>
        <v>306.37731612239713</v>
      </c>
      <c r="O32" s="8"/>
    </row>
    <row r="33" spans="6:15" x14ac:dyDescent="0.25">
      <c r="F33" s="6"/>
      <c r="G33" s="6"/>
      <c r="H33" s="8"/>
      <c r="I33" s="8"/>
      <c r="J33" s="8"/>
      <c r="K33" s="8"/>
      <c r="L33" s="8"/>
      <c r="M33" s="8"/>
      <c r="N33" s="8"/>
      <c r="O33" s="8"/>
    </row>
    <row r="34" spans="6:15" x14ac:dyDescent="0.25">
      <c r="F34" s="84">
        <f>SUM(F27:F32)</f>
        <v>54789</v>
      </c>
      <c r="G34" s="20"/>
      <c r="H34" s="84">
        <f>SUM(H27:H32)</f>
        <v>10842.905442949021</v>
      </c>
      <c r="I34" s="23"/>
      <c r="J34" s="84">
        <f>SUM(J27:J32)</f>
        <v>5096.1209216108664</v>
      </c>
      <c r="K34" s="23"/>
      <c r="L34" s="84">
        <f>SUM(L27:L32)</f>
        <v>37629.432170084918</v>
      </c>
      <c r="M34" s="23"/>
      <c r="N34" s="84">
        <f>SUM(N27:N32)</f>
        <v>1220.5414653551964</v>
      </c>
      <c r="O34" s="23"/>
    </row>
  </sheetData>
  <mergeCells count="8">
    <mergeCell ref="P21:Q21"/>
    <mergeCell ref="P22:Q22"/>
    <mergeCell ref="P23:Q23"/>
    <mergeCell ref="P4:Q4"/>
    <mergeCell ref="P5:Q5"/>
    <mergeCell ref="P6:Q6"/>
    <mergeCell ref="P7:Q7"/>
    <mergeCell ref="P20:Q20"/>
  </mergeCells>
  <pageMargins left="0.7" right="0.7" top="0.75" bottom="0.75" header="0.3" footer="0.3"/>
  <pageSetup scale="65" orientation="portrait" horizontalDpi="4294967295" verticalDpi="4294967295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L22"/>
  <sheetViews>
    <sheetView zoomScale="90" zoomScaleNormal="90" workbookViewId="0">
      <selection activeCell="C8" sqref="C8"/>
    </sheetView>
  </sheetViews>
  <sheetFormatPr defaultRowHeight="15" x14ac:dyDescent="0.25"/>
  <cols>
    <col min="1" max="1" width="14.140625" customWidth="1"/>
    <col min="2" max="2" width="14.28515625" style="8" customWidth="1"/>
    <col min="3" max="3" width="18.42578125" customWidth="1"/>
    <col min="4" max="4" width="13.42578125" customWidth="1"/>
    <col min="5" max="6" width="11.7109375" style="8" customWidth="1"/>
    <col min="7" max="7" width="14.28515625" style="8" customWidth="1"/>
    <col min="8" max="8" width="8.85546875" customWidth="1"/>
    <col min="9" max="10" width="11.7109375" style="8" customWidth="1"/>
    <col min="11" max="11" width="11.7109375" style="6" customWidth="1"/>
    <col min="12" max="12" width="12.140625" customWidth="1"/>
  </cols>
  <sheetData>
    <row r="2" spans="1:12" x14ac:dyDescent="0.25">
      <c r="A2" s="16" t="s">
        <v>59</v>
      </c>
    </row>
    <row r="3" spans="1:12" x14ac:dyDescent="0.25">
      <c r="D3" s="19" t="s">
        <v>54</v>
      </c>
      <c r="I3" s="21" t="s">
        <v>55</v>
      </c>
    </row>
    <row r="5" spans="1:12" x14ac:dyDescent="0.25">
      <c r="B5" s="9" t="s">
        <v>42</v>
      </c>
      <c r="C5" s="4" t="s">
        <v>44</v>
      </c>
      <c r="D5" s="4" t="s">
        <v>43</v>
      </c>
      <c r="E5" s="9" t="s">
        <v>50</v>
      </c>
      <c r="F5" s="9" t="s">
        <v>51</v>
      </c>
      <c r="G5" s="9" t="s">
        <v>42</v>
      </c>
      <c r="H5" s="4" t="s">
        <v>49</v>
      </c>
      <c r="I5" s="9" t="s">
        <v>50</v>
      </c>
      <c r="J5" s="9" t="s">
        <v>51</v>
      </c>
      <c r="K5" s="9" t="s">
        <v>52</v>
      </c>
    </row>
    <row r="6" spans="1:12" x14ac:dyDescent="0.25">
      <c r="B6" s="10"/>
      <c r="C6" s="3" t="s">
        <v>45</v>
      </c>
      <c r="D6" s="3" t="s">
        <v>117</v>
      </c>
      <c r="E6" s="10" t="s">
        <v>145</v>
      </c>
      <c r="F6" s="10" t="s">
        <v>145</v>
      </c>
      <c r="G6" s="10" t="s">
        <v>62</v>
      </c>
      <c r="H6" s="3" t="s">
        <v>53</v>
      </c>
      <c r="I6" s="10"/>
      <c r="J6" s="10"/>
      <c r="K6" s="10" t="s">
        <v>50</v>
      </c>
    </row>
    <row r="7" spans="1:12" x14ac:dyDescent="0.25">
      <c r="B7" s="11"/>
      <c r="C7" s="1"/>
      <c r="D7" s="1"/>
      <c r="E7" s="11"/>
      <c r="F7" s="11"/>
      <c r="G7" s="11"/>
      <c r="H7" s="1"/>
    </row>
    <row r="8" spans="1:12" x14ac:dyDescent="0.25">
      <c r="A8" t="s">
        <v>58</v>
      </c>
      <c r="B8" s="12">
        <f>574557.91+713455.91</f>
        <v>1288013.82</v>
      </c>
      <c r="C8" s="94">
        <f>'2021 NUC Rent'!D48</f>
        <v>0.68369956225891737</v>
      </c>
      <c r="D8" s="95">
        <v>6.0999999999999999E-2</v>
      </c>
      <c r="E8" s="79">
        <f>B8*C8*D8</f>
        <v>53717.483579963598</v>
      </c>
      <c r="F8" s="79">
        <f>E8/12</f>
        <v>4476.4569649969662</v>
      </c>
      <c r="G8" s="79">
        <f>B8-574557.91</f>
        <v>713455.91</v>
      </c>
      <c r="H8" s="13">
        <v>20</v>
      </c>
      <c r="I8" s="79">
        <f>G8/H8</f>
        <v>35672.7955</v>
      </c>
      <c r="J8" s="79">
        <f>I8/12</f>
        <v>2972.7329583333335</v>
      </c>
      <c r="K8" s="79">
        <f>F8+J8</f>
        <v>7449.1899233302993</v>
      </c>
    </row>
    <row r="10" spans="1:12" x14ac:dyDescent="0.25">
      <c r="B10" s="14">
        <f>SUM(B8:B8)</f>
        <v>1288013.82</v>
      </c>
      <c r="E10" s="14">
        <f>SUM(E8:E8)</f>
        <v>53717.483579963598</v>
      </c>
      <c r="F10" s="22">
        <f>SUM(F8:F8)</f>
        <v>4476.4569649969662</v>
      </c>
      <c r="G10" s="14">
        <f>SUM(G8:G8)</f>
        <v>713455.91</v>
      </c>
      <c r="I10" s="14">
        <f>SUM(I8:I8)</f>
        <v>35672.7955</v>
      </c>
      <c r="J10" s="22">
        <f>SUM(J8:J8)</f>
        <v>2972.7329583333335</v>
      </c>
      <c r="K10" s="22">
        <f>SUM(K8:K8)</f>
        <v>7449.1899233302993</v>
      </c>
    </row>
    <row r="12" spans="1:12" x14ac:dyDescent="0.25">
      <c r="H12" s="213" t="s">
        <v>219</v>
      </c>
    </row>
    <row r="13" spans="1:12" x14ac:dyDescent="0.25">
      <c r="I13"/>
      <c r="J13" t="s">
        <v>194</v>
      </c>
      <c r="K13" s="8" t="s">
        <v>51</v>
      </c>
      <c r="L13" t="s">
        <v>168</v>
      </c>
    </row>
    <row r="14" spans="1:12" x14ac:dyDescent="0.25">
      <c r="B14" s="24"/>
      <c r="I14" s="11" t="s">
        <v>12</v>
      </c>
      <c r="J14" s="138">
        <f>+'2021 Allocation Source'!E14</f>
        <v>0.12725184771670678</v>
      </c>
      <c r="K14" s="214">
        <f>J14*K$10</f>
        <v>947.9231817364539</v>
      </c>
      <c r="L14" s="215">
        <f>+K14*12</f>
        <v>11375.078180837447</v>
      </c>
    </row>
    <row r="15" spans="1:12" x14ac:dyDescent="0.25">
      <c r="B15" s="11"/>
      <c r="D15" s="25"/>
      <c r="I15" s="11" t="s">
        <v>11</v>
      </c>
      <c r="J15" s="138">
        <f>+'2021 Allocation Source'!D14</f>
        <v>8.6789736316802701E-2</v>
      </c>
      <c r="K15" s="214">
        <f>J15*K$10</f>
        <v>646.51322921962037</v>
      </c>
      <c r="L15" s="215">
        <f t="shared" ref="L15:L18" si="0">+K15*12</f>
        <v>7758.1587506354444</v>
      </c>
    </row>
    <row r="16" spans="1:12" x14ac:dyDescent="0.25">
      <c r="B16" s="11"/>
      <c r="D16" s="25"/>
      <c r="I16" s="11" t="s">
        <v>10</v>
      </c>
      <c r="J16" s="138">
        <f>+'2021 Allocation Source'!C14</f>
        <v>0.75231702940811096</v>
      </c>
      <c r="K16" s="214">
        <f>J16*K$10</f>
        <v>5604.1524346166843</v>
      </c>
      <c r="L16" s="215">
        <f t="shared" si="0"/>
        <v>67249.829215400212</v>
      </c>
    </row>
    <row r="17" spans="2:12" x14ac:dyDescent="0.25">
      <c r="B17" s="11"/>
      <c r="D17" s="25"/>
      <c r="I17" s="11" t="s">
        <v>123</v>
      </c>
      <c r="J17" s="138">
        <f>+'2021 Allocation Source'!F14</f>
        <v>3.3641386558379546E-2</v>
      </c>
      <c r="K17" s="214">
        <f>J17*K$10</f>
        <v>250.60107775754028</v>
      </c>
      <c r="L17" s="215">
        <f t="shared" si="0"/>
        <v>3007.2129330904836</v>
      </c>
    </row>
    <row r="18" spans="2:12" x14ac:dyDescent="0.25">
      <c r="B18" s="11"/>
      <c r="D18" s="25"/>
      <c r="H18" s="8"/>
      <c r="I18" s="80"/>
      <c r="J18" s="5">
        <f>SUM(J14:J17)</f>
        <v>1</v>
      </c>
      <c r="K18" s="121">
        <f>SUM(K14:K17)</f>
        <v>7449.1899233302984</v>
      </c>
      <c r="L18" s="106">
        <f t="shared" si="0"/>
        <v>89390.279079963584</v>
      </c>
    </row>
    <row r="22" spans="2:12" x14ac:dyDescent="0.25">
      <c r="J22" s="25"/>
      <c r="K22" s="136"/>
      <c r="L22" s="136"/>
    </row>
  </sheetData>
  <pageMargins left="0.7" right="0.7" top="0.75" bottom="0.75" header="0.3" footer="0.3"/>
  <pageSetup scale="48" orientation="landscape" r:id="rId1"/>
  <headerFooter>
    <oddFooter>&amp;L&amp;Z&amp;F&amp;R&amp;D&amp;T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8110E-143A-4E97-8D21-5AD513A4AD1D}">
  <sheetPr>
    <pageSetUpPr fitToPage="1"/>
  </sheetPr>
  <dimension ref="C2:AA18"/>
  <sheetViews>
    <sheetView zoomScale="95" zoomScaleNormal="95" workbookViewId="0">
      <selection activeCell="R22" sqref="R22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595226</v>
      </c>
      <c r="H8" s="94">
        <f>'2022 NUC Rent'!D25</f>
        <v>0.7855011155173548</v>
      </c>
      <c r="J8" s="95">
        <v>5.0200000000000002E-2</v>
      </c>
      <c r="L8" s="79">
        <f t="shared" ref="L8" si="0">F8*H8*J8</f>
        <v>23471.044486643641</v>
      </c>
      <c r="N8" s="79">
        <f t="shared" ref="N8" si="1">L8/12</f>
        <v>1955.9203738869701</v>
      </c>
      <c r="R8" s="79">
        <f>F8-40000</f>
        <v>555226</v>
      </c>
      <c r="T8" s="13">
        <v>20</v>
      </c>
      <c r="V8" s="79">
        <f t="shared" ref="V8" si="2">R8/T8</f>
        <v>27761.3</v>
      </c>
      <c r="X8" s="79">
        <f t="shared" ref="X8" si="3">V8/12</f>
        <v>2313.4416666666666</v>
      </c>
      <c r="Z8" s="79">
        <f>ROUND(N8+X8,0)</f>
        <v>4269</v>
      </c>
    </row>
    <row r="10" spans="3:27" x14ac:dyDescent="0.25">
      <c r="F10" s="14">
        <f>SUM(F8:F8)</f>
        <v>595226</v>
      </c>
      <c r="L10" s="14">
        <f>SUM(L8:L8)</f>
        <v>23471.044486643641</v>
      </c>
      <c r="N10" s="22">
        <f>SUM(N8:N8)</f>
        <v>1955.9203738869701</v>
      </c>
      <c r="R10" s="14">
        <f>SUM(R8:R8)</f>
        <v>555226</v>
      </c>
      <c r="V10" s="14">
        <f>SUM(V8:V8)</f>
        <v>27761.3</v>
      </c>
      <c r="X10" s="22">
        <f>SUM(X8:X8)</f>
        <v>2313.4416666666666</v>
      </c>
      <c r="Z10" s="22">
        <f>SUM(Z8:Z8)</f>
        <v>4269</v>
      </c>
    </row>
    <row r="13" spans="3:27" x14ac:dyDescent="0.25">
      <c r="C13" t="s">
        <v>61</v>
      </c>
      <c r="F13" s="8" t="s">
        <v>276</v>
      </c>
      <c r="T13" s="24" t="s">
        <v>263</v>
      </c>
      <c r="V13"/>
      <c r="X13"/>
      <c r="Z13" s="8" t="s">
        <v>51</v>
      </c>
      <c r="AA13" t="s">
        <v>168</v>
      </c>
    </row>
    <row r="14" spans="3:27" x14ac:dyDescent="0.25">
      <c r="F14" s="24"/>
      <c r="T14" s="11" t="s">
        <v>12</v>
      </c>
      <c r="V14" s="122">
        <f>+'2022 Allocation Source'!E14</f>
        <v>0.20116512685746182</v>
      </c>
      <c r="W14" s="81"/>
      <c r="X14" s="81"/>
      <c r="Z14" s="211">
        <f>ROUNDUP($Z$10*V14,0)</f>
        <v>859</v>
      </c>
      <c r="AA14" s="212">
        <f>+Z14*12</f>
        <v>10308</v>
      </c>
    </row>
    <row r="15" spans="3:27" x14ac:dyDescent="0.25">
      <c r="F15" s="11"/>
      <c r="J15" s="25"/>
      <c r="T15" s="11" t="s">
        <v>11</v>
      </c>
      <c r="V15" s="122">
        <f>+'2022 Allocation Source'!D14</f>
        <v>9.3688170128641612E-2</v>
      </c>
      <c r="W15" s="81"/>
      <c r="X15" s="81"/>
      <c r="Z15" s="211">
        <f t="shared" ref="Z15:Z17" si="4">ROUNDUP($Z$10*V15,0)</f>
        <v>400</v>
      </c>
      <c r="AA15" s="212">
        <f t="shared" ref="AA15:AA17" si="5">+Z15*12</f>
        <v>4800</v>
      </c>
    </row>
    <row r="16" spans="3:27" x14ac:dyDescent="0.25">
      <c r="F16" s="11"/>
      <c r="J16" s="25"/>
      <c r="T16" s="11" t="s">
        <v>10</v>
      </c>
      <c r="V16" s="122">
        <f>+'2022 Allocation Source'!C14</f>
        <v>0.68284281934590729</v>
      </c>
      <c r="W16" s="81"/>
      <c r="X16" s="81"/>
      <c r="Z16" s="8">
        <f t="shared" si="4"/>
        <v>2916</v>
      </c>
      <c r="AA16" s="67">
        <f t="shared" si="5"/>
        <v>34992</v>
      </c>
    </row>
    <row r="17" spans="6:27" x14ac:dyDescent="0.25">
      <c r="F17" s="11"/>
      <c r="J17" s="25"/>
      <c r="T17" s="11" t="s">
        <v>123</v>
      </c>
      <c r="V17" s="123">
        <f>+'2022 Allocation Source'!F14</f>
        <v>2.2303883667989223E-2</v>
      </c>
      <c r="W17" s="81"/>
      <c r="X17" s="81"/>
      <c r="Z17" s="211">
        <f t="shared" si="4"/>
        <v>96</v>
      </c>
      <c r="AA17" s="212">
        <f t="shared" si="5"/>
        <v>1152</v>
      </c>
    </row>
    <row r="18" spans="6:27" x14ac:dyDescent="0.25">
      <c r="F18" s="11"/>
      <c r="J18" s="25"/>
      <c r="T18" s="8"/>
      <c r="V18" s="82">
        <f>SUM(V14:V17)</f>
        <v>0.99999999999999989</v>
      </c>
      <c r="W18" s="81"/>
      <c r="X18" s="81"/>
      <c r="Z18" s="14">
        <f>SUM(Z14:Z17)</f>
        <v>4271</v>
      </c>
      <c r="AA18" s="14">
        <f>SUM(AA14:AA17)</f>
        <v>51252</v>
      </c>
    </row>
  </sheetData>
  <pageMargins left="0.7" right="0.7" top="0.75" bottom="0.75" header="0.3" footer="0.3"/>
  <pageSetup scale="46" orientation="landscape" horizontalDpi="4294967295" verticalDpi="4294967295" r:id="rId1"/>
  <headerFooter>
    <oddFooter>&amp;L&amp;Z&amp;F&amp;R&amp;D&amp;T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C2:AA18"/>
  <sheetViews>
    <sheetView zoomScale="95" zoomScaleNormal="95" workbookViewId="0">
      <selection activeCell="V14" sqref="V14"/>
    </sheetView>
  </sheetViews>
  <sheetFormatPr defaultRowHeight="15" x14ac:dyDescent="0.25"/>
  <cols>
    <col min="1" max="2" width="1.42578125" customWidth="1"/>
    <col min="3" max="3" width="14.140625" customWidth="1"/>
    <col min="4" max="5" width="1.42578125" customWidth="1"/>
    <col min="6" max="6" width="14.28515625" style="8" customWidth="1"/>
    <col min="7" max="7" width="1.42578125" customWidth="1"/>
    <col min="8" max="8" width="18.42578125" customWidth="1"/>
    <col min="9" max="9" width="1.42578125" customWidth="1"/>
    <col min="10" max="10" width="13.42578125" customWidth="1"/>
    <col min="11" max="11" width="1.42578125" customWidth="1"/>
    <col min="12" max="12" width="11.7109375" style="8" customWidth="1"/>
    <col min="13" max="13" width="1.42578125" customWidth="1"/>
    <col min="14" max="14" width="11.7109375" style="8" customWidth="1"/>
    <col min="15" max="17" width="1.42578125" customWidth="1"/>
    <col min="18" max="18" width="14.28515625" style="8" customWidth="1"/>
    <col min="19" max="19" width="1.42578125" customWidth="1"/>
    <col min="20" max="20" width="8.85546875" customWidth="1"/>
    <col min="21" max="21" width="1.42578125" customWidth="1"/>
    <col min="22" max="22" width="11.7109375" style="8" customWidth="1"/>
    <col min="23" max="23" width="1.42578125" customWidth="1"/>
    <col min="24" max="24" width="11.7109375" style="8" customWidth="1"/>
    <col min="25" max="25" width="1.42578125" customWidth="1"/>
    <col min="26" max="26" width="11.7109375" style="6" customWidth="1"/>
  </cols>
  <sheetData>
    <row r="2" spans="3:27" x14ac:dyDescent="0.25">
      <c r="C2" s="16" t="s">
        <v>60</v>
      </c>
    </row>
    <row r="3" spans="3:27" x14ac:dyDescent="0.25">
      <c r="J3" s="19" t="s">
        <v>54</v>
      </c>
      <c r="V3" s="21" t="s">
        <v>55</v>
      </c>
    </row>
    <row r="5" spans="3:27" x14ac:dyDescent="0.25">
      <c r="E5" s="4"/>
      <c r="F5" s="9" t="s">
        <v>42</v>
      </c>
      <c r="G5" s="4"/>
      <c r="H5" s="4" t="s">
        <v>44</v>
      </c>
      <c r="I5" s="4"/>
      <c r="J5" s="4" t="s">
        <v>43</v>
      </c>
      <c r="K5" s="4"/>
      <c r="L5" s="9" t="s">
        <v>50</v>
      </c>
      <c r="M5" s="4"/>
      <c r="N5" s="9" t="s">
        <v>51</v>
      </c>
      <c r="O5" s="4"/>
      <c r="Q5" s="4"/>
      <c r="R5" s="9" t="s">
        <v>42</v>
      </c>
      <c r="S5" s="4"/>
      <c r="T5" s="4" t="s">
        <v>49</v>
      </c>
      <c r="U5" s="4"/>
      <c r="V5" s="9" t="s">
        <v>50</v>
      </c>
      <c r="W5" s="4"/>
      <c r="X5" s="9" t="s">
        <v>51</v>
      </c>
      <c r="Z5" s="9" t="s">
        <v>52</v>
      </c>
    </row>
    <row r="6" spans="3:27" x14ac:dyDescent="0.25">
      <c r="E6" s="3"/>
      <c r="F6" s="10"/>
      <c r="G6" s="3"/>
      <c r="H6" s="3" t="s">
        <v>45</v>
      </c>
      <c r="I6" s="3"/>
      <c r="J6" s="3" t="s">
        <v>117</v>
      </c>
      <c r="K6" s="3"/>
      <c r="L6" s="10" t="s">
        <v>145</v>
      </c>
      <c r="M6" s="3"/>
      <c r="N6" s="10" t="s">
        <v>145</v>
      </c>
      <c r="O6" s="3"/>
      <c r="Q6" s="3"/>
      <c r="R6" s="10" t="s">
        <v>62</v>
      </c>
      <c r="S6" s="3"/>
      <c r="T6" s="3" t="s">
        <v>53</v>
      </c>
      <c r="U6" s="3"/>
      <c r="V6" s="10"/>
      <c r="W6" s="3"/>
      <c r="X6" s="10"/>
      <c r="Z6" s="10" t="s">
        <v>50</v>
      </c>
    </row>
    <row r="7" spans="3:27" x14ac:dyDescent="0.25">
      <c r="E7" s="1"/>
      <c r="F7" s="11"/>
      <c r="G7" s="1"/>
      <c r="H7" s="1"/>
      <c r="I7" s="1"/>
      <c r="J7" s="1"/>
      <c r="K7" s="1"/>
      <c r="L7" s="11"/>
      <c r="M7" s="1"/>
      <c r="N7" s="11"/>
      <c r="O7" s="1"/>
      <c r="Q7" s="1"/>
      <c r="R7" s="11"/>
      <c r="S7" s="1"/>
      <c r="T7" s="1"/>
      <c r="U7" s="1"/>
      <c r="W7" s="1"/>
    </row>
    <row r="8" spans="3:27" x14ac:dyDescent="0.25">
      <c r="C8" t="s">
        <v>61</v>
      </c>
      <c r="F8" s="12">
        <v>519224.91</v>
      </c>
      <c r="H8" s="94">
        <f>'2021 NUC Rent'!D48</f>
        <v>0.68369956225891737</v>
      </c>
      <c r="J8" s="95">
        <f>+'2021 NUC Rent'!D15</f>
        <v>6.0999999999999999E-2</v>
      </c>
      <c r="L8" s="79">
        <f t="shared" ref="L8" si="0">F8*H8*J8</f>
        <v>21654.624464536468</v>
      </c>
      <c r="N8" s="79">
        <f t="shared" ref="N8" si="1">L8/12</f>
        <v>1804.5520387113722</v>
      </c>
      <c r="R8" s="79">
        <f>F8-40000</f>
        <v>479224.91</v>
      </c>
      <c r="T8" s="13">
        <v>20</v>
      </c>
      <c r="V8" s="79">
        <f t="shared" ref="V8" si="2">R8/T8</f>
        <v>23961.245499999997</v>
      </c>
      <c r="X8" s="79">
        <f t="shared" ref="X8" si="3">V8/12</f>
        <v>1996.7704583333332</v>
      </c>
      <c r="Z8" s="79">
        <f t="shared" ref="Z8" si="4">N8+X8</f>
        <v>3801.3224970447054</v>
      </c>
    </row>
    <row r="10" spans="3:27" x14ac:dyDescent="0.25">
      <c r="F10" s="14">
        <f>SUM(F8:F8)</f>
        <v>519224.91</v>
      </c>
      <c r="L10" s="14">
        <f>SUM(L8:L8)</f>
        <v>21654.624464536468</v>
      </c>
      <c r="N10" s="22">
        <f>SUM(N8:N8)</f>
        <v>1804.5520387113722</v>
      </c>
      <c r="R10" s="14">
        <f>SUM(R8:R8)</f>
        <v>479224.91</v>
      </c>
      <c r="V10" s="14">
        <f>SUM(V8:V8)</f>
        <v>23961.245499999997</v>
      </c>
      <c r="X10" s="22">
        <f>SUM(X8:X8)</f>
        <v>1996.7704583333332</v>
      </c>
      <c r="Z10" s="22">
        <f>SUM(Z8:Z8)</f>
        <v>3801.3224970447054</v>
      </c>
    </row>
    <row r="13" spans="3:27" x14ac:dyDescent="0.25">
      <c r="C13" t="s">
        <v>61</v>
      </c>
      <c r="F13" s="8" t="s">
        <v>240</v>
      </c>
      <c r="T13" s="24" t="s">
        <v>219</v>
      </c>
      <c r="V13"/>
      <c r="X13"/>
      <c r="Z13" s="8" t="s">
        <v>51</v>
      </c>
      <c r="AA13" t="s">
        <v>168</v>
      </c>
    </row>
    <row r="14" spans="3:27" x14ac:dyDescent="0.25">
      <c r="F14" s="24"/>
      <c r="T14" s="11" t="s">
        <v>12</v>
      </c>
      <c r="V14" s="122">
        <f>+'2021 Allocation Source'!E14</f>
        <v>0.12725184771670678</v>
      </c>
      <c r="W14" s="81"/>
      <c r="X14" s="81"/>
      <c r="Z14" s="211">
        <f>+$Z$10*V14</f>
        <v>483.72531151602442</v>
      </c>
      <c r="AA14" s="212">
        <f>+Z14*12</f>
        <v>5804.7037381922928</v>
      </c>
    </row>
    <row r="15" spans="3:27" x14ac:dyDescent="0.25">
      <c r="F15" s="11"/>
      <c r="J15" s="25"/>
      <c r="T15" s="11" t="s">
        <v>11</v>
      </c>
      <c r="V15" s="122">
        <f>+'2021 Allocation Source'!D14</f>
        <v>8.6789736316802701E-2</v>
      </c>
      <c r="W15" s="81"/>
      <c r="X15" s="81"/>
      <c r="Z15" s="211">
        <f t="shared" ref="Z15:Z17" si="5">+$Z$10*V15</f>
        <v>329.91577717363998</v>
      </c>
      <c r="AA15" s="212">
        <f t="shared" ref="AA15:AA17" si="6">+Z15*12</f>
        <v>3958.9893260836798</v>
      </c>
    </row>
    <row r="16" spans="3:27" x14ac:dyDescent="0.25">
      <c r="F16" s="11"/>
      <c r="J16" s="25"/>
      <c r="T16" s="11" t="s">
        <v>10</v>
      </c>
      <c r="V16" s="122">
        <f>+'2021 Allocation Source'!C14</f>
        <v>0.75231702940811096</v>
      </c>
      <c r="W16" s="81"/>
      <c r="X16" s="81"/>
      <c r="Z16" s="8">
        <f t="shared" si="5"/>
        <v>2859.7996487988953</v>
      </c>
      <c r="AA16" s="67">
        <f t="shared" si="6"/>
        <v>34317.595785586745</v>
      </c>
    </row>
    <row r="17" spans="6:27" x14ac:dyDescent="0.25">
      <c r="F17" s="11"/>
      <c r="J17" s="25"/>
      <c r="T17" s="11" t="s">
        <v>123</v>
      </c>
      <c r="V17" s="123">
        <f>+'2021 Allocation Source'!F14</f>
        <v>3.3641386558379546E-2</v>
      </c>
      <c r="W17" s="81"/>
      <c r="X17" s="81"/>
      <c r="Z17" s="211">
        <f t="shared" si="5"/>
        <v>127.88175955614552</v>
      </c>
      <c r="AA17" s="212">
        <f t="shared" si="6"/>
        <v>1534.5811146737462</v>
      </c>
    </row>
    <row r="18" spans="6:27" x14ac:dyDescent="0.25">
      <c r="F18" s="11"/>
      <c r="J18" s="25"/>
      <c r="T18" s="8"/>
      <c r="V18" s="82">
        <f>SUM(V14:V17)</f>
        <v>1</v>
      </c>
      <c r="W18" s="81"/>
      <c r="X18" s="81"/>
      <c r="Z18" s="14">
        <f>SUM(Z14:Z17)</f>
        <v>3801.322497044705</v>
      </c>
      <c r="AA18" s="14">
        <f>SUM(AA14:AA17)</f>
        <v>45615.869964536461</v>
      </c>
    </row>
  </sheetData>
  <pageMargins left="0.7" right="0.7" top="0.75" bottom="0.75" header="0.3" footer="0.3"/>
  <pageSetup scale="41" orientation="landscape" horizontalDpi="4294967295" verticalDpi="4294967295" r:id="rId1"/>
  <headerFooter>
    <oddFooter>&amp;L&amp;Z&amp;F&amp;R&amp;D&amp;T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69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Q21" sqref="Q21"/>
    </sheetView>
  </sheetViews>
  <sheetFormatPr defaultRowHeight="15" x14ac:dyDescent="0.25"/>
  <cols>
    <col min="1" max="3" width="1.42578125" customWidth="1"/>
    <col min="4" max="4" width="29.140625" customWidth="1"/>
    <col min="5" max="5" width="2.85546875" customWidth="1"/>
    <col min="6" max="6" width="19.85546875" customWidth="1"/>
    <col min="7" max="7" width="2.85546875" customWidth="1"/>
    <col min="8" max="8" width="12.7109375" customWidth="1"/>
    <col min="9" max="9" width="2.85546875" customWidth="1"/>
    <col min="10" max="10" width="15.28515625" customWidth="1"/>
    <col min="11" max="11" width="2.85546875" customWidth="1"/>
    <col min="12" max="12" width="11.85546875" customWidth="1"/>
    <col min="13" max="13" width="2.85546875" customWidth="1"/>
    <col min="14" max="14" width="13.5703125" customWidth="1"/>
    <col min="15" max="15" width="2.85546875" customWidth="1"/>
    <col min="16" max="16" width="9.7109375" customWidth="1"/>
    <col min="17" max="17" width="10.5703125" customWidth="1"/>
    <col min="18" max="18" width="10.140625" customWidth="1"/>
    <col min="19" max="19" width="4.140625" customWidth="1"/>
    <col min="20" max="23" width="9.28515625" customWidth="1"/>
  </cols>
  <sheetData>
    <row r="1" spans="1:22" x14ac:dyDescent="0.25">
      <c r="A1" s="16" t="s">
        <v>115</v>
      </c>
      <c r="F1" s="6" t="str">
        <f>+'Commodity OK'!H2</f>
        <v>Data Input Jan.23 billing = Jan invoices = Dec Flow  data= Dec Sales Volume</v>
      </c>
    </row>
    <row r="2" spans="1:22" x14ac:dyDescent="0.25">
      <c r="H2" s="18"/>
      <c r="I2" s="18"/>
      <c r="J2" s="17" t="s">
        <v>9</v>
      </c>
      <c r="K2" s="18"/>
      <c r="L2" s="18"/>
      <c r="M2" s="18"/>
      <c r="N2" s="18"/>
      <c r="Q2" s="1" t="s">
        <v>40</v>
      </c>
    </row>
    <row r="3" spans="1:22" x14ac:dyDescent="0.25">
      <c r="A3" s="16" t="s">
        <v>99</v>
      </c>
      <c r="H3" s="19" t="s">
        <v>33</v>
      </c>
      <c r="I3" s="19"/>
      <c r="J3" s="19" t="s">
        <v>36</v>
      </c>
      <c r="K3" s="19"/>
      <c r="L3" s="19" t="s">
        <v>35</v>
      </c>
      <c r="M3" s="19"/>
      <c r="N3" s="19" t="s">
        <v>110</v>
      </c>
      <c r="P3" s="2" t="s">
        <v>301</v>
      </c>
      <c r="Q3" s="2"/>
      <c r="R3" s="2"/>
    </row>
    <row r="4" spans="1:22" x14ac:dyDescent="0.25">
      <c r="F4" s="17" t="s">
        <v>8</v>
      </c>
      <c r="H4" s="1"/>
      <c r="J4" s="1"/>
      <c r="L4" s="1"/>
      <c r="N4" s="1"/>
      <c r="P4" s="1" t="s">
        <v>33</v>
      </c>
      <c r="Q4" s="131">
        <f>+'2023 Allocation Source'!C29</f>
        <v>0.52608325149750468</v>
      </c>
      <c r="R4" s="131">
        <f>Q4/Q8</f>
        <v>0.52608325149750468</v>
      </c>
    </row>
    <row r="5" spans="1:22" x14ac:dyDescent="0.25">
      <c r="P5" s="1" t="s">
        <v>34</v>
      </c>
      <c r="Q5" s="131">
        <f>+'2023 Allocation Source'!D29</f>
        <v>0.31920350959112986</v>
      </c>
      <c r="R5" s="131">
        <f>Q5/Q8</f>
        <v>0.31920350959112986</v>
      </c>
    </row>
    <row r="6" spans="1:22" x14ac:dyDescent="0.25">
      <c r="B6" t="s">
        <v>0</v>
      </c>
      <c r="F6" s="85">
        <f>'Direct Charges'!L10</f>
        <v>53527.48</v>
      </c>
      <c r="G6" s="60"/>
      <c r="H6" s="85">
        <f>ROUNDUP(IF(N6=2500,(F6-L6-N6)*(Q4/(Q8-Q6-Q7)),(F6*R4)),0)</f>
        <v>28160</v>
      </c>
      <c r="I6" s="60"/>
      <c r="J6" s="227">
        <f>ROUNDUP(IF(SUM(H6,L6,N6,F6*R5)&gt;F6,((F6-L6-N6)*(Q5/(Q8-Q6-Q7))),(F6*R5)),0)</f>
        <v>17086</v>
      </c>
      <c r="K6" s="60"/>
      <c r="L6" s="85">
        <f>ROUNDUP(IF((F6*R$6&lt;2500),(2500),F6*R$6),0)</f>
        <v>3390</v>
      </c>
      <c r="M6" s="60"/>
      <c r="N6" s="85">
        <f>ROUNDUP(IF((F6*R$7&lt;2500),(2500),F6*R$7),0)</f>
        <v>4893</v>
      </c>
      <c r="O6" s="6"/>
      <c r="P6" s="1" t="s">
        <v>35</v>
      </c>
      <c r="Q6" s="131">
        <f>+'2023 Allocation Source'!E29</f>
        <v>6.3320109334595809E-2</v>
      </c>
      <c r="R6" s="131">
        <f>Q6/Q8</f>
        <v>6.3320109334595809E-2</v>
      </c>
    </row>
    <row r="7" spans="1:22" x14ac:dyDescent="0.25">
      <c r="B7" t="s">
        <v>4</v>
      </c>
      <c r="F7" s="85">
        <f>'Direct Charges'!L16</f>
        <v>16528.13</v>
      </c>
      <c r="G7" s="60"/>
      <c r="H7" s="85">
        <f>ROUNDUP(F7*R$4,0)</f>
        <v>8696</v>
      </c>
      <c r="I7" s="60"/>
      <c r="J7" s="227">
        <f>ROUNDUP(F7*R$5,0)</f>
        <v>5276</v>
      </c>
      <c r="K7" s="60"/>
      <c r="L7" s="85">
        <f>ROUNDUP(F7*R$6,0)</f>
        <v>1047</v>
      </c>
      <c r="M7" s="60"/>
      <c r="N7" s="85">
        <f>ROUNDUP(F7*R$7,0)</f>
        <v>1511</v>
      </c>
      <c r="P7" s="1" t="s">
        <v>113</v>
      </c>
      <c r="Q7" s="131">
        <f>+'2023 Allocation Source'!F29</f>
        <v>9.139312957676958E-2</v>
      </c>
      <c r="R7" s="219">
        <f>Q7/Q8</f>
        <v>9.139312957676958E-2</v>
      </c>
    </row>
    <row r="8" spans="1:22" x14ac:dyDescent="0.25">
      <c r="B8" t="s">
        <v>13</v>
      </c>
      <c r="F8" s="85">
        <f>'Allocation Charges'!L6</f>
        <v>0</v>
      </c>
      <c r="G8" s="60"/>
      <c r="H8" s="85">
        <f>ROUNDUP(F8*R$4,0)</f>
        <v>0</v>
      </c>
      <c r="I8" s="60"/>
      <c r="J8" s="227">
        <f>ROUNDUP(F8*R$5,0)</f>
        <v>0</v>
      </c>
      <c r="K8" s="60"/>
      <c r="L8" s="85">
        <f>ROUNDUP(F8*R$6,0)</f>
        <v>0</v>
      </c>
      <c r="M8" s="60"/>
      <c r="N8" s="85">
        <f>ROUNDUP(F8*R$7,0)</f>
        <v>0</v>
      </c>
      <c r="P8" s="1"/>
      <c r="Q8" s="78">
        <f>SUM(Q4:Q7)</f>
        <v>1</v>
      </c>
      <c r="R8" s="5">
        <f>SUM(R4:R7)</f>
        <v>1</v>
      </c>
    </row>
    <row r="9" spans="1:22" x14ac:dyDescent="0.25">
      <c r="B9" t="s">
        <v>14</v>
      </c>
      <c r="F9" s="85">
        <f>'Direct Charges'!L18</f>
        <v>8759.32</v>
      </c>
      <c r="G9" s="60"/>
      <c r="H9" s="85">
        <v>0</v>
      </c>
      <c r="I9" s="60"/>
      <c r="J9" s="227">
        <v>0</v>
      </c>
      <c r="K9" s="60"/>
      <c r="L9" s="85">
        <f>ROUNDUP(F9,0)</f>
        <v>8760</v>
      </c>
      <c r="M9" s="60"/>
      <c r="N9" s="85">
        <v>0</v>
      </c>
      <c r="P9" s="1"/>
      <c r="Q9" s="1"/>
      <c r="R9" s="5"/>
    </row>
    <row r="10" spans="1:22" x14ac:dyDescent="0.25">
      <c r="B10" t="s">
        <v>17</v>
      </c>
      <c r="F10" s="6"/>
      <c r="G10" s="60"/>
      <c r="H10" s="6"/>
      <c r="I10" s="60"/>
      <c r="J10" s="120"/>
      <c r="K10" s="60"/>
      <c r="L10" s="6"/>
      <c r="M10" s="60"/>
      <c r="N10" s="60"/>
      <c r="Q10" s="1"/>
    </row>
    <row r="11" spans="1:22" x14ac:dyDescent="0.25">
      <c r="C11" t="s">
        <v>37</v>
      </c>
      <c r="F11" s="6">
        <f>'Direct Charges'!L28</f>
        <v>5084.1000000000004</v>
      </c>
      <c r="G11" s="60"/>
      <c r="H11" s="6"/>
      <c r="I11" s="60"/>
      <c r="J11" s="120"/>
      <c r="K11" s="60"/>
      <c r="L11" s="6"/>
      <c r="M11" s="60"/>
      <c r="N11" s="60"/>
      <c r="Q11" s="1"/>
    </row>
    <row r="12" spans="1:22" x14ac:dyDescent="0.25">
      <c r="C12" t="s">
        <v>38</v>
      </c>
      <c r="F12" s="6">
        <f>'Allocation Charges'!L7</f>
        <v>3234.5006883931351</v>
      </c>
      <c r="G12" s="60"/>
      <c r="H12" s="6"/>
      <c r="I12" s="60"/>
      <c r="J12" s="120"/>
      <c r="K12" s="60"/>
      <c r="L12" s="6"/>
      <c r="M12" s="60"/>
      <c r="N12" s="60"/>
      <c r="P12" s="6"/>
      <c r="Q12" s="52"/>
      <c r="R12" s="60"/>
    </row>
    <row r="13" spans="1:22" x14ac:dyDescent="0.25">
      <c r="F13" s="229">
        <f>F12+F11</f>
        <v>8318.600688393135</v>
      </c>
      <c r="G13" s="60"/>
      <c r="H13" s="85">
        <f>ROUNDUP(F13*R$4,0)</f>
        <v>4377</v>
      </c>
      <c r="I13" s="60"/>
      <c r="J13" s="227">
        <f>ROUNDUP(F13*R$5,0)</f>
        <v>2656</v>
      </c>
      <c r="K13" s="60"/>
      <c r="L13" s="85">
        <f>ROUNDUP(F13*R$6,0)</f>
        <v>527</v>
      </c>
      <c r="M13" s="60"/>
      <c r="N13" s="85">
        <f>ROUNDUP(F13*R$7,0)</f>
        <v>761</v>
      </c>
      <c r="Q13" s="52"/>
      <c r="S13" s="6"/>
    </row>
    <row r="14" spans="1:22" x14ac:dyDescent="0.25">
      <c r="B14" t="s">
        <v>15</v>
      </c>
      <c r="F14" s="6"/>
      <c r="G14" s="60"/>
      <c r="H14" s="6"/>
      <c r="I14" s="60"/>
      <c r="J14" s="120"/>
      <c r="K14" s="60"/>
      <c r="L14" s="6"/>
      <c r="M14" s="60"/>
      <c r="N14" s="6"/>
      <c r="Q14" s="6"/>
      <c r="S14" s="6"/>
      <c r="T14" s="60"/>
    </row>
    <row r="15" spans="1:22" x14ac:dyDescent="0.25">
      <c r="C15" t="s">
        <v>37</v>
      </c>
      <c r="F15" s="6">
        <f>'Direct Charges'!L32</f>
        <v>3035.62</v>
      </c>
      <c r="G15" s="60"/>
      <c r="H15" s="6"/>
      <c r="I15" s="60"/>
      <c r="J15" s="120"/>
      <c r="K15" s="60"/>
      <c r="L15" s="6"/>
      <c r="M15" s="60"/>
      <c r="N15" s="6"/>
      <c r="Q15" s="60"/>
      <c r="R15" s="60"/>
      <c r="S15" s="60"/>
      <c r="T15" s="60"/>
      <c r="V15" s="60"/>
    </row>
    <row r="16" spans="1:22" x14ac:dyDescent="0.25">
      <c r="C16" t="s">
        <v>38</v>
      </c>
      <c r="F16" s="6">
        <f>'Allocation Charges'!L8</f>
        <v>7483.4761429639848</v>
      </c>
      <c r="G16" s="60"/>
      <c r="H16" s="6"/>
      <c r="I16" s="60"/>
      <c r="J16" s="120"/>
      <c r="K16" s="60"/>
      <c r="L16" s="6"/>
      <c r="M16" s="60"/>
      <c r="N16" s="6"/>
      <c r="S16" s="6"/>
      <c r="T16" s="6"/>
    </row>
    <row r="17" spans="2:22" x14ac:dyDescent="0.25">
      <c r="D17" s="7" t="s">
        <v>39</v>
      </c>
      <c r="F17" s="229">
        <f>F16+F15</f>
        <v>10519.096142963985</v>
      </c>
      <c r="G17" s="60"/>
      <c r="H17" s="85">
        <f>ROUNDUP(F17*R$4,0)</f>
        <v>5534</v>
      </c>
      <c r="I17" s="60"/>
      <c r="J17" s="227">
        <f>ROUNDUP(F17*R$5,0)</f>
        <v>3358</v>
      </c>
      <c r="K17" s="60"/>
      <c r="L17" s="85">
        <f>ROUNDUP(F17*R$6,0)</f>
        <v>667</v>
      </c>
      <c r="M17" s="60"/>
      <c r="N17" s="85">
        <f>ROUNDUP(F17*R$7,0)</f>
        <v>962</v>
      </c>
      <c r="S17" s="65"/>
      <c r="T17" s="6"/>
      <c r="V17" s="6"/>
    </row>
    <row r="18" spans="2:22" x14ac:dyDescent="0.25">
      <c r="B18" t="s">
        <v>18</v>
      </c>
      <c r="F18" s="85">
        <f>'Allocation Charges'!L9</f>
        <v>0</v>
      </c>
      <c r="G18" s="60"/>
      <c r="H18" s="85">
        <f>ROUNDUP(F18*R$4,0)</f>
        <v>0</v>
      </c>
      <c r="I18" s="60"/>
      <c r="J18" s="227">
        <f>ROUNDUP(F18*R$5,0)</f>
        <v>0</v>
      </c>
      <c r="K18" s="60"/>
      <c r="L18" s="85">
        <f>ROUNDUP(F18*R$6,0)</f>
        <v>0</v>
      </c>
      <c r="M18" s="60"/>
      <c r="N18" s="85">
        <f>ROUNDUP(F18*R$7,0)</f>
        <v>0</v>
      </c>
      <c r="S18" s="66"/>
    </row>
    <row r="19" spans="2:22" x14ac:dyDescent="0.25">
      <c r="B19" t="s">
        <v>19</v>
      </c>
      <c r="F19" s="85">
        <f>'Allocation Charges'!L10</f>
        <v>58233.028756652551</v>
      </c>
      <c r="G19" s="60"/>
      <c r="H19" s="85">
        <f>ROUNDUP(F19*R$4,0)</f>
        <v>30636</v>
      </c>
      <c r="I19" s="60"/>
      <c r="J19" s="227">
        <f>ROUNDUP(F19*R$5,0)</f>
        <v>18589</v>
      </c>
      <c r="K19" s="60"/>
      <c r="L19" s="85">
        <f>ROUNDUP(F19*R$6,0)</f>
        <v>3688</v>
      </c>
      <c r="M19" s="60"/>
      <c r="N19" s="85">
        <f>ROUNDUP(F19*R$7,0)</f>
        <v>5323</v>
      </c>
    </row>
    <row r="20" spans="2:22" x14ac:dyDescent="0.25">
      <c r="B20" t="s">
        <v>20</v>
      </c>
      <c r="F20" s="6"/>
      <c r="G20" s="60"/>
      <c r="H20" s="6"/>
      <c r="I20" s="60"/>
      <c r="J20" s="120"/>
      <c r="K20" s="60"/>
      <c r="L20" s="6"/>
      <c r="M20" s="60"/>
      <c r="N20" s="6"/>
    </row>
    <row r="21" spans="2:22" x14ac:dyDescent="0.25">
      <c r="C21" t="s">
        <v>37</v>
      </c>
      <c r="F21" s="6">
        <f>'Direct Charges'!L40</f>
        <v>3288.17</v>
      </c>
      <c r="G21" s="60"/>
      <c r="H21" s="6"/>
      <c r="I21" s="60"/>
      <c r="J21" s="120"/>
      <c r="K21" s="60"/>
      <c r="L21" s="6"/>
      <c r="M21" s="60"/>
      <c r="N21" s="6"/>
      <c r="S21" s="6"/>
    </row>
    <row r="22" spans="2:22" x14ac:dyDescent="0.25">
      <c r="C22" t="s">
        <v>38</v>
      </c>
      <c r="F22" s="6">
        <f>'Allocation Charges'!L11</f>
        <v>11145.918989287693</v>
      </c>
      <c r="G22" s="60"/>
      <c r="H22" s="6"/>
      <c r="I22" s="60"/>
      <c r="J22" s="120"/>
      <c r="K22" s="60"/>
      <c r="L22" s="6"/>
      <c r="M22" s="60"/>
      <c r="N22" s="6"/>
    </row>
    <row r="23" spans="2:22" x14ac:dyDescent="0.25">
      <c r="F23" s="229">
        <f>F22+F21</f>
        <v>14434.088989287693</v>
      </c>
      <c r="G23" s="60"/>
      <c r="H23" s="85">
        <f>ROUNDUP(F23*R$4,0)</f>
        <v>7594</v>
      </c>
      <c r="I23" s="60"/>
      <c r="J23" s="227">
        <f>ROUNDUP(F23*R$5,0)</f>
        <v>4608</v>
      </c>
      <c r="K23" s="60"/>
      <c r="L23" s="85">
        <f>ROUNDUP(F23*R$6,0)</f>
        <v>914</v>
      </c>
      <c r="M23" s="60"/>
      <c r="N23" s="85">
        <f>ROUNDUP(F23*R$7,0)</f>
        <v>1320</v>
      </c>
    </row>
    <row r="24" spans="2:22" x14ac:dyDescent="0.25">
      <c r="B24" t="s">
        <v>21</v>
      </c>
      <c r="F24" s="6"/>
      <c r="G24" s="60"/>
      <c r="H24" s="6"/>
      <c r="I24" s="60"/>
      <c r="J24" s="120"/>
      <c r="K24" s="60"/>
      <c r="L24" s="6"/>
      <c r="M24" s="60"/>
      <c r="N24" s="6"/>
    </row>
    <row r="25" spans="2:22" x14ac:dyDescent="0.25">
      <c r="C25" t="s">
        <v>37</v>
      </c>
      <c r="F25" s="6">
        <f>'Direct Charges'!L46</f>
        <v>20921.03</v>
      </c>
      <c r="G25" s="60"/>
      <c r="H25" s="6"/>
      <c r="I25" s="60"/>
      <c r="J25" s="120"/>
      <c r="K25" s="60"/>
      <c r="L25" s="6"/>
      <c r="M25" s="60"/>
      <c r="N25" s="6"/>
    </row>
    <row r="26" spans="2:22" x14ac:dyDescent="0.25">
      <c r="C26" t="s">
        <v>38</v>
      </c>
      <c r="F26" s="6">
        <f>'Allocation Charges'!L12</f>
        <v>8185.2479857987</v>
      </c>
      <c r="G26" s="60"/>
      <c r="H26" s="6"/>
      <c r="I26" s="60"/>
      <c r="J26" s="120"/>
      <c r="K26" s="60"/>
      <c r="L26" s="6"/>
      <c r="M26" s="60"/>
      <c r="N26" s="6"/>
    </row>
    <row r="27" spans="2:22" x14ac:dyDescent="0.25">
      <c r="D27" s="7" t="s">
        <v>39</v>
      </c>
      <c r="F27" s="229">
        <f>F26+F25</f>
        <v>29106.277985798697</v>
      </c>
      <c r="G27" s="60"/>
      <c r="H27" s="85">
        <f>ROUNDUP(F27*R$4,0)</f>
        <v>15313</v>
      </c>
      <c r="I27" s="60"/>
      <c r="J27" s="227">
        <f>ROUNDUP(F27*R$5,0)</f>
        <v>9291</v>
      </c>
      <c r="K27" s="60"/>
      <c r="L27" s="85">
        <f>ROUNDUP(F27*R$6,0)</f>
        <v>1844</v>
      </c>
      <c r="M27" s="60"/>
      <c r="N27" s="85">
        <f>ROUNDUP(F27*R$7,0)</f>
        <v>2661</v>
      </c>
    </row>
    <row r="28" spans="2:22" x14ac:dyDescent="0.25">
      <c r="B28" t="s">
        <v>25</v>
      </c>
      <c r="F28" s="85">
        <f>'Allocation Charges'!L13</f>
        <v>8005.1673653275029</v>
      </c>
      <c r="G28" s="60"/>
      <c r="H28" s="85">
        <f>ROUNDUP(F28*R$4,0)</f>
        <v>4212</v>
      </c>
      <c r="I28" s="60"/>
      <c r="J28" s="227">
        <f>ROUNDUP(F28*R$5,0)</f>
        <v>2556</v>
      </c>
      <c r="K28" s="60"/>
      <c r="L28" s="85">
        <f>ROUNDUP(F28*R$6,0)</f>
        <v>507</v>
      </c>
      <c r="M28" s="60"/>
      <c r="N28" s="85">
        <f>ROUNDUP(F28*R$7,0)</f>
        <v>732</v>
      </c>
    </row>
    <row r="29" spans="2:22" x14ac:dyDescent="0.25">
      <c r="B29" t="s">
        <v>26</v>
      </c>
      <c r="G29" s="60"/>
    </row>
    <row r="30" spans="2:22" x14ac:dyDescent="0.25">
      <c r="C30" t="s">
        <v>37</v>
      </c>
      <c r="F30" s="6">
        <f>+'Direct Charges'!L52</f>
        <v>768.68</v>
      </c>
      <c r="G30" s="60"/>
      <c r="H30" s="6"/>
      <c r="I30" s="60"/>
      <c r="J30" s="120"/>
      <c r="K30" s="60"/>
      <c r="L30" s="6"/>
      <c r="M30" s="60"/>
      <c r="N30" s="6"/>
    </row>
    <row r="31" spans="2:22" x14ac:dyDescent="0.25">
      <c r="C31" t="s">
        <v>38</v>
      </c>
      <c r="F31" s="6">
        <f>'Allocation Charges'!L14</f>
        <v>108.17199742262817</v>
      </c>
      <c r="G31" s="60"/>
      <c r="H31" s="6"/>
      <c r="I31" s="60"/>
      <c r="J31" s="120"/>
      <c r="K31" s="60"/>
      <c r="L31" s="6"/>
      <c r="M31" s="60"/>
      <c r="N31" s="6"/>
    </row>
    <row r="32" spans="2:22" x14ac:dyDescent="0.25">
      <c r="D32" s="7" t="s">
        <v>39</v>
      </c>
      <c r="F32" s="229">
        <f>+F31+F30</f>
        <v>876.85199742262807</v>
      </c>
      <c r="G32" s="60"/>
      <c r="H32" s="85">
        <f>ROUNDUP(F32*R$4,0)</f>
        <v>462</v>
      </c>
      <c r="I32" s="60"/>
      <c r="J32" s="227">
        <f>ROUNDUP(F32*R$5,0)</f>
        <v>280</v>
      </c>
      <c r="K32" s="60"/>
      <c r="L32" s="85">
        <f>ROUNDUP(F32*R$6,0)</f>
        <v>56</v>
      </c>
      <c r="M32" s="60"/>
      <c r="N32" s="85">
        <f>ROUNDUP(F32*R$7,0)</f>
        <v>81</v>
      </c>
    </row>
    <row r="33" spans="1:17" x14ac:dyDescent="0.25">
      <c r="B33" t="s">
        <v>27</v>
      </c>
      <c r="F33" s="6"/>
      <c r="G33" s="60"/>
      <c r="H33" s="6"/>
      <c r="I33" s="60"/>
      <c r="J33" s="120"/>
      <c r="K33" s="60"/>
      <c r="L33" s="6"/>
      <c r="M33" s="60"/>
      <c r="N33" s="6"/>
    </row>
    <row r="34" spans="1:17" x14ac:dyDescent="0.25">
      <c r="C34" t="s">
        <v>37</v>
      </c>
      <c r="F34" s="6">
        <f>+'Direct Charges'!L58</f>
        <v>30580.03</v>
      </c>
      <c r="G34" s="60"/>
      <c r="H34" s="6"/>
      <c r="I34" s="60"/>
      <c r="J34" s="120"/>
      <c r="K34" s="60"/>
      <c r="L34" s="6"/>
      <c r="M34" s="60"/>
      <c r="N34" s="6"/>
    </row>
    <row r="35" spans="1:17" x14ac:dyDescent="0.25">
      <c r="C35" t="s">
        <v>38</v>
      </c>
      <c r="F35" s="6">
        <f>'Allocation Charges'!L15</f>
        <v>13294.691650828856</v>
      </c>
      <c r="G35" s="60"/>
      <c r="H35" s="6"/>
      <c r="I35" s="60"/>
      <c r="J35" s="120"/>
      <c r="K35" s="60"/>
      <c r="L35" s="6"/>
      <c r="M35" s="60"/>
      <c r="N35" s="6"/>
    </row>
    <row r="36" spans="1:17" x14ac:dyDescent="0.25">
      <c r="D36" s="7" t="s">
        <v>39</v>
      </c>
      <c r="F36" s="229">
        <f>F35+F34</f>
        <v>43874.721650828855</v>
      </c>
      <c r="G36" s="60"/>
      <c r="H36" s="85">
        <f>ROUNDUP(F36*R$4,0)</f>
        <v>23082</v>
      </c>
      <c r="I36" s="60"/>
      <c r="J36" s="227">
        <f>ROUNDUP(F36*R$5,0)</f>
        <v>14005</v>
      </c>
      <c r="K36" s="60"/>
      <c r="L36" s="85">
        <f>ROUNDUP(F36*R$6,0)</f>
        <v>2779</v>
      </c>
      <c r="M36" s="60"/>
      <c r="N36" s="85">
        <f>ROUNDUP(F36*R$7,0)</f>
        <v>4010</v>
      </c>
    </row>
    <row r="37" spans="1:17" x14ac:dyDescent="0.25">
      <c r="B37" t="s">
        <v>203</v>
      </c>
      <c r="F37" s="85">
        <f>'Allocation Charges'!L16</f>
        <v>2356.35</v>
      </c>
      <c r="G37" s="60"/>
      <c r="H37" s="85">
        <f>ROUNDUP(F37*R$4,0)</f>
        <v>1240</v>
      </c>
      <c r="I37" s="60"/>
      <c r="J37" s="227">
        <f>ROUNDUP(F37*R$5,0)</f>
        <v>753</v>
      </c>
      <c r="K37" s="60"/>
      <c r="L37" s="85">
        <f>ROUNDUP(F37*R$6,0)</f>
        <v>150</v>
      </c>
      <c r="M37" s="60"/>
      <c r="N37" s="85">
        <f>ROUNDUP(F37*R$7,0)</f>
        <v>216</v>
      </c>
    </row>
    <row r="38" spans="1:17" x14ac:dyDescent="0.25">
      <c r="B38" t="s">
        <v>28</v>
      </c>
      <c r="F38" s="85">
        <f>'Allocation Charges'!L17</f>
        <v>0</v>
      </c>
      <c r="G38" s="60"/>
      <c r="H38" s="85">
        <f>ROUNDUP(F38*R$4,0)</f>
        <v>0</v>
      </c>
      <c r="I38" s="60"/>
      <c r="J38" s="227">
        <f>ROUNDUP(F38*R$5,0)</f>
        <v>0</v>
      </c>
      <c r="K38" s="60"/>
      <c r="L38" s="85">
        <f>ROUNDUP(F38*R$6,0)</f>
        <v>0</v>
      </c>
      <c r="M38" s="60"/>
      <c r="N38" s="85">
        <f>ROUNDUP(F38*R$7,0)</f>
        <v>0</v>
      </c>
    </row>
    <row r="39" spans="1:17" x14ac:dyDescent="0.25">
      <c r="B39" t="s">
        <v>29</v>
      </c>
      <c r="F39" s="85">
        <f>'Allocation Charges'!L18</f>
        <v>4094.4508977447085</v>
      </c>
      <c r="G39" s="60"/>
      <c r="H39" s="85">
        <f>ROUNDUP(F39*R$4,0)</f>
        <v>2155</v>
      </c>
      <c r="I39" s="60"/>
      <c r="J39" s="227">
        <f>ROUNDUP(F39*R$5,0)</f>
        <v>1307</v>
      </c>
      <c r="K39" s="60"/>
      <c r="L39" s="85">
        <f>ROUNDUP(F39*R$6,0)</f>
        <v>260</v>
      </c>
      <c r="M39" s="60"/>
      <c r="N39" s="85">
        <f>ROUNDUP(F39*R$7,0)</f>
        <v>375</v>
      </c>
    </row>
    <row r="40" spans="1:17" x14ac:dyDescent="0.25">
      <c r="B40" t="s">
        <v>30</v>
      </c>
      <c r="F40" s="85">
        <f>'Allocation Charges'!L19</f>
        <v>4539.4395888564231</v>
      </c>
      <c r="G40" s="60"/>
      <c r="H40" s="85">
        <f>ROUNDUP(F40*R$4,0)</f>
        <v>2389</v>
      </c>
      <c r="I40" s="60"/>
      <c r="J40" s="227">
        <f>ROUNDUP(F40*R$5,0)</f>
        <v>1450</v>
      </c>
      <c r="K40" s="60"/>
      <c r="L40" s="85">
        <f>ROUNDUP(F40*R$6,0)</f>
        <v>288</v>
      </c>
      <c r="M40" s="60"/>
      <c r="N40" s="85">
        <f>ROUNDUP(F40*R$7,0)</f>
        <v>415</v>
      </c>
    </row>
    <row r="41" spans="1:17" x14ac:dyDescent="0.25">
      <c r="F41" s="6"/>
      <c r="G41" s="60"/>
      <c r="H41" s="6"/>
      <c r="I41" s="60"/>
      <c r="J41" s="120"/>
      <c r="K41" s="60"/>
      <c r="L41" s="6"/>
      <c r="M41" s="60"/>
      <c r="N41" s="6"/>
      <c r="Q41" s="6"/>
    </row>
    <row r="42" spans="1:17" x14ac:dyDescent="0.25">
      <c r="F42" s="224">
        <f>F6+F7+F8+F9+F13+F17+F18+F19+F23+F27+F28+F32++F37+F38+F39+F40+F36</f>
        <v>263173.00406327622</v>
      </c>
      <c r="G42" s="60"/>
      <c r="H42" s="224">
        <f>SUM(H6:H41)</f>
        <v>133850</v>
      </c>
      <c r="I42" s="60"/>
      <c r="J42" s="224">
        <f>SUM(J6:J41)</f>
        <v>81215</v>
      </c>
      <c r="K42" s="60"/>
      <c r="L42" s="224">
        <f>SUM(L6:L41)</f>
        <v>24877</v>
      </c>
      <c r="M42" s="60"/>
      <c r="N42" s="224">
        <f>SUM(N6:N41)</f>
        <v>23260</v>
      </c>
    </row>
    <row r="43" spans="1:17" x14ac:dyDescent="0.25">
      <c r="F43" s="6"/>
      <c r="G43" s="6"/>
      <c r="H43" s="6"/>
      <c r="I43" s="6"/>
      <c r="J43" s="120"/>
      <c r="K43" s="6"/>
      <c r="L43" s="6"/>
      <c r="M43" s="6"/>
      <c r="N43" s="6"/>
    </row>
    <row r="44" spans="1:17" x14ac:dyDescent="0.25">
      <c r="A44" s="16" t="s">
        <v>100</v>
      </c>
      <c r="F44" s="6"/>
      <c r="G44" s="6"/>
      <c r="H44" s="6"/>
      <c r="I44" s="6"/>
      <c r="J44" s="120"/>
      <c r="K44" s="6"/>
      <c r="L44" s="6"/>
      <c r="M44" s="6"/>
      <c r="N44" s="6"/>
    </row>
    <row r="45" spans="1:17" x14ac:dyDescent="0.25">
      <c r="F45" s="6"/>
      <c r="G45" s="6"/>
      <c r="H45" s="6"/>
      <c r="I45" s="6"/>
      <c r="J45" s="120"/>
      <c r="K45" s="6"/>
      <c r="L45" s="6"/>
      <c r="M45" s="6"/>
      <c r="N45" s="6"/>
    </row>
    <row r="46" spans="1:17" x14ac:dyDescent="0.25">
      <c r="B46" t="s">
        <v>101</v>
      </c>
      <c r="F46" s="85">
        <f>'Allocation Charges'!L27</f>
        <v>11433.265022822165</v>
      </c>
      <c r="G46" s="8"/>
      <c r="H46" s="85">
        <f t="shared" ref="H46:H51" si="0">ROUNDUP(F46*R$4,0)</f>
        <v>6015</v>
      </c>
      <c r="I46" s="8"/>
      <c r="J46" s="227">
        <f t="shared" ref="J46:J51" si="1">ROUNDUP(F46*R$5,0)</f>
        <v>3650</v>
      </c>
      <c r="K46" s="8"/>
      <c r="L46" s="85">
        <f t="shared" ref="L46:L51" si="2">ROUNDUP(F46*R$6,0)</f>
        <v>724</v>
      </c>
      <c r="M46" s="8"/>
      <c r="N46" s="85">
        <f t="shared" ref="N46:N51" si="3">ROUNDUP(F46*R$7,0)</f>
        <v>1045</v>
      </c>
    </row>
    <row r="47" spans="1:17" x14ac:dyDescent="0.25">
      <c r="B47" t="s">
        <v>102</v>
      </c>
      <c r="F47" s="85">
        <f>'Allocation Charges'!L28</f>
        <v>3765.7591229731443</v>
      </c>
      <c r="G47" s="8"/>
      <c r="H47" s="85">
        <f t="shared" si="0"/>
        <v>1982</v>
      </c>
      <c r="I47" s="8"/>
      <c r="J47" s="227">
        <f t="shared" si="1"/>
        <v>1203</v>
      </c>
      <c r="K47" s="8"/>
      <c r="L47" s="85">
        <f t="shared" si="2"/>
        <v>239</v>
      </c>
      <c r="M47" s="8"/>
      <c r="N47" s="85">
        <f t="shared" si="3"/>
        <v>345</v>
      </c>
    </row>
    <row r="48" spans="1:17" x14ac:dyDescent="0.25">
      <c r="B48" t="s">
        <v>103</v>
      </c>
      <c r="F48" s="85">
        <f>'Allocation Charges'!L29</f>
        <v>5976.5887083918115</v>
      </c>
      <c r="G48" s="8"/>
      <c r="H48" s="85">
        <f t="shared" si="0"/>
        <v>3145</v>
      </c>
      <c r="I48" s="8"/>
      <c r="J48" s="227">
        <f t="shared" si="1"/>
        <v>1908</v>
      </c>
      <c r="K48" s="8"/>
      <c r="L48" s="85">
        <f t="shared" si="2"/>
        <v>379</v>
      </c>
      <c r="M48" s="8"/>
      <c r="N48" s="85">
        <f t="shared" si="3"/>
        <v>547</v>
      </c>
    </row>
    <row r="49" spans="1:14" x14ac:dyDescent="0.25">
      <c r="B49" t="s">
        <v>104</v>
      </c>
      <c r="F49" s="85">
        <f>'Allocation Charges'!L30</f>
        <v>3603.6728284224127</v>
      </c>
      <c r="G49" s="8"/>
      <c r="H49" s="85">
        <f t="shared" si="0"/>
        <v>1896</v>
      </c>
      <c r="I49" s="8"/>
      <c r="J49" s="227">
        <f t="shared" si="1"/>
        <v>1151</v>
      </c>
      <c r="K49" s="8"/>
      <c r="L49" s="85">
        <f t="shared" si="2"/>
        <v>229</v>
      </c>
      <c r="M49" s="8"/>
      <c r="N49" s="85">
        <f t="shared" si="3"/>
        <v>330</v>
      </c>
    </row>
    <row r="50" spans="1:14" x14ac:dyDescent="0.25">
      <c r="B50" t="s">
        <v>105</v>
      </c>
      <c r="F50" s="85">
        <f>'Allocation Charges'!L31</f>
        <v>3404.4989918982083</v>
      </c>
      <c r="G50" s="8"/>
      <c r="H50" s="85">
        <f t="shared" si="0"/>
        <v>1792</v>
      </c>
      <c r="I50" s="8"/>
      <c r="J50" s="227">
        <f t="shared" si="1"/>
        <v>1087</v>
      </c>
      <c r="K50" s="8"/>
      <c r="L50" s="85">
        <f t="shared" si="2"/>
        <v>216</v>
      </c>
      <c r="M50" s="8"/>
      <c r="N50" s="85">
        <f t="shared" si="3"/>
        <v>312</v>
      </c>
    </row>
    <row r="51" spans="1:14" x14ac:dyDescent="0.25">
      <c r="B51" t="s">
        <v>106</v>
      </c>
      <c r="F51" s="85">
        <f>'Allocation Charges'!L32</f>
        <v>9445.6474955771755</v>
      </c>
      <c r="G51" s="8"/>
      <c r="H51" s="85">
        <f t="shared" si="0"/>
        <v>4970</v>
      </c>
      <c r="I51" s="8"/>
      <c r="J51" s="227">
        <f t="shared" si="1"/>
        <v>3016</v>
      </c>
      <c r="K51" s="8"/>
      <c r="L51" s="85">
        <f t="shared" si="2"/>
        <v>599</v>
      </c>
      <c r="M51" s="8"/>
      <c r="N51" s="85">
        <f t="shared" si="3"/>
        <v>864</v>
      </c>
    </row>
    <row r="52" spans="1:14" x14ac:dyDescent="0.25">
      <c r="F52" s="6"/>
      <c r="G52" s="8"/>
      <c r="H52" s="6"/>
      <c r="I52" s="8"/>
      <c r="J52" s="120"/>
      <c r="K52" s="8"/>
      <c r="L52" s="6"/>
      <c r="M52" s="8"/>
      <c r="N52" s="6"/>
    </row>
    <row r="53" spans="1:14" x14ac:dyDescent="0.25">
      <c r="F53" s="224">
        <f>SUM(F46:F51)</f>
        <v>37629.432170084918</v>
      </c>
      <c r="G53" s="8"/>
      <c r="H53" s="224">
        <f>SUM(H46:H51)</f>
        <v>19800</v>
      </c>
      <c r="I53" s="8"/>
      <c r="J53" s="225">
        <f>SUM(J46:J51)</f>
        <v>12015</v>
      </c>
      <c r="K53" s="8"/>
      <c r="L53" s="224">
        <f>SUM(L46:L51)</f>
        <v>2386</v>
      </c>
      <c r="M53" s="8"/>
      <c r="N53" s="224">
        <f>SUM(N46:N51)</f>
        <v>3443</v>
      </c>
    </row>
    <row r="54" spans="1:14" x14ac:dyDescent="0.25">
      <c r="F54" s="6"/>
      <c r="H54" s="6"/>
      <c r="J54" s="120"/>
    </row>
    <row r="55" spans="1:14" x14ac:dyDescent="0.25">
      <c r="A55" s="16" t="s">
        <v>84</v>
      </c>
      <c r="F55" s="20"/>
      <c r="G55" s="16"/>
      <c r="H55" s="20"/>
      <c r="I55" s="16"/>
      <c r="J55" s="226"/>
      <c r="K55" s="16"/>
      <c r="L55" s="20"/>
      <c r="M55" s="16"/>
      <c r="N55" s="20"/>
    </row>
    <row r="56" spans="1:14" x14ac:dyDescent="0.25">
      <c r="A56" s="16"/>
      <c r="F56" s="20"/>
      <c r="G56" s="16"/>
      <c r="H56" s="20"/>
      <c r="I56" s="16"/>
      <c r="J56" s="226"/>
      <c r="K56" s="16"/>
      <c r="L56" s="20"/>
      <c r="M56" s="16"/>
      <c r="N56" s="20"/>
    </row>
    <row r="57" spans="1:14" x14ac:dyDescent="0.25">
      <c r="A57" s="16"/>
      <c r="B57" t="s">
        <v>107</v>
      </c>
      <c r="F57" s="85">
        <f>SUM(H57:N57)</f>
        <v>41373</v>
      </c>
      <c r="G57" s="8"/>
      <c r="H57" s="85">
        <v>0</v>
      </c>
      <c r="I57" s="8"/>
      <c r="J57" s="227">
        <f>ROUNDUP('Commodity OK'!F24+'Commodity OK'!F25,0)</f>
        <v>41373</v>
      </c>
      <c r="K57" s="8"/>
      <c r="L57" s="79">
        <v>0</v>
      </c>
      <c r="M57" s="8"/>
      <c r="N57" s="79">
        <v>0</v>
      </c>
    </row>
    <row r="58" spans="1:14" x14ac:dyDescent="0.25">
      <c r="A58" s="16"/>
      <c r="B58" t="s">
        <v>108</v>
      </c>
      <c r="F58" s="85">
        <f>SUM(H58:N58)</f>
        <v>536211</v>
      </c>
      <c r="G58" s="120"/>
      <c r="H58" s="85">
        <f>ROUNDUP('Commodity OK'!Q6-H59,0)</f>
        <v>224435</v>
      </c>
      <c r="I58" s="120"/>
      <c r="J58" s="227">
        <f>ROUNDUP('Commodity OK'!Q8-J59-J57,0)</f>
        <v>285651</v>
      </c>
      <c r="K58" s="120"/>
      <c r="L58" s="227">
        <f>ROUNDUP('Commodity OK'!Q7-L59,0)</f>
        <v>6767</v>
      </c>
      <c r="M58" s="120"/>
      <c r="N58" s="227">
        <f>ROUNDUP('Commodity OK'!Q9-N59-N60,0)</f>
        <v>19358</v>
      </c>
    </row>
    <row r="59" spans="1:14" x14ac:dyDescent="0.25">
      <c r="A59" s="16"/>
      <c r="B59" t="s">
        <v>109</v>
      </c>
      <c r="F59" s="85">
        <f>SUM(H59:N59)</f>
        <v>29791</v>
      </c>
      <c r="G59" s="120"/>
      <c r="H59" s="85">
        <f>ROUNDUP(('Commodity OK'!F42-'Commodity OK'!F39)*'Commodity OK'!O6,0)</f>
        <v>11575</v>
      </c>
      <c r="I59" s="120"/>
      <c r="J59" s="227">
        <f>ROUNDUP(('Commodity OK'!F42-'Commodity OK'!F39)*'Commodity OK'!O8,0)</f>
        <v>16865</v>
      </c>
      <c r="K59" s="120"/>
      <c r="L59" s="227">
        <f>ROUNDUP(('Commodity OK'!F42-'Commodity OK'!F39)*'Commodity OK'!O7,0)</f>
        <v>350</v>
      </c>
      <c r="M59" s="120"/>
      <c r="N59" s="227">
        <f>ROUNDUP(('Commodity OK'!F42-'Commodity OK'!F39)*'Commodity OK'!O9,0)</f>
        <v>1001</v>
      </c>
    </row>
    <row r="60" spans="1:14" x14ac:dyDescent="0.25">
      <c r="A60" s="16"/>
      <c r="B60" t="s">
        <v>114</v>
      </c>
      <c r="F60" s="85">
        <f>SUM(H60:N60)</f>
        <v>45</v>
      </c>
      <c r="G60" s="120"/>
      <c r="H60" s="85">
        <v>0</v>
      </c>
      <c r="I60" s="120"/>
      <c r="J60" s="227">
        <v>0</v>
      </c>
      <c r="K60" s="120"/>
      <c r="L60" s="227">
        <v>0</v>
      </c>
      <c r="M60" s="120"/>
      <c r="N60" s="227">
        <f>ROUNDUP('Commodity OK'!F39,0)</f>
        <v>45</v>
      </c>
    </row>
    <row r="61" spans="1:14" x14ac:dyDescent="0.25">
      <c r="A61" s="16"/>
      <c r="F61" s="20"/>
      <c r="G61" s="23"/>
      <c r="H61" s="20"/>
      <c r="I61" s="23"/>
      <c r="J61" s="226"/>
      <c r="K61" s="23"/>
      <c r="L61" s="23"/>
      <c r="M61" s="23"/>
      <c r="N61" s="23"/>
    </row>
    <row r="62" spans="1:14" x14ac:dyDescent="0.25">
      <c r="A62" s="16"/>
      <c r="F62" s="224">
        <f>SUM(F57:F60)</f>
        <v>607420</v>
      </c>
      <c r="G62" s="226"/>
      <c r="H62" s="224">
        <f>SUM(H57:H60)</f>
        <v>236010</v>
      </c>
      <c r="I62" s="226"/>
      <c r="J62" s="224">
        <f>SUM(J57:J60)</f>
        <v>343889</v>
      </c>
      <c r="K62" s="226"/>
      <c r="L62" s="224">
        <f>SUM(L57:L60)</f>
        <v>7117</v>
      </c>
      <c r="M62" s="226"/>
      <c r="N62" s="225">
        <f>SUM(N57:N60)</f>
        <v>20404</v>
      </c>
    </row>
    <row r="63" spans="1:14" ht="7.5" customHeight="1" x14ac:dyDescent="0.25">
      <c r="A63" s="16"/>
      <c r="F63" s="20"/>
      <c r="G63" s="23"/>
      <c r="H63" s="20"/>
      <c r="I63" s="23"/>
      <c r="J63" s="226"/>
      <c r="K63" s="23"/>
      <c r="L63" s="23"/>
      <c r="M63" s="23"/>
      <c r="N63" s="23"/>
    </row>
    <row r="64" spans="1:14" x14ac:dyDescent="0.25">
      <c r="A64" s="34"/>
      <c r="B64" s="35"/>
      <c r="C64" s="35"/>
      <c r="D64" s="35"/>
      <c r="E64" s="35"/>
      <c r="F64" s="228"/>
      <c r="G64" s="58"/>
      <c r="H64" s="228"/>
      <c r="I64" s="58"/>
      <c r="J64" s="230"/>
      <c r="K64" s="58"/>
      <c r="L64" s="58"/>
      <c r="M64" s="58"/>
      <c r="N64" s="58"/>
    </row>
    <row r="65" spans="4:14" x14ac:dyDescent="0.25">
      <c r="F65" s="6"/>
      <c r="G65" s="8"/>
      <c r="H65" s="6"/>
      <c r="I65" s="8"/>
      <c r="J65" s="120"/>
      <c r="K65" s="8"/>
      <c r="L65" s="8"/>
      <c r="M65" s="8"/>
      <c r="N65" s="8"/>
    </row>
    <row r="66" spans="4:14" x14ac:dyDescent="0.25">
      <c r="D66" s="15" t="s">
        <v>57</v>
      </c>
      <c r="F66" s="224">
        <f>F53+F42+F62</f>
        <v>908222.43623336114</v>
      </c>
      <c r="G66" s="120"/>
      <c r="H66" s="224">
        <f>H53+H42+H62</f>
        <v>389660</v>
      </c>
      <c r="I66" s="120"/>
      <c r="J66" s="225">
        <f>J53+J42+J62</f>
        <v>437119</v>
      </c>
      <c r="K66" s="120"/>
      <c r="L66" s="225">
        <f>L53+L42+L62</f>
        <v>34380</v>
      </c>
      <c r="M66" s="120"/>
      <c r="N66" s="225">
        <f>N53+N42+N62</f>
        <v>47107</v>
      </c>
    </row>
    <row r="68" spans="4:14" x14ac:dyDescent="0.25">
      <c r="F68" s="6">
        <f>SUM(H66:N66)</f>
        <v>908266</v>
      </c>
      <c r="H68" s="102"/>
      <c r="J68" s="102"/>
      <c r="N68" s="8"/>
    </row>
    <row r="69" spans="4:14" x14ac:dyDescent="0.25">
      <c r="H69" s="6"/>
      <c r="J69" s="6"/>
    </row>
  </sheetData>
  <pageMargins left="0.25" right="0.25" top="0.75" bottom="0.75" header="0.3" footer="0.3"/>
  <pageSetup scale="66" fitToHeight="0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X68"/>
  <sheetViews>
    <sheetView zoomScaleNormal="100" workbookViewId="0">
      <selection activeCell="J21" sqref="J21"/>
    </sheetView>
  </sheetViews>
  <sheetFormatPr defaultRowHeight="15" x14ac:dyDescent="0.25"/>
  <cols>
    <col min="1" max="2" width="1.42578125" customWidth="1"/>
    <col min="3" max="3" width="24.7109375" customWidth="1"/>
    <col min="4" max="4" width="12.85546875" customWidth="1"/>
    <col min="5" max="5" width="1.42578125" customWidth="1"/>
    <col min="6" max="6" width="19.28515625" style="6" customWidth="1"/>
    <col min="7" max="7" width="1.42578125" style="6" customWidth="1"/>
    <col min="8" max="8" width="16.28515625" style="6" customWidth="1"/>
    <col min="9" max="9" width="1.42578125" style="6" customWidth="1"/>
    <col min="10" max="10" width="42.7109375" customWidth="1"/>
    <col min="11" max="11" width="10.5703125" customWidth="1"/>
    <col min="12" max="12" width="1.42578125" customWidth="1"/>
    <col min="13" max="13" width="11.85546875" customWidth="1"/>
    <col min="14" max="14" width="1.42578125" customWidth="1"/>
    <col min="15" max="15" width="10.5703125" customWidth="1"/>
    <col min="16" max="16" width="1.42578125" customWidth="1"/>
    <col min="17" max="17" width="16.140625" customWidth="1"/>
    <col min="18" max="18" width="1.42578125" customWidth="1"/>
    <col min="19" max="19" width="12.7109375" customWidth="1"/>
    <col min="20" max="20" width="1.42578125" customWidth="1"/>
    <col min="22" max="22" width="9.85546875" bestFit="1" customWidth="1"/>
    <col min="23" max="24" width="10.5703125" customWidth="1"/>
  </cols>
  <sheetData>
    <row r="2" spans="2:21" ht="17.25" x14ac:dyDescent="0.4">
      <c r="B2" s="16" t="s">
        <v>63</v>
      </c>
      <c r="F2" s="96" t="s">
        <v>298</v>
      </c>
      <c r="G2" s="97"/>
      <c r="H2" s="97" t="s">
        <v>299</v>
      </c>
      <c r="I2" s="99"/>
      <c r="J2" s="54"/>
    </row>
    <row r="3" spans="2:21" x14ac:dyDescent="0.25">
      <c r="M3" s="101" t="s">
        <v>302</v>
      </c>
    </row>
    <row r="4" spans="2:21" x14ac:dyDescent="0.25">
      <c r="C4" s="16" t="s">
        <v>72</v>
      </c>
      <c r="D4" s="26" t="s">
        <v>75</v>
      </c>
      <c r="E4" s="26"/>
      <c r="F4" s="29" t="s">
        <v>73</v>
      </c>
      <c r="G4" s="29"/>
      <c r="H4" s="29" t="s">
        <v>74</v>
      </c>
      <c r="I4" s="29"/>
      <c r="J4" s="19" t="s">
        <v>141</v>
      </c>
      <c r="K4" s="19" t="s">
        <v>78</v>
      </c>
      <c r="L4" s="19"/>
      <c r="M4" s="160" t="s">
        <v>303</v>
      </c>
      <c r="N4" s="19"/>
      <c r="O4" s="19" t="s">
        <v>79</v>
      </c>
      <c r="P4" s="19"/>
      <c r="Q4" s="19" t="s">
        <v>80</v>
      </c>
      <c r="R4" s="19"/>
      <c r="S4" s="177" t="s">
        <v>304</v>
      </c>
    </row>
    <row r="5" spans="2:21" x14ac:dyDescent="0.25">
      <c r="M5" s="19" t="s">
        <v>131</v>
      </c>
      <c r="S5" s="19" t="s">
        <v>131</v>
      </c>
    </row>
    <row r="6" spans="2:21" x14ac:dyDescent="0.25">
      <c r="C6" s="127" t="s">
        <v>215</v>
      </c>
      <c r="D6" s="88">
        <v>482</v>
      </c>
      <c r="E6" s="27"/>
      <c r="F6" s="218">
        <v>91.58</v>
      </c>
      <c r="H6" s="6">
        <f t="shared" ref="H6:H16" si="0">F6/D6</f>
        <v>0.19</v>
      </c>
      <c r="K6" t="s">
        <v>33</v>
      </c>
      <c r="M6" s="132">
        <v>613547</v>
      </c>
      <c r="O6" s="25">
        <f>+M6/$M$11</f>
        <v>0.38854565235838961</v>
      </c>
      <c r="Q6" s="6">
        <f>O6*F44</f>
        <v>236009.78236794574</v>
      </c>
      <c r="S6" s="132">
        <v>521214</v>
      </c>
      <c r="U6" s="110" t="s">
        <v>154</v>
      </c>
    </row>
    <row r="7" spans="2:21" x14ac:dyDescent="0.25">
      <c r="C7" s="127" t="s">
        <v>142</v>
      </c>
      <c r="D7" s="88">
        <f>2643+231+2005+17045+1939</f>
        <v>23863</v>
      </c>
      <c r="E7" s="27"/>
      <c r="F7" s="218">
        <f>1085.4+1997+2587.2+4525.8+4973</f>
        <v>15168.400000000001</v>
      </c>
      <c r="H7" s="6">
        <f t="shared" si="0"/>
        <v>0.63564514101328418</v>
      </c>
      <c r="K7" t="s">
        <v>82</v>
      </c>
      <c r="M7" s="132">
        <v>18501</v>
      </c>
      <c r="O7" s="25">
        <f t="shared" ref="O7:O9" si="1">+M7/$M$11</f>
        <v>1.1716271311378861E-2</v>
      </c>
      <c r="Q7" s="6">
        <f>O7*F44</f>
        <v>7116.6788910863615</v>
      </c>
      <c r="S7" s="132">
        <v>15883</v>
      </c>
    </row>
    <row r="8" spans="2:21" x14ac:dyDescent="0.25">
      <c r="C8" s="127" t="s">
        <v>166</v>
      </c>
      <c r="D8" s="88">
        <f>1685+49</f>
        <v>1734</v>
      </c>
      <c r="E8" s="27"/>
      <c r="F8" s="218">
        <f>1342.72+545.83</f>
        <v>1888.5500000000002</v>
      </c>
      <c r="H8" s="6">
        <f t="shared" si="0"/>
        <v>1.0891291810841985</v>
      </c>
      <c r="K8" t="s">
        <v>83</v>
      </c>
      <c r="M8" s="132">
        <v>893995</v>
      </c>
      <c r="O8" s="25">
        <f t="shared" si="1"/>
        <v>0.56614712561570424</v>
      </c>
      <c r="Q8" s="6">
        <f>O8*F44</f>
        <v>343888.18686756131</v>
      </c>
      <c r="S8" s="132">
        <v>676908</v>
      </c>
    </row>
    <row r="9" spans="2:21" x14ac:dyDescent="0.25">
      <c r="C9" s="127" t="s">
        <v>64</v>
      </c>
      <c r="D9" s="88">
        <v>40319</v>
      </c>
      <c r="E9" s="27"/>
      <c r="F9" s="218">
        <v>21087.3</v>
      </c>
      <c r="H9" s="6">
        <f t="shared" si="0"/>
        <v>0.5230114834197277</v>
      </c>
      <c r="K9" t="s">
        <v>110</v>
      </c>
      <c r="M9" s="132">
        <v>53043</v>
      </c>
      <c r="O9" s="25">
        <f t="shared" si="1"/>
        <v>3.3590950714527265E-2</v>
      </c>
      <c r="Q9" s="6">
        <f>O9*F44</f>
        <v>20403.761873406511</v>
      </c>
      <c r="S9" s="132">
        <v>78807</v>
      </c>
    </row>
    <row r="10" spans="2:21" x14ac:dyDescent="0.25">
      <c r="C10" s="127" t="s">
        <v>65</v>
      </c>
      <c r="D10" s="88">
        <v>672</v>
      </c>
      <c r="E10" s="27"/>
      <c r="F10" s="218">
        <v>736.59</v>
      </c>
      <c r="H10" s="6">
        <f t="shared" si="0"/>
        <v>1.0961160714285714</v>
      </c>
    </row>
    <row r="11" spans="2:21" x14ac:dyDescent="0.25">
      <c r="C11" s="127" t="s">
        <v>66</v>
      </c>
      <c r="D11" s="88">
        <v>255</v>
      </c>
      <c r="E11" s="27"/>
      <c r="F11" s="218">
        <v>289.63</v>
      </c>
      <c r="H11" s="6">
        <f t="shared" si="0"/>
        <v>1.1358039215686275</v>
      </c>
      <c r="M11" s="28">
        <f>SUM(M6:M10)</f>
        <v>1579086</v>
      </c>
      <c r="N11" s="32"/>
      <c r="O11" s="33">
        <f>SUM(O6:O9)</f>
        <v>0.99999999999999989</v>
      </c>
      <c r="P11" s="32"/>
      <c r="Q11" s="30">
        <f>SUM(Q6:Q9)</f>
        <v>607418.40999999992</v>
      </c>
      <c r="R11" s="32"/>
      <c r="S11" s="28">
        <f>SUM(S6:S10)</f>
        <v>1292812</v>
      </c>
    </row>
    <row r="12" spans="2:21" x14ac:dyDescent="0.25">
      <c r="C12" s="127" t="s">
        <v>67</v>
      </c>
      <c r="D12" s="88">
        <v>3761</v>
      </c>
      <c r="E12" s="27"/>
      <c r="F12" s="218">
        <v>2324.8000000000002</v>
      </c>
      <c r="H12" s="6">
        <f t="shared" si="0"/>
        <v>0.6181334751395906</v>
      </c>
      <c r="K12" s="222"/>
    </row>
    <row r="13" spans="2:21" x14ac:dyDescent="0.25">
      <c r="C13" s="127" t="s">
        <v>68</v>
      </c>
      <c r="D13" s="88">
        <v>43</v>
      </c>
      <c r="E13" s="27"/>
      <c r="F13" s="218">
        <v>157.19</v>
      </c>
      <c r="H13" s="6">
        <f t="shared" si="0"/>
        <v>3.655581395348837</v>
      </c>
      <c r="M13" t="s">
        <v>205</v>
      </c>
      <c r="Q13" s="6"/>
    </row>
    <row r="14" spans="2:21" x14ac:dyDescent="0.25">
      <c r="C14" s="127" t="s">
        <v>69</v>
      </c>
      <c r="D14" s="88">
        <v>280</v>
      </c>
      <c r="E14" s="27"/>
      <c r="F14" s="218">
        <v>317.11</v>
      </c>
      <c r="H14" s="6">
        <f t="shared" si="0"/>
        <v>1.1325357142857144</v>
      </c>
      <c r="O14" t="s">
        <v>214</v>
      </c>
    </row>
    <row r="15" spans="2:21" x14ac:dyDescent="0.25">
      <c r="C15" s="127" t="s">
        <v>70</v>
      </c>
      <c r="D15" s="88">
        <v>2002</v>
      </c>
      <c r="E15" s="27"/>
      <c r="F15" s="218">
        <v>1470.96</v>
      </c>
      <c r="H15" s="6">
        <f t="shared" si="0"/>
        <v>0.73474525474525476</v>
      </c>
      <c r="O15" s="7" t="s">
        <v>210</v>
      </c>
      <c r="Q15" s="134">
        <v>345476.08</v>
      </c>
      <c r="S15" t="s">
        <v>242</v>
      </c>
    </row>
    <row r="16" spans="2:21" x14ac:dyDescent="0.25">
      <c r="C16" s="127" t="s">
        <v>71</v>
      </c>
      <c r="D16" s="88">
        <v>3236</v>
      </c>
      <c r="E16" s="27"/>
      <c r="F16" s="218">
        <v>2205.7800000000002</v>
      </c>
      <c r="H16" s="6">
        <f t="shared" si="0"/>
        <v>0.68163782447466015</v>
      </c>
      <c r="O16" s="7" t="s">
        <v>212</v>
      </c>
      <c r="Q16" s="102">
        <v>5976.73</v>
      </c>
      <c r="S16" t="s">
        <v>242</v>
      </c>
    </row>
    <row r="17" spans="3:24" x14ac:dyDescent="0.25">
      <c r="C17" s="127" t="s">
        <v>183</v>
      </c>
      <c r="D17" s="88">
        <v>85</v>
      </c>
      <c r="E17" s="27">
        <v>494.9</v>
      </c>
      <c r="F17" s="218">
        <v>494.9</v>
      </c>
      <c r="H17" s="6">
        <f>F17/D17</f>
        <v>5.8223529411764705</v>
      </c>
      <c r="J17" s="6"/>
      <c r="O17" s="7" t="s">
        <v>213</v>
      </c>
      <c r="Q17" s="102">
        <v>9164.16</v>
      </c>
      <c r="S17" t="s">
        <v>242</v>
      </c>
    </row>
    <row r="18" spans="3:24" ht="15.75" thickBot="1" x14ac:dyDescent="0.3">
      <c r="C18" s="16" t="s">
        <v>164</v>
      </c>
      <c r="D18" s="28">
        <f>SUM(D6:D17)</f>
        <v>76732</v>
      </c>
      <c r="E18" s="31"/>
      <c r="F18" s="30">
        <f>SUM(F6:F17)</f>
        <v>46232.79</v>
      </c>
      <c r="G18" s="20"/>
      <c r="H18" s="6">
        <f>F18/D18</f>
        <v>0.60252293697544701</v>
      </c>
      <c r="I18" s="20"/>
      <c r="J18" s="6"/>
      <c r="M18" s="6"/>
      <c r="O18" s="6" t="s">
        <v>146</v>
      </c>
      <c r="Q18" s="104">
        <f>SUM(Q15:Q17)</f>
        <v>360616.97</v>
      </c>
      <c r="S18" t="s">
        <v>243</v>
      </c>
    </row>
    <row r="19" spans="3:24" ht="15.75" thickTop="1" x14ac:dyDescent="0.25">
      <c r="K19" s="6"/>
      <c r="M19" s="6"/>
      <c r="O19" s="6" t="s">
        <v>211</v>
      </c>
      <c r="Q19" s="6">
        <f>+F41</f>
        <v>15346.400000000001</v>
      </c>
      <c r="S19" t="s">
        <v>243</v>
      </c>
      <c r="W19" s="6"/>
    </row>
    <row r="20" spans="3:24" x14ac:dyDescent="0.25">
      <c r="O20" s="6" t="s">
        <v>50</v>
      </c>
      <c r="Q20" s="174">
        <f>+Q18+Q19</f>
        <v>375963.37</v>
      </c>
      <c r="S20" t="s">
        <v>243</v>
      </c>
    </row>
    <row r="21" spans="3:24" x14ac:dyDescent="0.25">
      <c r="C21" s="16" t="s">
        <v>77</v>
      </c>
      <c r="D21" s="26" t="s">
        <v>75</v>
      </c>
      <c r="E21" s="26"/>
      <c r="F21" s="29" t="s">
        <v>73</v>
      </c>
      <c r="G21" s="29"/>
      <c r="H21" s="29" t="s">
        <v>74</v>
      </c>
      <c r="I21" s="29"/>
      <c r="Q21" s="6">
        <f>+Q20-Q11</f>
        <v>-231455.03999999992</v>
      </c>
      <c r="S21" t="s">
        <v>243</v>
      </c>
    </row>
    <row r="22" spans="3:24" x14ac:dyDescent="0.25">
      <c r="Q22" s="6"/>
      <c r="X22" s="6"/>
    </row>
    <row r="23" spans="3:24" x14ac:dyDescent="0.25">
      <c r="C23" s="127" t="s">
        <v>216</v>
      </c>
      <c r="D23" s="88">
        <v>482</v>
      </c>
      <c r="F23" s="218">
        <v>3875.28</v>
      </c>
      <c r="H23" s="6">
        <f t="shared" ref="H23:H35" si="2">F23/D23</f>
        <v>8.0400000000000009</v>
      </c>
      <c r="Q23" s="6"/>
    </row>
    <row r="24" spans="3:24" x14ac:dyDescent="0.25">
      <c r="C24" t="s">
        <v>162</v>
      </c>
      <c r="D24" s="88"/>
      <c r="F24" s="63"/>
      <c r="H24" t="e">
        <f>F24/D24</f>
        <v>#DIV/0!</v>
      </c>
      <c r="J24" t="s">
        <v>140</v>
      </c>
      <c r="Q24" s="6"/>
    </row>
    <row r="25" spans="3:24" x14ac:dyDescent="0.25">
      <c r="C25" t="s">
        <v>268</v>
      </c>
      <c r="D25" s="88">
        <v>6164</v>
      </c>
      <c r="F25" s="63">
        <v>41372.769999999997</v>
      </c>
      <c r="H25" s="6">
        <f t="shared" si="2"/>
        <v>6.7120003244646327</v>
      </c>
      <c r="J25" t="s">
        <v>139</v>
      </c>
      <c r="S25" s="6"/>
    </row>
    <row r="26" spans="3:24" x14ac:dyDescent="0.25">
      <c r="C26" s="127" t="s">
        <v>181</v>
      </c>
      <c r="D26" s="88">
        <v>6499</v>
      </c>
      <c r="F26" s="218">
        <v>48053.599999999999</v>
      </c>
      <c r="H26" s="6">
        <f t="shared" si="2"/>
        <v>7.3939990767810428</v>
      </c>
      <c r="S26" s="6"/>
    </row>
    <row r="27" spans="3:24" x14ac:dyDescent="0.25">
      <c r="C27" s="127" t="s">
        <v>293</v>
      </c>
      <c r="D27" s="88">
        <v>20146</v>
      </c>
      <c r="F27" s="218">
        <v>143261.51999999999</v>
      </c>
      <c r="H27" s="6">
        <f t="shared" si="2"/>
        <v>7.1111644991561596</v>
      </c>
      <c r="S27" s="6"/>
    </row>
    <row r="28" spans="3:24" x14ac:dyDescent="0.25">
      <c r="C28" s="127" t="s">
        <v>294</v>
      </c>
      <c r="D28" s="88">
        <v>1720</v>
      </c>
      <c r="F28" s="218">
        <v>11352.51</v>
      </c>
      <c r="H28" s="6">
        <f t="shared" si="2"/>
        <v>6.6002965116279073</v>
      </c>
      <c r="S28" s="6"/>
    </row>
    <row r="29" spans="3:24" x14ac:dyDescent="0.25">
      <c r="C29" s="127" t="s">
        <v>295</v>
      </c>
      <c r="D29" s="88">
        <v>29240</v>
      </c>
      <c r="F29" s="218">
        <v>233265.04</v>
      </c>
      <c r="H29" s="6">
        <f t="shared" si="2"/>
        <v>7.9776005471956228</v>
      </c>
      <c r="O29" s="6"/>
      <c r="Q29" s="6"/>
    </row>
    <row r="30" spans="3:24" x14ac:dyDescent="0.25">
      <c r="C30" s="127" t="s">
        <v>182</v>
      </c>
      <c r="D30" s="88">
        <v>939</v>
      </c>
      <c r="F30" s="218">
        <v>1181.5899999999999</v>
      </c>
      <c r="H30" s="6">
        <f t="shared" si="2"/>
        <v>1.2583493077742278</v>
      </c>
    </row>
    <row r="31" spans="3:24" x14ac:dyDescent="0.25">
      <c r="C31" s="127" t="s">
        <v>280</v>
      </c>
      <c r="D31" s="88">
        <v>372</v>
      </c>
      <c r="F31" s="218">
        <v>3550.23</v>
      </c>
      <c r="H31" s="6">
        <f t="shared" si="2"/>
        <v>9.5436290322580639</v>
      </c>
    </row>
    <row r="32" spans="3:24" x14ac:dyDescent="0.25">
      <c r="C32" s="127" t="s">
        <v>111</v>
      </c>
      <c r="D32" s="88">
        <v>4416</v>
      </c>
      <c r="F32" s="218">
        <v>36961.919999999998</v>
      </c>
      <c r="H32" s="6">
        <f t="shared" ref="H32:H34" si="3">F32/D32</f>
        <v>8.3699999999999992</v>
      </c>
    </row>
    <row r="33" spans="3:22" x14ac:dyDescent="0.25">
      <c r="C33" s="127" t="s">
        <v>279</v>
      </c>
      <c r="D33" s="88">
        <v>335.63</v>
      </c>
      <c r="F33" s="218">
        <v>2252.73</v>
      </c>
      <c r="H33" s="6">
        <f t="shared" si="3"/>
        <v>6.711944701010041</v>
      </c>
    </row>
    <row r="34" spans="3:22" x14ac:dyDescent="0.25">
      <c r="C34" t="s">
        <v>198</v>
      </c>
      <c r="D34" s="88"/>
      <c r="F34" s="218">
        <v>6225.34</v>
      </c>
      <c r="H34" s="6" t="e">
        <f t="shared" si="3"/>
        <v>#DIV/0!</v>
      </c>
      <c r="J34" s="6"/>
    </row>
    <row r="35" spans="3:22" x14ac:dyDescent="0.25">
      <c r="D35" s="28">
        <f>SUM(D23:D34)</f>
        <v>70313.63</v>
      </c>
      <c r="E35" s="16"/>
      <c r="F35" s="89">
        <f>SUM(F23:F34)</f>
        <v>531352.52999999991</v>
      </c>
      <c r="H35" s="6">
        <f t="shared" si="2"/>
        <v>7.5568923123439919</v>
      </c>
      <c r="J35" s="6"/>
      <c r="K35" s="74" t="s">
        <v>132</v>
      </c>
      <c r="O35" s="55"/>
      <c r="Q35" s="55"/>
    </row>
    <row r="36" spans="3:22" x14ac:dyDescent="0.25">
      <c r="K36" s="74" t="s">
        <v>133</v>
      </c>
    </row>
    <row r="37" spans="3:22" x14ac:dyDescent="0.25">
      <c r="K37" s="74" t="s">
        <v>134</v>
      </c>
    </row>
    <row r="38" spans="3:22" x14ac:dyDescent="0.25">
      <c r="C38" t="s">
        <v>135</v>
      </c>
      <c r="F38" s="218">
        <v>630</v>
      </c>
      <c r="J38" t="s">
        <v>264</v>
      </c>
      <c r="K38" s="74" t="s">
        <v>137</v>
      </c>
    </row>
    <row r="39" spans="3:22" ht="15.75" thickBot="1" x14ac:dyDescent="0.3">
      <c r="C39" t="s">
        <v>112</v>
      </c>
      <c r="F39" s="218">
        <v>44.93</v>
      </c>
      <c r="Q39" s="6"/>
      <c r="S39" s="6"/>
    </row>
    <row r="40" spans="3:22" ht="15.75" thickBot="1" x14ac:dyDescent="0.3">
      <c r="C40" t="s">
        <v>76</v>
      </c>
      <c r="F40" s="109">
        <f>+D18*0.18</f>
        <v>13811.76</v>
      </c>
      <c r="J40" s="76" t="s">
        <v>200</v>
      </c>
      <c r="K40" s="74"/>
      <c r="S40" s="54"/>
    </row>
    <row r="41" spans="3:22" ht="15.75" thickBot="1" x14ac:dyDescent="0.3">
      <c r="C41" t="s">
        <v>136</v>
      </c>
      <c r="F41" s="6">
        <f>D18*0.2</f>
        <v>15346.400000000001</v>
      </c>
      <c r="J41" s="76" t="s">
        <v>202</v>
      </c>
    </row>
    <row r="42" spans="3:22" x14ac:dyDescent="0.25">
      <c r="F42" s="30">
        <f>SUM(F38:F41)</f>
        <v>29833.090000000004</v>
      </c>
      <c r="J42" s="163" t="s">
        <v>164</v>
      </c>
      <c r="K42" s="166" t="s">
        <v>201</v>
      </c>
      <c r="L42" s="164"/>
      <c r="M42" s="165" t="s">
        <v>50</v>
      </c>
    </row>
    <row r="43" spans="3:22" ht="15.75" thickBot="1" x14ac:dyDescent="0.3">
      <c r="C43" s="102">
        <f>572034.91+6225.34</f>
        <v>578260.25</v>
      </c>
      <c r="D43" s="117" t="s">
        <v>244</v>
      </c>
      <c r="J43" s="161">
        <f>+D18</f>
        <v>76732</v>
      </c>
      <c r="K43" s="148">
        <v>0.18</v>
      </c>
      <c r="L43" s="148"/>
      <c r="M43" s="162">
        <f>+J43*K43</f>
        <v>13811.76</v>
      </c>
      <c r="S43" s="54"/>
      <c r="T43" s="54"/>
      <c r="U43" s="54"/>
      <c r="V43" s="170"/>
    </row>
    <row r="44" spans="3:22" x14ac:dyDescent="0.25">
      <c r="C44" s="6">
        <f>+F18+F35+F38+F39</f>
        <v>578260.25</v>
      </c>
      <c r="D44" s="15" t="s">
        <v>39</v>
      </c>
      <c r="E44" s="16"/>
      <c r="F44" s="174">
        <f>F18+F35+F42</f>
        <v>607418.40999999992</v>
      </c>
    </row>
    <row r="45" spans="3:22" x14ac:dyDescent="0.25">
      <c r="C45" s="6">
        <f>+C44-C43</f>
        <v>0</v>
      </c>
      <c r="F45" s="99">
        <f>F44-F41-F40</f>
        <v>578260.24999999988</v>
      </c>
      <c r="H45" s="178">
        <f>F45-F34</f>
        <v>572034.90999999992</v>
      </c>
      <c r="I45" s="178"/>
      <c r="J45" s="179" t="s">
        <v>217</v>
      </c>
    </row>
    <row r="46" spans="3:22" x14ac:dyDescent="0.25">
      <c r="F46"/>
      <c r="G46"/>
    </row>
    <row r="47" spans="3:22" x14ac:dyDescent="0.25">
      <c r="D47" s="169"/>
      <c r="E47" s="54"/>
      <c r="F47" s="54"/>
      <c r="G47" s="170">
        <v>44280</v>
      </c>
    </row>
    <row r="48" spans="3:22" x14ac:dyDescent="0.25">
      <c r="F48"/>
      <c r="G48"/>
    </row>
    <row r="49" spans="6:7" x14ac:dyDescent="0.25">
      <c r="F49"/>
      <c r="G49"/>
    </row>
    <row r="66" spans="19:19" x14ac:dyDescent="0.25">
      <c r="S66" s="102"/>
    </row>
    <row r="67" spans="19:19" x14ac:dyDescent="0.25">
      <c r="S67" s="102"/>
    </row>
    <row r="68" spans="19:19" x14ac:dyDescent="0.25">
      <c r="S68" s="102"/>
    </row>
  </sheetData>
  <pageMargins left="0.25" right="0.25" top="0.75" bottom="0.75" header="0.3" footer="0.3"/>
  <pageSetup scale="59" orientation="landscape" horizontalDpi="4294967295" verticalDpi="4294967295" r:id="rId1"/>
  <headerFooter>
    <oddFooter>&amp;L&amp;D&amp;T&amp;R&amp;Z&amp;F&amp;A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60"/>
  <sheetViews>
    <sheetView showWhiteSpace="0" view="pageLayout" zoomScaleNormal="100" workbookViewId="0">
      <selection activeCell="J25" sqref="J25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  <col min="16" max="16" width="13.7109375" customWidth="1"/>
  </cols>
  <sheetData>
    <row r="1" spans="1:16" x14ac:dyDescent="0.25">
      <c r="A1" s="16" t="s">
        <v>277</v>
      </c>
      <c r="F1" s="6" t="str">
        <f>+'Commodity OK'!H2</f>
        <v>Data Input Jan.23 billing = Jan invoices = Dec Flow  data= Dec Sales Volume</v>
      </c>
    </row>
    <row r="3" spans="1:16" x14ac:dyDescent="0.25">
      <c r="A3" s="16" t="s">
        <v>99</v>
      </c>
    </row>
    <row r="4" spans="1:16" x14ac:dyDescent="0.25">
      <c r="F4" s="17" t="s">
        <v>8</v>
      </c>
      <c r="I4" s="1"/>
      <c r="J4" s="1"/>
      <c r="K4" s="5"/>
    </row>
    <row r="5" spans="1:16" x14ac:dyDescent="0.25">
      <c r="I5" s="1"/>
      <c r="J5" s="1"/>
      <c r="K5" s="5"/>
    </row>
    <row r="6" spans="1:16" x14ac:dyDescent="0.25">
      <c r="B6" t="s">
        <v>0</v>
      </c>
      <c r="F6" s="85">
        <f>ROUNDUP('Direct Charges'!J8,0)</f>
        <v>-3043</v>
      </c>
      <c r="I6" s="1"/>
      <c r="J6" s="1"/>
      <c r="K6" s="5"/>
    </row>
    <row r="7" spans="1:16" x14ac:dyDescent="0.25">
      <c r="B7" t="s">
        <v>4</v>
      </c>
      <c r="F7" s="85">
        <f>ROUNDUP('Direct Charges'!J14,0)</f>
        <v>8434</v>
      </c>
      <c r="I7" s="1"/>
      <c r="J7" s="1"/>
      <c r="K7" s="5"/>
      <c r="P7" s="6"/>
    </row>
    <row r="8" spans="1:16" x14ac:dyDescent="0.25">
      <c r="B8" t="s">
        <v>13</v>
      </c>
      <c r="F8" s="85">
        <f>ROUNDUP('Allocation Charges'!J6,0)</f>
        <v>0</v>
      </c>
      <c r="I8" s="1"/>
      <c r="J8" s="1"/>
      <c r="K8" s="5"/>
    </row>
    <row r="9" spans="1:16" x14ac:dyDescent="0.25">
      <c r="B9" t="s">
        <v>14</v>
      </c>
      <c r="F9" s="85">
        <v>0</v>
      </c>
      <c r="I9" s="1"/>
      <c r="J9" s="1"/>
      <c r="K9" s="5"/>
    </row>
    <row r="10" spans="1:16" x14ac:dyDescent="0.25">
      <c r="B10" t="s">
        <v>17</v>
      </c>
      <c r="F10" s="6"/>
      <c r="G10" s="6"/>
      <c r="J10" s="1"/>
    </row>
    <row r="11" spans="1:16" x14ac:dyDescent="0.25">
      <c r="C11" t="s">
        <v>37</v>
      </c>
      <c r="F11" s="6">
        <f>'Direct Charges'!J26</f>
        <v>201.65</v>
      </c>
      <c r="G11" s="6"/>
      <c r="J11" s="1"/>
    </row>
    <row r="12" spans="1:16" x14ac:dyDescent="0.25">
      <c r="C12" t="s">
        <v>38</v>
      </c>
      <c r="F12" s="6">
        <f>'Allocation Charges'!J7</f>
        <v>438.04558502451101</v>
      </c>
      <c r="G12" s="6"/>
      <c r="J12" s="1"/>
    </row>
    <row r="13" spans="1:16" x14ac:dyDescent="0.25">
      <c r="D13" s="7" t="s">
        <v>39</v>
      </c>
      <c r="E13" s="36"/>
      <c r="F13" s="229">
        <f>ROUNDUP(F12+F11,0)</f>
        <v>640</v>
      </c>
      <c r="G13" s="6"/>
      <c r="J13" s="1"/>
    </row>
    <row r="14" spans="1:16" x14ac:dyDescent="0.25">
      <c r="D14" s="7"/>
      <c r="F14" s="6"/>
      <c r="G14" s="6"/>
      <c r="J14" s="1"/>
    </row>
    <row r="15" spans="1:16" x14ac:dyDescent="0.25">
      <c r="B15" t="s">
        <v>15</v>
      </c>
      <c r="F15" s="85">
        <f>ROUNDUP('Allocation Charges'!J8,0)</f>
        <v>1014</v>
      </c>
      <c r="G15" s="6"/>
    </row>
    <row r="16" spans="1:16" x14ac:dyDescent="0.25">
      <c r="B16" t="s">
        <v>18</v>
      </c>
      <c r="F16" s="85">
        <f>ROUNDUP('Allocation Charges'!J9,0)</f>
        <v>0</v>
      </c>
      <c r="G16" s="6"/>
    </row>
    <row r="17" spans="2:7" x14ac:dyDescent="0.25">
      <c r="B17" t="s">
        <v>19</v>
      </c>
      <c r="F17" s="85">
        <f>ROUNDUP('Allocation Charges'!J10,0)</f>
        <v>7887</v>
      </c>
      <c r="G17" s="6"/>
    </row>
    <row r="18" spans="2:7" x14ac:dyDescent="0.25">
      <c r="B18" t="s">
        <v>20</v>
      </c>
      <c r="F18" s="6"/>
      <c r="G18" s="6"/>
    </row>
    <row r="19" spans="2:7" x14ac:dyDescent="0.25">
      <c r="C19" t="s">
        <v>37</v>
      </c>
      <c r="F19" s="6">
        <f>'Direct Charges'!J38</f>
        <v>144.13999999999999</v>
      </c>
      <c r="G19" s="6"/>
    </row>
    <row r="20" spans="2:7" x14ac:dyDescent="0.25">
      <c r="C20" t="s">
        <v>38</v>
      </c>
      <c r="F20" s="6">
        <f>'Allocation Charges'!J11</f>
        <v>1509.4820111860506</v>
      </c>
      <c r="G20" s="6"/>
    </row>
    <row r="21" spans="2:7" x14ac:dyDescent="0.25">
      <c r="D21" s="7" t="s">
        <v>39</v>
      </c>
      <c r="E21" s="36"/>
      <c r="F21" s="229">
        <f>ROUNDUP(F20+F19,0)</f>
        <v>1654</v>
      </c>
      <c r="G21" s="6"/>
    </row>
    <row r="22" spans="2:7" x14ac:dyDescent="0.25">
      <c r="B22" t="s">
        <v>21</v>
      </c>
      <c r="F22" s="6"/>
      <c r="G22" s="6"/>
    </row>
    <row r="23" spans="2:7" x14ac:dyDescent="0.25">
      <c r="C23" t="s">
        <v>37</v>
      </c>
      <c r="F23" s="6">
        <f>'Direct Charges'!J44</f>
        <v>3240.85</v>
      </c>
      <c r="G23" s="6"/>
    </row>
    <row r="24" spans="2:7" x14ac:dyDescent="0.25">
      <c r="C24" t="s">
        <v>38</v>
      </c>
      <c r="F24" s="6">
        <f>'Allocation Charges'!J12</f>
        <v>1108.5209396851715</v>
      </c>
      <c r="G24" s="6"/>
    </row>
    <row r="25" spans="2:7" x14ac:dyDescent="0.25">
      <c r="D25" s="7" t="s">
        <v>39</v>
      </c>
      <c r="E25" s="36"/>
      <c r="F25" s="229">
        <f>ROUNDUP(F24+F23,0)</f>
        <v>4350</v>
      </c>
      <c r="G25" s="6"/>
    </row>
    <row r="26" spans="2:7" x14ac:dyDescent="0.25">
      <c r="B26" t="s">
        <v>25</v>
      </c>
      <c r="F26" s="85">
        <f>ROUNDUP('Allocation Charges'!J13,0)</f>
        <v>1085</v>
      </c>
      <c r="G26" s="6"/>
    </row>
    <row r="27" spans="2:7" x14ac:dyDescent="0.25">
      <c r="B27" t="s">
        <v>26</v>
      </c>
      <c r="G27" s="6"/>
    </row>
    <row r="28" spans="2:7" x14ac:dyDescent="0.25">
      <c r="C28" t="s">
        <v>37</v>
      </c>
      <c r="F28" s="6">
        <f>+'Direct Charges'!J50</f>
        <v>1832.53</v>
      </c>
      <c r="G28" s="6"/>
    </row>
    <row r="29" spans="2:7" x14ac:dyDescent="0.25">
      <c r="C29" t="s">
        <v>38</v>
      </c>
      <c r="F29" s="6">
        <f>'Allocation Charges'!J14</f>
        <v>14.649638525136641</v>
      </c>
      <c r="G29" s="6"/>
    </row>
    <row r="30" spans="2:7" x14ac:dyDescent="0.25">
      <c r="D30" s="7" t="s">
        <v>39</v>
      </c>
      <c r="E30" s="36"/>
      <c r="F30" s="229">
        <f>ROUNDUP(F29+F28,0)</f>
        <v>1848</v>
      </c>
      <c r="G30" s="6"/>
    </row>
    <row r="31" spans="2:7" x14ac:dyDescent="0.25">
      <c r="B31" t="s">
        <v>27</v>
      </c>
      <c r="G31" s="6"/>
    </row>
    <row r="32" spans="2:7" x14ac:dyDescent="0.25">
      <c r="C32" t="s">
        <v>37</v>
      </c>
      <c r="F32" s="6">
        <f>+'Direct Charges'!J56</f>
        <v>730.54</v>
      </c>
      <c r="G32" s="6"/>
    </row>
    <row r="33" spans="1:7" x14ac:dyDescent="0.25">
      <c r="C33" t="s">
        <v>38</v>
      </c>
      <c r="F33" s="6">
        <f>'Allocation Charges'!J15</f>
        <v>1800.4884039152735</v>
      </c>
      <c r="G33" s="6"/>
    </row>
    <row r="34" spans="1:7" x14ac:dyDescent="0.25">
      <c r="D34" s="7" t="s">
        <v>39</v>
      </c>
      <c r="E34" s="36"/>
      <c r="F34" s="229">
        <f>ROUNDUP(F33+F32,0)</f>
        <v>2532</v>
      </c>
      <c r="G34" s="6"/>
    </row>
    <row r="35" spans="1:7" x14ac:dyDescent="0.25">
      <c r="B35" t="s">
        <v>203</v>
      </c>
      <c r="F35" s="85">
        <f>ROUNDUP('Allocation Charges'!J16,0)</f>
        <v>0</v>
      </c>
      <c r="G35" s="6"/>
    </row>
    <row r="36" spans="1:7" x14ac:dyDescent="0.25">
      <c r="B36" t="s">
        <v>28</v>
      </c>
      <c r="F36" s="85">
        <f>ROUNDUP('Allocation Charges'!J17,0)</f>
        <v>0</v>
      </c>
      <c r="G36" s="6"/>
    </row>
    <row r="37" spans="1:7" x14ac:dyDescent="0.25">
      <c r="B37" t="s">
        <v>29</v>
      </c>
      <c r="F37" s="85">
        <f>ROUNDUP('Allocation Charges'!J18,0)</f>
        <v>555</v>
      </c>
      <c r="G37" s="6"/>
    </row>
    <row r="38" spans="1:7" x14ac:dyDescent="0.25">
      <c r="B38" t="s">
        <v>30</v>
      </c>
      <c r="F38" s="85">
        <f>ROUNDUP('Allocation Charges'!J19,0)</f>
        <v>615</v>
      </c>
      <c r="G38" s="6"/>
    </row>
    <row r="39" spans="1:7" x14ac:dyDescent="0.25">
      <c r="F39" s="6"/>
      <c r="G39" s="6"/>
    </row>
    <row r="40" spans="1:7" x14ac:dyDescent="0.25">
      <c r="F40" s="224">
        <f>F6+F7+F8+F9+F13+F15+F16+F17+F21+F25+F26+F30+F34+F35+F36+F37+F38</f>
        <v>27571</v>
      </c>
      <c r="G40" s="6"/>
    </row>
    <row r="41" spans="1:7" x14ac:dyDescent="0.25">
      <c r="A41" s="16" t="s">
        <v>100</v>
      </c>
      <c r="F41" s="6"/>
      <c r="G41" s="6"/>
    </row>
    <row r="42" spans="1:7" x14ac:dyDescent="0.25">
      <c r="F42" s="6"/>
      <c r="G42" s="6"/>
    </row>
    <row r="43" spans="1:7" x14ac:dyDescent="0.25">
      <c r="F43" s="124" t="s">
        <v>305</v>
      </c>
      <c r="G43" s="6"/>
    </row>
    <row r="44" spans="1:7" x14ac:dyDescent="0.25">
      <c r="B44" t="s">
        <v>46</v>
      </c>
      <c r="F44" s="85">
        <f>ROUNDUP('Allocation Charges'!J27,0)</f>
        <v>1549</v>
      </c>
      <c r="G44" s="6"/>
    </row>
    <row r="45" spans="1:7" x14ac:dyDescent="0.25">
      <c r="B45" t="s">
        <v>32</v>
      </c>
      <c r="F45" s="85">
        <f>ROUNDUP('Allocation Charges'!J28,0)</f>
        <v>510</v>
      </c>
      <c r="G45" s="6"/>
    </row>
    <row r="46" spans="1:7" x14ac:dyDescent="0.25">
      <c r="B46" t="s">
        <v>47</v>
      </c>
      <c r="F46" s="85">
        <f>ROUNDUP('Allocation Charges'!J29,0)</f>
        <v>810</v>
      </c>
      <c r="G46" s="6"/>
    </row>
    <row r="47" spans="1:7" x14ac:dyDescent="0.25">
      <c r="B47" t="s">
        <v>48</v>
      </c>
      <c r="F47" s="85">
        <f>ROUNDUP('Allocation Charges'!J30,0)</f>
        <v>489</v>
      </c>
      <c r="G47" s="6"/>
    </row>
    <row r="48" spans="1:7" x14ac:dyDescent="0.25">
      <c r="B48" t="s">
        <v>41</v>
      </c>
      <c r="F48" s="85">
        <f>ROUNDUP('Allocation Charges'!J31,0)</f>
        <v>462</v>
      </c>
      <c r="G48" s="6"/>
    </row>
    <row r="49" spans="1:8" x14ac:dyDescent="0.25">
      <c r="B49" t="s">
        <v>31</v>
      </c>
      <c r="F49" s="85">
        <f>ROUNDUP('Allocation Charges'!J32,0)</f>
        <v>1280</v>
      </c>
      <c r="G49" s="6"/>
    </row>
    <row r="50" spans="1:8" x14ac:dyDescent="0.25">
      <c r="F50" s="6"/>
    </row>
    <row r="51" spans="1:8" x14ac:dyDescent="0.25">
      <c r="F51" s="224">
        <f>SUM(F44:F49)</f>
        <v>5100</v>
      </c>
    </row>
    <row r="52" spans="1:8" x14ac:dyDescent="0.25">
      <c r="A52" s="16" t="s">
        <v>84</v>
      </c>
      <c r="F52" s="6"/>
      <c r="H52" t="s">
        <v>75</v>
      </c>
    </row>
    <row r="53" spans="1:8" x14ac:dyDescent="0.25">
      <c r="A53" s="16"/>
      <c r="B53" t="s">
        <v>272</v>
      </c>
      <c r="F53" s="6">
        <f>ROUNDUP('Commodity TN KY'!I20,0)</f>
        <v>16206</v>
      </c>
      <c r="H53" s="106">
        <f>'Commodity TN KY'!E15*'Commodity TN KY'!G20</f>
        <v>3094.3595532547215</v>
      </c>
    </row>
    <row r="54" spans="1:8" x14ac:dyDescent="0.25">
      <c r="A54" s="16"/>
      <c r="B54" t="s">
        <v>273</v>
      </c>
      <c r="F54" s="6">
        <f>ROUNDUP('Commodity TN KY'!I27,0)</f>
        <v>41779</v>
      </c>
      <c r="H54" s="106">
        <f>+'Commodity TN KY'!E27</f>
        <v>6600</v>
      </c>
    </row>
    <row r="55" spans="1:8" x14ac:dyDescent="0.25">
      <c r="A55" s="16"/>
      <c r="B55" t="s">
        <v>274</v>
      </c>
      <c r="F55" s="6">
        <f>ROUNDUP('Commodity TN KY'!I28,0)</f>
        <v>2499</v>
      </c>
      <c r="H55" s="106">
        <f>+'Commodity TN KY'!E28</f>
        <v>2027</v>
      </c>
    </row>
    <row r="56" spans="1:8" x14ac:dyDescent="0.25">
      <c r="F56" s="223">
        <f>SUM(F53:F55)</f>
        <v>60484</v>
      </c>
    </row>
    <row r="57" spans="1:8" x14ac:dyDescent="0.25">
      <c r="F57" s="6"/>
    </row>
    <row r="58" spans="1:8" x14ac:dyDescent="0.25">
      <c r="A58" s="35"/>
      <c r="B58" s="35"/>
      <c r="C58" s="35"/>
      <c r="D58" s="35"/>
      <c r="E58" s="35"/>
      <c r="F58" s="236"/>
      <c r="G58" s="35"/>
    </row>
    <row r="59" spans="1:8" x14ac:dyDescent="0.25">
      <c r="F59" s="6"/>
    </row>
    <row r="60" spans="1:8" x14ac:dyDescent="0.25">
      <c r="D60" s="15" t="s">
        <v>57</v>
      </c>
      <c r="F60" s="224">
        <f>F40+F51+F56</f>
        <v>93155</v>
      </c>
    </row>
  </sheetData>
  <pageMargins left="0.7" right="0.7" top="0.75" bottom="0.75" header="0.3" footer="0.3"/>
  <pageSetup scale="78" orientation="portrait" horizontalDpi="4294967295" verticalDpi="4294967295" r:id="rId1"/>
  <headerFooter>
    <oddFooter>&amp;C&amp;Z&amp;F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60"/>
  <sheetViews>
    <sheetView zoomScaleNormal="100" workbookViewId="0">
      <selection activeCell="L28" sqref="L28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customWidth="1"/>
    <col min="7" max="7" width="1.42578125" customWidth="1"/>
  </cols>
  <sheetData>
    <row r="1" spans="1:11" x14ac:dyDescent="0.25">
      <c r="A1" s="16" t="s">
        <v>278</v>
      </c>
      <c r="F1" s="6" t="str">
        <f>+'Commodity OK'!H2</f>
        <v>Data Input Jan.23 billing = Jan invoices = Dec Flow  data= Dec Sales Volume</v>
      </c>
    </row>
    <row r="3" spans="1:11" x14ac:dyDescent="0.25">
      <c r="A3" s="16" t="s">
        <v>99</v>
      </c>
    </row>
    <row r="4" spans="1:11" x14ac:dyDescent="0.25">
      <c r="F4" s="17" t="s">
        <v>8</v>
      </c>
      <c r="I4" s="1"/>
      <c r="J4" s="1"/>
      <c r="K4" s="5"/>
    </row>
    <row r="5" spans="1:11" x14ac:dyDescent="0.25">
      <c r="I5" s="1"/>
      <c r="J5" s="1"/>
      <c r="K5" s="5"/>
    </row>
    <row r="6" spans="1:11" x14ac:dyDescent="0.25">
      <c r="B6" t="s">
        <v>0</v>
      </c>
      <c r="F6" s="83">
        <f>ROUNDUP('Direct Charges'!H7,0)</f>
        <v>5327</v>
      </c>
      <c r="I6" s="1"/>
      <c r="J6" s="1"/>
      <c r="K6" s="5"/>
    </row>
    <row r="7" spans="1:11" x14ac:dyDescent="0.25">
      <c r="B7" t="s">
        <v>4</v>
      </c>
      <c r="F7" s="83">
        <f>ROUNDUP('Direct Charges'!H13,0)</f>
        <v>5869</v>
      </c>
      <c r="I7" s="1"/>
      <c r="J7" s="1"/>
      <c r="K7" s="5"/>
    </row>
    <row r="8" spans="1:11" x14ac:dyDescent="0.25">
      <c r="B8" t="s">
        <v>13</v>
      </c>
      <c r="F8" s="83">
        <f>ROUNDUP('Allocation Charges'!H6,0)</f>
        <v>0</v>
      </c>
      <c r="I8" s="1"/>
      <c r="J8" s="1"/>
      <c r="K8" s="5"/>
    </row>
    <row r="9" spans="1:11" x14ac:dyDescent="0.25">
      <c r="B9" t="s">
        <v>14</v>
      </c>
      <c r="F9" s="83">
        <v>0</v>
      </c>
      <c r="I9" s="1"/>
      <c r="J9" s="1"/>
      <c r="K9" s="5"/>
    </row>
    <row r="10" spans="1:11" x14ac:dyDescent="0.25">
      <c r="B10" t="s">
        <v>17</v>
      </c>
      <c r="F10" s="60"/>
      <c r="G10" s="6"/>
      <c r="J10" s="1"/>
    </row>
    <row r="11" spans="1:11" x14ac:dyDescent="0.25">
      <c r="C11" t="s">
        <v>37</v>
      </c>
      <c r="F11" s="60">
        <f>'Direct Charges'!H25</f>
        <v>243.99</v>
      </c>
      <c r="G11" s="6"/>
      <c r="J11" s="1"/>
    </row>
    <row r="12" spans="1:11" x14ac:dyDescent="0.25">
      <c r="C12" t="s">
        <v>38</v>
      </c>
      <c r="F12" s="60">
        <f>'Allocation Charges'!H7</f>
        <v>932.02004645931731</v>
      </c>
      <c r="G12" s="6"/>
      <c r="J12" s="1"/>
    </row>
    <row r="13" spans="1:11" x14ac:dyDescent="0.25">
      <c r="D13" s="7" t="s">
        <v>39</v>
      </c>
      <c r="F13" s="86">
        <f>ROUNDUP(F11+F12,0)</f>
        <v>1177</v>
      </c>
      <c r="G13" s="6"/>
      <c r="J13" s="1"/>
    </row>
    <row r="14" spans="1:11" x14ac:dyDescent="0.25">
      <c r="B14" t="s">
        <v>15</v>
      </c>
      <c r="F14" s="60"/>
      <c r="G14" s="6"/>
    </row>
    <row r="15" spans="1:11" x14ac:dyDescent="0.25">
      <c r="C15" t="s">
        <v>37</v>
      </c>
      <c r="F15" s="60">
        <f>'Direct Charges'!H31</f>
        <v>0</v>
      </c>
      <c r="G15" s="6"/>
    </row>
    <row r="16" spans="1:11" x14ac:dyDescent="0.25">
      <c r="C16" t="s">
        <v>38</v>
      </c>
      <c r="F16" s="60">
        <f>'Allocation Charges'!H8</f>
        <v>2156.3605806210126</v>
      </c>
      <c r="G16" s="6"/>
    </row>
    <row r="17" spans="2:7" x14ac:dyDescent="0.25">
      <c r="D17" s="7" t="s">
        <v>39</v>
      </c>
      <c r="F17" s="86">
        <f>ROUNDUP(F15+F16,0)</f>
        <v>2157</v>
      </c>
      <c r="G17" s="6"/>
    </row>
    <row r="18" spans="2:7" x14ac:dyDescent="0.25">
      <c r="B18" t="s">
        <v>18</v>
      </c>
      <c r="F18" s="83">
        <f>ROUNDUP('Allocation Charges'!H9,0)</f>
        <v>0</v>
      </c>
      <c r="G18" s="6"/>
    </row>
    <row r="19" spans="2:7" x14ac:dyDescent="0.25">
      <c r="B19" t="s">
        <v>19</v>
      </c>
      <c r="F19" s="83">
        <f>ROUNDUP('Allocation Charges'!H10,0)</f>
        <v>16780</v>
      </c>
      <c r="G19" s="6"/>
    </row>
    <row r="20" spans="2:7" x14ac:dyDescent="0.25">
      <c r="B20" t="s">
        <v>20</v>
      </c>
      <c r="F20" s="60"/>
      <c r="G20" s="6"/>
    </row>
    <row r="21" spans="2:7" x14ac:dyDescent="0.25">
      <c r="C21" t="s">
        <v>37</v>
      </c>
      <c r="F21" s="60">
        <f>'Direct Charges'!H37</f>
        <v>20.54</v>
      </c>
      <c r="G21" s="6"/>
    </row>
    <row r="22" spans="2:7" x14ac:dyDescent="0.25">
      <c r="C22" t="s">
        <v>38</v>
      </c>
      <c r="F22" s="60">
        <f>'Allocation Charges'!H11</f>
        <v>3211.6919843317328</v>
      </c>
      <c r="G22" s="6"/>
    </row>
    <row r="23" spans="2:7" x14ac:dyDescent="0.25">
      <c r="D23" s="7" t="s">
        <v>39</v>
      </c>
      <c r="F23" s="86">
        <f>ROUNDUP(F21+F22,0)</f>
        <v>3233</v>
      </c>
      <c r="G23" s="6"/>
    </row>
    <row r="24" spans="2:7" x14ac:dyDescent="0.25">
      <c r="B24" t="s">
        <v>21</v>
      </c>
      <c r="F24" s="60"/>
      <c r="G24" s="6"/>
    </row>
    <row r="25" spans="2:7" x14ac:dyDescent="0.25">
      <c r="C25" t="s">
        <v>37</v>
      </c>
      <c r="F25" s="60">
        <f>'Direct Charges'!H43</f>
        <v>4295</v>
      </c>
      <c r="G25" s="6"/>
    </row>
    <row r="26" spans="2:7" x14ac:dyDescent="0.25">
      <c r="C26" t="s">
        <v>38</v>
      </c>
      <c r="F26" s="60">
        <f>'Allocation Charges'!H12</f>
        <v>2358.5758492433806</v>
      </c>
      <c r="G26" s="6"/>
    </row>
    <row r="27" spans="2:7" x14ac:dyDescent="0.25">
      <c r="D27" s="7" t="s">
        <v>39</v>
      </c>
      <c r="F27" s="86">
        <f>ROUNDUP(F25+F26,0)</f>
        <v>6654</v>
      </c>
      <c r="G27" s="6"/>
    </row>
    <row r="28" spans="2:7" x14ac:dyDescent="0.25">
      <c r="B28" t="s">
        <v>25</v>
      </c>
      <c r="F28" s="83">
        <f>ROUNDUP('Allocation Charges'!H13,0)</f>
        <v>2307</v>
      </c>
      <c r="G28" s="6"/>
    </row>
    <row r="29" spans="2:7" x14ac:dyDescent="0.25">
      <c r="B29" t="s">
        <v>26</v>
      </c>
      <c r="F29" s="60"/>
      <c r="G29" s="6"/>
    </row>
    <row r="30" spans="2:7" x14ac:dyDescent="0.25">
      <c r="C30" t="s">
        <v>37</v>
      </c>
      <c r="F30" s="60">
        <f>'Direct Charges'!H49</f>
        <v>157.5</v>
      </c>
      <c r="G30" s="6"/>
    </row>
    <row r="31" spans="2:7" x14ac:dyDescent="0.25">
      <c r="C31" t="s">
        <v>38</v>
      </c>
      <c r="F31" s="60">
        <f>'Allocation Charges'!H14</f>
        <v>31.169716681532254</v>
      </c>
      <c r="G31" s="6"/>
    </row>
    <row r="32" spans="2:7" x14ac:dyDescent="0.25">
      <c r="D32" s="7" t="s">
        <v>39</v>
      </c>
      <c r="F32" s="86">
        <f>ROUNDUP(F30+F31,0)</f>
        <v>189</v>
      </c>
      <c r="G32" s="6"/>
    </row>
    <row r="33" spans="1:9" x14ac:dyDescent="0.25">
      <c r="B33" t="s">
        <v>27</v>
      </c>
      <c r="G33" s="6"/>
    </row>
    <row r="34" spans="1:9" x14ac:dyDescent="0.25">
      <c r="C34" t="s">
        <v>37</v>
      </c>
      <c r="F34" s="60">
        <f>'Direct Charges'!H55</f>
        <v>2917.76</v>
      </c>
      <c r="G34" s="6"/>
    </row>
    <row r="35" spans="1:9" x14ac:dyDescent="0.25">
      <c r="C35" t="s">
        <v>38</v>
      </c>
      <c r="F35" s="60">
        <f>'Allocation Charges'!H15</f>
        <v>3830.8599452558728</v>
      </c>
      <c r="G35" s="6"/>
    </row>
    <row r="36" spans="1:9" x14ac:dyDescent="0.25">
      <c r="D36" s="7" t="s">
        <v>39</v>
      </c>
      <c r="F36" s="86">
        <f>ROUNDUP(F34+F35,0)</f>
        <v>6749</v>
      </c>
      <c r="G36" s="6"/>
    </row>
    <row r="37" spans="1:9" x14ac:dyDescent="0.25">
      <c r="B37" t="s">
        <v>203</v>
      </c>
      <c r="F37" s="83">
        <f>ROUNDUP('Allocation Charges'!H16,0)</f>
        <v>0</v>
      </c>
      <c r="G37" s="6"/>
    </row>
    <row r="38" spans="1:9" x14ac:dyDescent="0.25">
      <c r="B38" t="s">
        <v>28</v>
      </c>
      <c r="F38" s="83">
        <f>ROUNDUP('Allocation Charges'!H17,0)</f>
        <v>0</v>
      </c>
      <c r="G38" s="6"/>
    </row>
    <row r="39" spans="1:9" x14ac:dyDescent="0.25">
      <c r="B39" t="s">
        <v>29</v>
      </c>
      <c r="F39" s="83">
        <f>ROUNDUP('Allocation Charges'!H18,0)</f>
        <v>1180</v>
      </c>
      <c r="G39" s="6"/>
    </row>
    <row r="40" spans="1:9" x14ac:dyDescent="0.25">
      <c r="B40" t="s">
        <v>30</v>
      </c>
      <c r="F40" s="83">
        <f>ROUNDUP('Allocation Charges'!H19,0)</f>
        <v>1309</v>
      </c>
      <c r="G40" s="6"/>
    </row>
    <row r="41" spans="1:9" x14ac:dyDescent="0.25">
      <c r="F41" s="60"/>
      <c r="G41" s="6"/>
    </row>
    <row r="42" spans="1:9" x14ac:dyDescent="0.25">
      <c r="F42" s="87">
        <f>F6+F7+F8+F9+F13+F17+F18+F19+F23+F27+F28+F32+F36+F37+F38+F39+F40</f>
        <v>52931</v>
      </c>
      <c r="G42" s="6"/>
    </row>
    <row r="43" spans="1:9" x14ac:dyDescent="0.25">
      <c r="F43" s="6"/>
      <c r="G43" s="6"/>
    </row>
    <row r="44" spans="1:9" x14ac:dyDescent="0.25">
      <c r="A44" s="16" t="s">
        <v>100</v>
      </c>
      <c r="F44" s="124" t="s">
        <v>305</v>
      </c>
      <c r="G44" s="6"/>
      <c r="H44" s="124"/>
      <c r="I44" s="124"/>
    </row>
    <row r="45" spans="1:9" x14ac:dyDescent="0.25">
      <c r="F45" s="6"/>
      <c r="G45" s="6"/>
    </row>
    <row r="46" spans="1:9" x14ac:dyDescent="0.25">
      <c r="B46" t="s">
        <v>116</v>
      </c>
      <c r="F46" s="79">
        <f>ROUNDUP('Direct Charges'!H66,0)</f>
        <v>0</v>
      </c>
      <c r="G46" s="6"/>
    </row>
    <row r="47" spans="1:9" x14ac:dyDescent="0.25">
      <c r="B47" t="s">
        <v>46</v>
      </c>
      <c r="F47" s="79">
        <f>ROUNDUP('Allocation Charges'!H27,0)</f>
        <v>3295</v>
      </c>
      <c r="G47" s="6"/>
    </row>
    <row r="48" spans="1:9" x14ac:dyDescent="0.25">
      <c r="B48" t="s">
        <v>32</v>
      </c>
      <c r="F48" s="79">
        <f>ROUNDUP('Allocation Charges'!H28,0)</f>
        <v>1086</v>
      </c>
      <c r="G48" s="6"/>
    </row>
    <row r="49" spans="1:10" x14ac:dyDescent="0.25">
      <c r="B49" t="s">
        <v>47</v>
      </c>
      <c r="F49" s="79">
        <f>ROUNDUP('Allocation Charges'!H29,0)</f>
        <v>1723</v>
      </c>
      <c r="G49" s="6"/>
    </row>
    <row r="50" spans="1:10" x14ac:dyDescent="0.25">
      <c r="B50" t="s">
        <v>48</v>
      </c>
      <c r="F50" s="79">
        <f>ROUNDUP('Allocation Charges'!H30,0)</f>
        <v>1039</v>
      </c>
      <c r="G50" s="6"/>
      <c r="J50" s="8"/>
    </row>
    <row r="51" spans="1:10" x14ac:dyDescent="0.25">
      <c r="B51" t="s">
        <v>41</v>
      </c>
      <c r="F51" s="79">
        <f>ROUNDUP('Allocation Charges'!H31,0)</f>
        <v>982</v>
      </c>
      <c r="G51" s="6"/>
      <c r="J51" s="8"/>
    </row>
    <row r="52" spans="1:10" x14ac:dyDescent="0.25">
      <c r="B52" t="s">
        <v>31</v>
      </c>
      <c r="F52" s="79">
        <f>ROUNDUP('Allocation Charges'!H32,0)</f>
        <v>2722</v>
      </c>
      <c r="J52" s="8"/>
    </row>
    <row r="53" spans="1:10" x14ac:dyDescent="0.25">
      <c r="F53" s="8"/>
    </row>
    <row r="54" spans="1:10" x14ac:dyDescent="0.25">
      <c r="F54" s="84">
        <f>SUM(F46:F52)</f>
        <v>10847</v>
      </c>
      <c r="I54" s="23"/>
      <c r="J54" s="23"/>
    </row>
    <row r="55" spans="1:10" x14ac:dyDescent="0.25">
      <c r="H55" t="s">
        <v>164</v>
      </c>
    </row>
    <row r="56" spans="1:10" x14ac:dyDescent="0.25">
      <c r="A56" s="16" t="s">
        <v>84</v>
      </c>
      <c r="F56" s="223">
        <f>ROUNDUP('Commodity TN KY'!I19,0)</f>
        <v>103550</v>
      </c>
      <c r="H56" s="114">
        <f>'Commodity TN KY'!E15*'Commodity TN KY'!G19</f>
        <v>19771.640446745278</v>
      </c>
    </row>
    <row r="57" spans="1:10" ht="7.5" customHeight="1" x14ac:dyDescent="0.25">
      <c r="F57" s="60"/>
    </row>
    <row r="58" spans="1:10" x14ac:dyDescent="0.25">
      <c r="A58" s="35"/>
      <c r="B58" s="35"/>
      <c r="C58" s="35"/>
      <c r="D58" s="35"/>
      <c r="E58" s="35"/>
      <c r="F58" s="61"/>
      <c r="G58" s="35"/>
      <c r="H58" s="35"/>
      <c r="I58" s="35"/>
    </row>
    <row r="59" spans="1:10" x14ac:dyDescent="0.25">
      <c r="F59" s="60"/>
    </row>
    <row r="60" spans="1:10" x14ac:dyDescent="0.25">
      <c r="D60" s="15" t="s">
        <v>57</v>
      </c>
      <c r="F60" s="224">
        <f>F42+F54+F56</f>
        <v>167328</v>
      </c>
    </row>
  </sheetData>
  <pageMargins left="0.7" right="0.7" top="0.75" bottom="0.75" header="0.3" footer="0.3"/>
  <pageSetup scale="76" fitToWidth="0" orientation="portrait" horizontalDpi="4294967295" verticalDpi="4294967295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EF150-8989-438B-9D1A-C23D3ADF1ED8}">
  <sheetPr>
    <pageSetUpPr fitToPage="1"/>
  </sheetPr>
  <dimension ref="A1:Y47"/>
  <sheetViews>
    <sheetView zoomScaleNormal="100" workbookViewId="0">
      <selection activeCell="P15" sqref="P15"/>
    </sheetView>
  </sheetViews>
  <sheetFormatPr defaultRowHeight="15" x14ac:dyDescent="0.25"/>
  <cols>
    <col min="1" max="2" width="1.42578125" customWidth="1"/>
    <col min="3" max="3" width="24.85546875" customWidth="1"/>
    <col min="4" max="4" width="1.42578125" customWidth="1"/>
    <col min="5" max="5" width="12.85546875" style="6" customWidth="1"/>
    <col min="6" max="6" width="1.42578125" style="6" customWidth="1"/>
    <col min="7" max="7" width="12.85546875" style="6" customWidth="1"/>
    <col min="8" max="8" width="1.42578125" style="6" customWidth="1"/>
    <col min="9" max="9" width="15.140625" customWidth="1"/>
    <col min="10" max="10" width="1.42578125" style="6" customWidth="1"/>
    <col min="11" max="11" width="14.28515625" customWidth="1"/>
    <col min="12" max="13" width="1.42578125" customWidth="1"/>
    <col min="15" max="15" width="1.42578125" customWidth="1"/>
    <col min="16" max="16" width="15.28515625" customWidth="1"/>
    <col min="17" max="17" width="1.42578125" customWidth="1"/>
    <col min="18" max="18" width="12.7109375" customWidth="1"/>
    <col min="19" max="19" width="1.42578125" customWidth="1"/>
    <col min="22" max="22" width="12.5703125" customWidth="1"/>
  </cols>
  <sheetData>
    <row r="1" spans="1:18" x14ac:dyDescent="0.25">
      <c r="I1" s="98" t="str">
        <f>+'Commodity OK'!F2</f>
        <v>2301 file =</v>
      </c>
      <c r="J1" s="99"/>
      <c r="K1" s="100" t="str">
        <f>+'Commodity OK'!H2</f>
        <v>Data Input Jan.23 billing = Jan invoices = Dec Flow  data= Dec Sales Volume</v>
      </c>
    </row>
    <row r="2" spans="1:18" x14ac:dyDescent="0.25">
      <c r="B2" s="16" t="s">
        <v>85</v>
      </c>
      <c r="G2" s="75"/>
      <c r="I2" t="s">
        <v>138</v>
      </c>
    </row>
    <row r="4" spans="1:18" x14ac:dyDescent="0.25">
      <c r="B4" t="s">
        <v>88</v>
      </c>
    </row>
    <row r="5" spans="1:18" x14ac:dyDescent="0.25">
      <c r="A5" s="48"/>
      <c r="B5" s="48"/>
      <c r="C5" s="48"/>
      <c r="D5" s="48"/>
      <c r="E5" s="47" t="s">
        <v>86</v>
      </c>
      <c r="F5" s="48"/>
      <c r="G5" s="47" t="s">
        <v>87</v>
      </c>
      <c r="H5" s="48"/>
      <c r="I5" s="47" t="s">
        <v>50</v>
      </c>
      <c r="J5" s="48"/>
      <c r="K5" s="48"/>
      <c r="L5" s="48"/>
      <c r="M5" s="19"/>
      <c r="N5" s="19"/>
      <c r="O5" s="19"/>
      <c r="P5" s="19"/>
      <c r="Q5" s="19"/>
      <c r="R5" s="19"/>
    </row>
    <row r="6" spans="1:18" x14ac:dyDescent="0.25">
      <c r="A6" s="48"/>
      <c r="B6" s="48"/>
      <c r="C6" s="48" t="s">
        <v>199</v>
      </c>
      <c r="D6" s="48"/>
      <c r="E6" s="90" t="s">
        <v>241</v>
      </c>
      <c r="F6" s="48"/>
      <c r="G6" s="157"/>
      <c r="H6" s="49"/>
      <c r="I6" s="175"/>
      <c r="J6" s="48"/>
      <c r="K6" s="48"/>
      <c r="L6" s="48"/>
      <c r="N6" s="25"/>
      <c r="R6" s="27"/>
    </row>
    <row r="7" spans="1:18" x14ac:dyDescent="0.25">
      <c r="A7" s="48"/>
      <c r="B7" s="48"/>
      <c r="C7" s="48" t="s">
        <v>156</v>
      </c>
      <c r="D7" s="48"/>
      <c r="E7" s="90">
        <v>5008</v>
      </c>
      <c r="F7" s="51"/>
      <c r="G7" s="49">
        <f t="shared" ref="G7:G14" si="0">I7/E7</f>
        <v>0.42497603833865821</v>
      </c>
      <c r="H7" s="49"/>
      <c r="I7" s="175">
        <v>2128.2800000000002</v>
      </c>
      <c r="J7" s="48"/>
      <c r="K7" s="48"/>
      <c r="L7" s="48"/>
      <c r="N7" s="25"/>
      <c r="R7" s="27"/>
    </row>
    <row r="8" spans="1:18" x14ac:dyDescent="0.25">
      <c r="A8" s="48"/>
      <c r="B8" s="48"/>
      <c r="C8" s="48" t="s">
        <v>143</v>
      </c>
      <c r="D8" s="154"/>
      <c r="E8" s="90">
        <v>930</v>
      </c>
      <c r="F8" s="48"/>
      <c r="G8" s="49">
        <f>I8/E8</f>
        <v>7.99</v>
      </c>
      <c r="H8" s="49"/>
      <c r="I8" s="175">
        <v>7430.7</v>
      </c>
      <c r="J8" s="154"/>
      <c r="K8" s="48"/>
      <c r="L8" s="48"/>
      <c r="N8" s="25"/>
      <c r="R8" s="27"/>
    </row>
    <row r="9" spans="1:18" x14ac:dyDescent="0.25">
      <c r="A9" s="48"/>
      <c r="B9" s="48"/>
      <c r="C9" s="48" t="s">
        <v>197</v>
      </c>
      <c r="D9" s="48"/>
      <c r="E9" s="90">
        <v>5865</v>
      </c>
      <c r="F9" s="48"/>
      <c r="G9" s="49">
        <f t="shared" si="0"/>
        <v>2.7172003410059675</v>
      </c>
      <c r="H9" s="49"/>
      <c r="I9" s="175">
        <v>15936.38</v>
      </c>
      <c r="J9" s="48"/>
      <c r="K9" s="48"/>
      <c r="L9" s="48"/>
      <c r="N9" s="25"/>
      <c r="R9" s="27"/>
    </row>
    <row r="10" spans="1:18" x14ac:dyDescent="0.25">
      <c r="A10" s="48"/>
      <c r="B10" s="48"/>
      <c r="C10" s="48" t="s">
        <v>209</v>
      </c>
      <c r="D10" s="48"/>
      <c r="E10" s="90" t="s">
        <v>139</v>
      </c>
      <c r="F10" s="48"/>
      <c r="G10" s="49" t="e">
        <f t="shared" si="0"/>
        <v>#VALUE!</v>
      </c>
      <c r="H10" s="49"/>
      <c r="I10" s="175">
        <v>875.76</v>
      </c>
      <c r="J10" s="48"/>
      <c r="K10" s="48"/>
      <c r="L10" s="48"/>
      <c r="N10" s="25"/>
      <c r="R10" s="27"/>
    </row>
    <row r="11" spans="1:18" x14ac:dyDescent="0.25">
      <c r="A11" s="48"/>
      <c r="B11" s="48"/>
      <c r="C11" s="48" t="s">
        <v>275</v>
      </c>
      <c r="D11" s="48"/>
      <c r="E11" s="90"/>
      <c r="F11" s="48"/>
      <c r="G11" s="49" t="e">
        <f t="shared" si="0"/>
        <v>#DIV/0!</v>
      </c>
      <c r="H11" s="49"/>
      <c r="I11" s="175"/>
      <c r="J11" s="48"/>
      <c r="K11" s="48"/>
      <c r="L11" s="48"/>
      <c r="N11" s="25"/>
      <c r="R11" s="27"/>
    </row>
    <row r="12" spans="1:18" x14ac:dyDescent="0.25">
      <c r="A12" s="48"/>
      <c r="B12" s="48"/>
      <c r="C12" s="48" t="s">
        <v>245</v>
      </c>
      <c r="D12" s="48"/>
      <c r="E12" s="90">
        <f>478+712</f>
        <v>1190</v>
      </c>
      <c r="F12" s="48"/>
      <c r="G12" s="49">
        <f>I12/E12</f>
        <v>8.3979579831932778</v>
      </c>
      <c r="H12" s="49"/>
      <c r="I12" s="175">
        <f>3628.01+6365.56</f>
        <v>9993.57</v>
      </c>
      <c r="J12" s="48"/>
      <c r="K12" s="48"/>
      <c r="L12" s="48"/>
      <c r="N12" s="25"/>
      <c r="R12" s="27"/>
    </row>
    <row r="13" spans="1:18" x14ac:dyDescent="0.25">
      <c r="A13" s="48"/>
      <c r="B13" s="48"/>
      <c r="C13" s="48" t="s">
        <v>192</v>
      </c>
      <c r="D13" s="48"/>
      <c r="E13" s="90">
        <f>4033+5840</f>
        <v>9873</v>
      </c>
      <c r="F13" s="48"/>
      <c r="G13" s="49">
        <f>I13/E13</f>
        <v>8.4463131773523763</v>
      </c>
      <c r="H13" s="49"/>
      <c r="I13" s="175">
        <f>32465.65+50924.8</f>
        <v>83390.450000000012</v>
      </c>
      <c r="J13" s="48"/>
      <c r="K13" s="48"/>
      <c r="L13" s="48"/>
      <c r="M13" s="16"/>
      <c r="N13" s="37"/>
      <c r="O13" s="16"/>
      <c r="Q13" s="16"/>
      <c r="R13" s="31"/>
    </row>
    <row r="14" spans="1:18" x14ac:dyDescent="0.25">
      <c r="A14" s="48"/>
      <c r="B14" s="48"/>
      <c r="C14" s="48" t="s">
        <v>247</v>
      </c>
      <c r="D14" s="48"/>
      <c r="E14" s="90"/>
      <c r="F14" s="48"/>
      <c r="G14" s="49" t="e">
        <f t="shared" si="0"/>
        <v>#DIV/0!</v>
      </c>
      <c r="H14" s="49"/>
      <c r="I14" s="175"/>
      <c r="J14" s="48"/>
      <c r="K14" s="48"/>
      <c r="L14" s="48"/>
      <c r="M14" s="16"/>
      <c r="N14" s="37"/>
      <c r="O14" s="16"/>
      <c r="Q14" s="16"/>
      <c r="R14" s="31"/>
    </row>
    <row r="15" spans="1:18" x14ac:dyDescent="0.25">
      <c r="A15" s="48"/>
      <c r="B15" s="48"/>
      <c r="C15" s="48"/>
      <c r="D15" s="48"/>
      <c r="E15" s="43">
        <f>SUM(E7:E14)</f>
        <v>22866</v>
      </c>
      <c r="F15" s="48"/>
      <c r="G15" s="42">
        <f>I15/(E8+E13)</f>
        <v>11.085359622327132</v>
      </c>
      <c r="H15" s="49"/>
      <c r="I15" s="176">
        <f>SUM(I6:I14)</f>
        <v>119755.14000000001</v>
      </c>
      <c r="J15" s="48"/>
      <c r="K15" s="48"/>
      <c r="L15" s="48"/>
      <c r="R15" s="56"/>
    </row>
    <row r="16" spans="1:18" x14ac:dyDescent="0.25">
      <c r="A16" s="48"/>
      <c r="B16" s="48"/>
      <c r="C16" s="48"/>
      <c r="D16" s="48"/>
      <c r="E16" s="64"/>
      <c r="F16" s="48"/>
      <c r="G16" s="49"/>
      <c r="H16" s="49"/>
      <c r="I16" s="49"/>
      <c r="J16" s="48"/>
      <c r="K16" s="48"/>
      <c r="L16" s="48"/>
      <c r="R16" s="56"/>
    </row>
    <row r="17" spans="1:25" x14ac:dyDescent="0.25">
      <c r="A17" s="48"/>
      <c r="B17" s="48"/>
      <c r="C17" s="40" t="s">
        <v>78</v>
      </c>
      <c r="D17" s="40"/>
      <c r="E17" s="40" t="s">
        <v>189</v>
      </c>
      <c r="F17" s="48"/>
      <c r="G17" s="40" t="s">
        <v>79</v>
      </c>
      <c r="H17" s="48"/>
      <c r="I17" s="40" t="s">
        <v>80</v>
      </c>
      <c r="J17" s="48"/>
      <c r="K17" s="40" t="s">
        <v>81</v>
      </c>
      <c r="L17" s="48"/>
      <c r="R17" s="59"/>
    </row>
    <row r="18" spans="1:25" x14ac:dyDescent="0.25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0"/>
      <c r="L18" s="48"/>
      <c r="R18" s="55"/>
    </row>
    <row r="19" spans="1:25" x14ac:dyDescent="0.25">
      <c r="A19" s="48"/>
      <c r="B19" s="48"/>
      <c r="C19" s="48" t="s">
        <v>89</v>
      </c>
      <c r="D19" s="48"/>
      <c r="E19" s="92">
        <f>51566+34974+20337+1356</f>
        <v>108233</v>
      </c>
      <c r="F19" s="48"/>
      <c r="G19" s="45">
        <f>E19/E22</f>
        <v>0.86467420828939379</v>
      </c>
      <c r="H19" s="48"/>
      <c r="I19" s="168">
        <f>I15*G19</f>
        <v>103549.18086808553</v>
      </c>
      <c r="J19" s="48"/>
      <c r="K19" s="92">
        <f>30378+22478+19143+781</f>
        <v>72780</v>
      </c>
      <c r="L19" s="48"/>
      <c r="P19" t="s">
        <v>204</v>
      </c>
    </row>
    <row r="20" spans="1:25" x14ac:dyDescent="0.25">
      <c r="A20" s="48"/>
      <c r="B20" s="48"/>
      <c r="C20" s="41" t="s">
        <v>90</v>
      </c>
      <c r="D20" s="41"/>
      <c r="E20" s="92">
        <f>4089+4464+8386</f>
        <v>16939</v>
      </c>
      <c r="F20" s="41"/>
      <c r="G20" s="45">
        <f>E20/E22</f>
        <v>0.13532579171060621</v>
      </c>
      <c r="H20" s="41"/>
      <c r="I20" s="167">
        <f>I15*G20</f>
        <v>16205.959131914489</v>
      </c>
      <c r="J20" s="41"/>
      <c r="K20" s="92">
        <f>288+770+34</f>
        <v>1092</v>
      </c>
      <c r="L20" s="48"/>
      <c r="P20" t="s">
        <v>218</v>
      </c>
      <c r="T20" s="6"/>
      <c r="V20" s="56"/>
      <c r="Y20" s="27"/>
    </row>
    <row r="21" spans="1:25" x14ac:dyDescent="0.25">
      <c r="A21" s="48"/>
      <c r="B21" s="48"/>
      <c r="C21" s="48"/>
      <c r="D21" s="48"/>
      <c r="E21" s="48"/>
      <c r="F21" s="48"/>
      <c r="G21" s="46"/>
      <c r="H21" s="48"/>
      <c r="I21" s="39"/>
      <c r="J21" s="48"/>
      <c r="K21" s="38"/>
      <c r="L21" s="48"/>
    </row>
    <row r="22" spans="1:25" x14ac:dyDescent="0.25">
      <c r="A22" s="48"/>
      <c r="B22" s="48"/>
      <c r="C22" s="48" t="s">
        <v>91</v>
      </c>
      <c r="D22" s="48"/>
      <c r="E22" s="38">
        <f>SUM(E19:E20)</f>
        <v>125172</v>
      </c>
      <c r="F22" s="48"/>
      <c r="G22" s="45">
        <f>SUM(G19:G20)</f>
        <v>1</v>
      </c>
      <c r="H22" s="48"/>
      <c r="I22" s="155">
        <f>SUM(I19:I20)</f>
        <v>119755.14000000001</v>
      </c>
      <c r="J22" s="48"/>
      <c r="K22" s="38">
        <f>SUM(K19:K20)</f>
        <v>73872</v>
      </c>
      <c r="L22" s="48"/>
      <c r="V22" s="62"/>
      <c r="X22" s="27"/>
    </row>
    <row r="23" spans="1:25" x14ac:dyDescent="0.25">
      <c r="C23" s="222"/>
    </row>
    <row r="24" spans="1:25" x14ac:dyDescent="0.25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48"/>
      <c r="X24" s="27"/>
    </row>
    <row r="25" spans="1:25" x14ac:dyDescent="0.25">
      <c r="A25" s="48"/>
      <c r="B25" s="48" t="s">
        <v>92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V25" s="27"/>
      <c r="W25" s="27"/>
    </row>
    <row r="26" spans="1:25" x14ac:dyDescent="0.25">
      <c r="A26" s="48"/>
      <c r="B26" s="48"/>
      <c r="C26" s="48"/>
      <c r="D26" s="48"/>
      <c r="E26" s="47" t="s">
        <v>86</v>
      </c>
      <c r="F26" s="48"/>
      <c r="G26" s="47" t="s">
        <v>87</v>
      </c>
      <c r="H26" s="48"/>
      <c r="I26" s="47" t="s">
        <v>50</v>
      </c>
      <c r="J26" s="48"/>
      <c r="K26" s="48"/>
      <c r="L26" s="48"/>
      <c r="P26" s="239" t="s">
        <v>196</v>
      </c>
      <c r="V26" s="67"/>
    </row>
    <row r="27" spans="1:25" x14ac:dyDescent="0.25">
      <c r="A27" s="48"/>
      <c r="B27" s="48"/>
      <c r="C27" s="48" t="s">
        <v>190</v>
      </c>
      <c r="D27" s="48"/>
      <c r="E27" s="93">
        <v>6600</v>
      </c>
      <c r="F27" s="51"/>
      <c r="G27" s="49">
        <f>I27/E27</f>
        <v>6.3301181818181815</v>
      </c>
      <c r="H27" s="48"/>
      <c r="I27" s="158">
        <v>41778.78</v>
      </c>
      <c r="J27" s="48"/>
      <c r="K27" s="48"/>
      <c r="L27" s="48"/>
      <c r="P27" s="8">
        <f>I35+I20</f>
        <v>60482.979131914486</v>
      </c>
      <c r="V27" s="27"/>
    </row>
    <row r="28" spans="1:25" x14ac:dyDescent="0.25">
      <c r="A28" s="48"/>
      <c r="B28" s="48"/>
      <c r="C28" s="48" t="s">
        <v>191</v>
      </c>
      <c r="D28" s="48"/>
      <c r="E28" s="90">
        <v>2027</v>
      </c>
      <c r="F28" s="48"/>
      <c r="G28" s="49">
        <f>I28/E28</f>
        <v>1.23248149975333</v>
      </c>
      <c r="H28" s="49"/>
      <c r="I28" s="159">
        <v>2498.2399999999998</v>
      </c>
      <c r="J28" s="48"/>
      <c r="K28" s="48"/>
      <c r="L28" s="48"/>
      <c r="P28" s="134">
        <f>+E20+E33</f>
        <v>68395</v>
      </c>
      <c r="R28" s="56"/>
    </row>
    <row r="29" spans="1:25" ht="15.75" thickBot="1" x14ac:dyDescent="0.3">
      <c r="A29" s="48"/>
      <c r="B29" s="48"/>
      <c r="C29" s="48"/>
      <c r="D29" s="48"/>
      <c r="E29" s="44"/>
      <c r="F29" s="48"/>
      <c r="G29" s="48"/>
      <c r="H29" s="48"/>
      <c r="I29" s="171">
        <f>SUM(I27:I28)</f>
        <v>44277.02</v>
      </c>
      <c r="J29" s="48"/>
      <c r="K29" s="48"/>
      <c r="L29" s="48"/>
    </row>
    <row r="30" spans="1:25" ht="15.75" thickTop="1" x14ac:dyDescent="0.25">
      <c r="V30" s="27"/>
    </row>
    <row r="31" spans="1:25" x14ac:dyDescent="0.25">
      <c r="A31" s="48"/>
      <c r="B31" s="48"/>
      <c r="C31" s="40" t="s">
        <v>78</v>
      </c>
      <c r="D31" s="40"/>
      <c r="E31" s="40" t="s">
        <v>189</v>
      </c>
      <c r="F31" s="48"/>
      <c r="G31" s="40" t="s">
        <v>79</v>
      </c>
      <c r="H31" s="48"/>
      <c r="I31" s="40" t="s">
        <v>80</v>
      </c>
      <c r="J31" s="48"/>
      <c r="K31" s="40" t="s">
        <v>81</v>
      </c>
      <c r="L31" s="48"/>
      <c r="V31" s="27"/>
      <c r="W31" s="27"/>
      <c r="Y31" s="67"/>
    </row>
    <row r="33" spans="1:25" x14ac:dyDescent="0.25">
      <c r="A33" s="48"/>
      <c r="B33" s="48"/>
      <c r="C33" s="48" t="s">
        <v>93</v>
      </c>
      <c r="D33" s="48"/>
      <c r="E33" s="112">
        <f>26815+16476+8165</f>
        <v>51456</v>
      </c>
      <c r="F33" s="48"/>
      <c r="G33" s="45">
        <f>E33/E35</f>
        <v>1</v>
      </c>
      <c r="H33" s="48"/>
      <c r="I33" s="49">
        <f>+I27+I28</f>
        <v>44277.02</v>
      </c>
      <c r="J33" s="48"/>
      <c r="K33" s="112">
        <f>825+2573+267</f>
        <v>3665</v>
      </c>
      <c r="L33" s="48"/>
      <c r="P33" t="s">
        <v>218</v>
      </c>
      <c r="V33" s="27"/>
      <c r="W33" s="27"/>
      <c r="Y33" s="67"/>
    </row>
    <row r="34" spans="1:25" x14ac:dyDescent="0.25">
      <c r="A34" s="48"/>
      <c r="B34" s="48"/>
      <c r="C34" s="39"/>
      <c r="D34" s="39"/>
      <c r="E34" s="39"/>
      <c r="F34" s="39"/>
      <c r="G34" s="46"/>
      <c r="H34" s="39"/>
      <c r="I34" s="39"/>
      <c r="J34" s="39"/>
      <c r="K34" s="39"/>
      <c r="L34" s="48"/>
      <c r="R34" s="27"/>
      <c r="V34" s="27"/>
    </row>
    <row r="35" spans="1:25" x14ac:dyDescent="0.25">
      <c r="A35" s="48"/>
      <c r="B35" s="48"/>
      <c r="C35" s="48" t="s">
        <v>91</v>
      </c>
      <c r="D35" s="48"/>
      <c r="E35" s="38">
        <f>E33</f>
        <v>51456</v>
      </c>
      <c r="F35" s="48"/>
      <c r="G35" s="45">
        <f>G33</f>
        <v>1</v>
      </c>
      <c r="H35" s="48"/>
      <c r="I35" s="155">
        <f>I33</f>
        <v>44277.02</v>
      </c>
      <c r="J35" s="48"/>
      <c r="K35" s="38">
        <f>K33</f>
        <v>3665</v>
      </c>
      <c r="L35" s="48"/>
      <c r="V35" s="27"/>
    </row>
    <row r="36" spans="1:25" x14ac:dyDescent="0.25">
      <c r="R36" s="27"/>
    </row>
    <row r="37" spans="1:25" ht="15.75" thickBot="1" x14ac:dyDescent="0.3">
      <c r="I37" s="6"/>
      <c r="K37" s="27"/>
    </row>
    <row r="38" spans="1:25" x14ac:dyDescent="0.25">
      <c r="G38" s="184" t="s">
        <v>172</v>
      </c>
      <c r="H38" s="185"/>
      <c r="I38" s="186">
        <f>+I19</f>
        <v>103549.18086808553</v>
      </c>
      <c r="J38" s="187"/>
    </row>
    <row r="39" spans="1:25" x14ac:dyDescent="0.25">
      <c r="G39" s="188" t="s">
        <v>171</v>
      </c>
      <c r="I39" s="238">
        <f>+I20+I29</f>
        <v>60482.979131914486</v>
      </c>
      <c r="J39" s="189"/>
      <c r="P39" s="6"/>
    </row>
    <row r="40" spans="1:25" ht="15.75" thickBot="1" x14ac:dyDescent="0.3">
      <c r="G40" s="188"/>
      <c r="I40" s="105">
        <f>SUM(I38:I39)</f>
        <v>164032.16000000003</v>
      </c>
      <c r="J40" s="189"/>
    </row>
    <row r="41" spans="1:25" ht="15.75" thickTop="1" x14ac:dyDescent="0.25">
      <c r="G41" s="188"/>
      <c r="I41" s="55"/>
      <c r="J41" s="189"/>
    </row>
    <row r="42" spans="1:25" x14ac:dyDescent="0.25">
      <c r="G42" s="216" t="s">
        <v>246</v>
      </c>
      <c r="I42" s="55"/>
      <c r="J42" s="189"/>
    </row>
    <row r="43" spans="1:25" x14ac:dyDescent="0.25">
      <c r="D43" s="16"/>
      <c r="E43" s="20"/>
      <c r="G43" s="188" t="s">
        <v>207</v>
      </c>
      <c r="I43" s="190">
        <v>95201.82</v>
      </c>
      <c r="J43" s="189"/>
    </row>
    <row r="44" spans="1:25" x14ac:dyDescent="0.25">
      <c r="G44" s="188" t="s">
        <v>208</v>
      </c>
      <c r="I44" s="190">
        <v>68830.34</v>
      </c>
      <c r="J44" s="189"/>
    </row>
    <row r="45" spans="1:25" x14ac:dyDescent="0.25">
      <c r="G45" s="188" t="s">
        <v>206</v>
      </c>
      <c r="I45" s="190">
        <f>+I43+I44</f>
        <v>164032.16</v>
      </c>
      <c r="J45" s="189"/>
    </row>
    <row r="46" spans="1:25" x14ac:dyDescent="0.25">
      <c r="G46" s="188"/>
      <c r="J46" s="189"/>
    </row>
    <row r="47" spans="1:25" ht="15.75" thickBot="1" x14ac:dyDescent="0.3">
      <c r="G47" s="191" t="s">
        <v>238</v>
      </c>
      <c r="H47" s="192"/>
      <c r="I47" s="193">
        <f>I40-I45</f>
        <v>0</v>
      </c>
      <c r="J47" s="194"/>
    </row>
  </sheetData>
  <pageMargins left="0.7" right="0.7" top="0.75" bottom="0.75" header="0.3" footer="0.3"/>
  <pageSetup scale="38" orientation="landscape" horizontalDpi="4294967295" verticalDpi="4294967295" r:id="rId1"/>
  <headerFooter>
    <oddFooter>&amp;L&amp;Z&amp;F&amp;A&amp;R&amp;D&amp;T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56"/>
  <sheetViews>
    <sheetView zoomScaleNormal="100" workbookViewId="0">
      <selection activeCell="H17" sqref="H17"/>
    </sheetView>
  </sheetViews>
  <sheetFormatPr defaultRowHeight="15" x14ac:dyDescent="0.25"/>
  <cols>
    <col min="1" max="3" width="1.42578125" customWidth="1"/>
    <col min="4" max="4" width="29.140625" customWidth="1"/>
    <col min="5" max="5" width="1.42578125" customWidth="1"/>
    <col min="6" max="6" width="13.28515625" style="106" customWidth="1"/>
    <col min="7" max="7" width="9.140625" customWidth="1"/>
    <col min="9" max="9" width="21.42578125" customWidth="1"/>
    <col min="10" max="10" width="13.140625" customWidth="1"/>
    <col min="11" max="11" width="1.42578125" customWidth="1"/>
    <col min="12" max="12" width="13.28515625" customWidth="1"/>
    <col min="13" max="13" width="1.42578125" customWidth="1"/>
    <col min="14" max="14" width="17.140625" customWidth="1"/>
    <col min="15" max="15" width="1.42578125" customWidth="1"/>
    <col min="16" max="16" width="11.85546875" customWidth="1"/>
  </cols>
  <sheetData>
    <row r="1" spans="1:21" x14ac:dyDescent="0.25">
      <c r="A1" s="16" t="s">
        <v>129</v>
      </c>
    </row>
    <row r="2" spans="1:21" x14ac:dyDescent="0.25">
      <c r="H2" s="16" t="s">
        <v>130</v>
      </c>
      <c r="J2" s="6"/>
      <c r="L2" s="107" t="str">
        <f>+'Commodity OK'!F2</f>
        <v>2301 file =</v>
      </c>
      <c r="M2" s="54"/>
      <c r="N2" s="97" t="str">
        <f>+'Commodity OK'!H2</f>
        <v>Data Input Jan.23 billing = Jan invoices = Dec Flow  data= Dec Sales Volume</v>
      </c>
    </row>
    <row r="3" spans="1:21" x14ac:dyDescent="0.25">
      <c r="A3" s="16" t="s">
        <v>99</v>
      </c>
      <c r="J3" s="6"/>
      <c r="L3" s="6"/>
    </row>
    <row r="4" spans="1:21" x14ac:dyDescent="0.25">
      <c r="F4" s="220" t="s">
        <v>8</v>
      </c>
      <c r="J4" s="6"/>
      <c r="L4" s="6"/>
    </row>
    <row r="5" spans="1:21" x14ac:dyDescent="0.25">
      <c r="H5" s="48"/>
      <c r="I5" s="48"/>
      <c r="J5" s="47" t="s">
        <v>86</v>
      </c>
      <c r="L5" s="47" t="s">
        <v>87</v>
      </c>
      <c r="N5" s="47" t="s">
        <v>50</v>
      </c>
      <c r="P5" s="133"/>
    </row>
    <row r="6" spans="1:21" x14ac:dyDescent="0.25">
      <c r="B6" t="s">
        <v>0</v>
      </c>
      <c r="F6" s="231">
        <f>ROUNDUP('Direct Charges'!N9,0)</f>
        <v>663</v>
      </c>
      <c r="I6" s="68" t="s">
        <v>152</v>
      </c>
      <c r="J6" s="90"/>
      <c r="L6" s="49" t="e">
        <f t="shared" ref="L6:L12" si="0">N6/J6</f>
        <v>#DIV/0!</v>
      </c>
      <c r="N6" s="91">
        <v>0</v>
      </c>
      <c r="P6" s="48"/>
    </row>
    <row r="7" spans="1:21" x14ac:dyDescent="0.25">
      <c r="B7" t="s">
        <v>4</v>
      </c>
      <c r="F7" s="231">
        <f>ROUNDUP('Direct Charges'!N15,0)</f>
        <v>951</v>
      </c>
      <c r="I7" s="68" t="s">
        <v>153</v>
      </c>
      <c r="J7" s="90">
        <f>620-16</f>
        <v>604</v>
      </c>
      <c r="L7" s="49">
        <f t="shared" si="0"/>
        <v>1.768294701986755</v>
      </c>
      <c r="N7" s="91">
        <f>935.97+132.08</f>
        <v>1068.05</v>
      </c>
      <c r="P7" s="48"/>
    </row>
    <row r="8" spans="1:21" x14ac:dyDescent="0.25">
      <c r="B8" t="s">
        <v>13</v>
      </c>
      <c r="F8" s="231">
        <f>ROUNDUP('Allocation Charges'!N6,0)</f>
        <v>0</v>
      </c>
      <c r="I8" s="68" t="s">
        <v>147</v>
      </c>
      <c r="J8" s="90">
        <v>605</v>
      </c>
      <c r="L8" s="49">
        <f t="shared" si="0"/>
        <v>7.46</v>
      </c>
      <c r="N8" s="91">
        <v>4513.3</v>
      </c>
      <c r="P8" s="48"/>
    </row>
    <row r="9" spans="1:21" x14ac:dyDescent="0.25">
      <c r="B9" t="s">
        <v>14</v>
      </c>
      <c r="F9" s="231">
        <v>0</v>
      </c>
      <c r="I9" s="68" t="s">
        <v>149</v>
      </c>
      <c r="J9" s="90"/>
      <c r="L9" s="49" t="e">
        <f>N9/J9</f>
        <v>#DIV/0!</v>
      </c>
      <c r="N9" s="91"/>
      <c r="P9" s="48"/>
    </row>
    <row r="10" spans="1:21" x14ac:dyDescent="0.25">
      <c r="B10" t="s">
        <v>17</v>
      </c>
      <c r="F10" s="134"/>
      <c r="I10" s="68" t="s">
        <v>292</v>
      </c>
      <c r="J10" s="90">
        <v>8397</v>
      </c>
      <c r="L10" s="49">
        <f>N10/J10</f>
        <v>6.6053340478742406</v>
      </c>
      <c r="N10" s="91">
        <v>55464.99</v>
      </c>
      <c r="P10" s="48"/>
    </row>
    <row r="11" spans="1:21" x14ac:dyDescent="0.25">
      <c r="C11" t="s">
        <v>37</v>
      </c>
      <c r="F11" s="231">
        <f>'Direct Charges'!N27</f>
        <v>0</v>
      </c>
      <c r="G11" s="6"/>
      <c r="I11" s="68" t="s">
        <v>151</v>
      </c>
      <c r="J11" s="90">
        <v>8245</v>
      </c>
      <c r="L11" s="49">
        <f>N11/J11</f>
        <v>0.24</v>
      </c>
      <c r="N11" s="91">
        <v>1978.8</v>
      </c>
      <c r="P11" s="172" t="s">
        <v>167</v>
      </c>
      <c r="Q11" s="173"/>
      <c r="R11" s="173"/>
      <c r="S11" s="173"/>
      <c r="T11" s="173"/>
      <c r="U11" s="173"/>
    </row>
    <row r="12" spans="1:21" x14ac:dyDescent="0.25">
      <c r="C12" t="s">
        <v>38</v>
      </c>
      <c r="F12" s="231">
        <f>'Allocation Charges'!N7</f>
        <v>104.91368012303543</v>
      </c>
      <c r="G12" s="6"/>
      <c r="I12" s="68" t="s">
        <v>148</v>
      </c>
      <c r="J12" s="108">
        <f>SUM(J6:J10)</f>
        <v>9606</v>
      </c>
      <c r="L12" s="72">
        <f t="shared" si="0"/>
        <v>6.5610181136789505</v>
      </c>
      <c r="N12" s="217">
        <f>SUM(N6:N11)</f>
        <v>63025.14</v>
      </c>
      <c r="P12" s="48"/>
    </row>
    <row r="13" spans="1:21" x14ac:dyDescent="0.25">
      <c r="D13" s="7" t="s">
        <v>39</v>
      </c>
      <c r="F13" s="232">
        <f>ROUNDUP(F11+F12,0)</f>
        <v>105</v>
      </c>
      <c r="G13" s="6"/>
      <c r="I13" s="68"/>
      <c r="J13" s="44"/>
      <c r="K13" s="6"/>
      <c r="L13" s="48"/>
      <c r="M13" s="6"/>
      <c r="N13" s="48"/>
      <c r="O13" s="6"/>
      <c r="P13" s="48"/>
    </row>
    <row r="14" spans="1:21" x14ac:dyDescent="0.25">
      <c r="D14" s="7"/>
      <c r="F14" s="102"/>
      <c r="G14" s="6"/>
    </row>
    <row r="15" spans="1:21" x14ac:dyDescent="0.25">
      <c r="B15" t="s">
        <v>15</v>
      </c>
      <c r="F15" s="231">
        <f>ROUNDUP('Allocation Charges'!N8,0)</f>
        <v>243</v>
      </c>
      <c r="G15" s="6"/>
      <c r="I15" s="69" t="s">
        <v>78</v>
      </c>
      <c r="J15" s="40" t="s">
        <v>189</v>
      </c>
      <c r="K15" s="6"/>
      <c r="L15" s="40" t="s">
        <v>79</v>
      </c>
      <c r="M15" s="6"/>
      <c r="N15" s="40" t="s">
        <v>80</v>
      </c>
      <c r="O15" s="6"/>
      <c r="P15" s="40" t="s">
        <v>81</v>
      </c>
    </row>
    <row r="16" spans="1:21" x14ac:dyDescent="0.25">
      <c r="B16" t="s">
        <v>18</v>
      </c>
      <c r="F16" s="231">
        <f>ROUNDUP('Allocation Charges'!N9,0)</f>
        <v>0</v>
      </c>
      <c r="G16" s="6"/>
      <c r="I16" s="68"/>
      <c r="J16" s="48"/>
      <c r="K16" s="6"/>
      <c r="L16" s="48"/>
      <c r="M16" s="6"/>
      <c r="N16" s="48"/>
      <c r="O16" s="6"/>
      <c r="P16" s="40"/>
      <c r="R16" s="54"/>
    </row>
    <row r="17" spans="2:16" x14ac:dyDescent="0.25">
      <c r="B17" t="s">
        <v>19</v>
      </c>
      <c r="F17" s="231">
        <f>ROUNDUP('Allocation Charges'!N10,0)</f>
        <v>2000</v>
      </c>
      <c r="G17" s="6"/>
      <c r="I17" s="68" t="s">
        <v>150</v>
      </c>
      <c r="J17" s="92">
        <v>131136</v>
      </c>
      <c r="K17" s="6"/>
      <c r="L17" s="45">
        <v>1</v>
      </c>
      <c r="M17" s="6"/>
      <c r="N17" s="49">
        <f>L17*N12</f>
        <v>63025.14</v>
      </c>
      <c r="O17" s="6"/>
      <c r="P17" s="92">
        <v>133504</v>
      </c>
    </row>
    <row r="18" spans="2:16" x14ac:dyDescent="0.25">
      <c r="B18" t="s">
        <v>20</v>
      </c>
      <c r="F18" s="102"/>
      <c r="G18" s="6"/>
      <c r="H18" s="48"/>
    </row>
    <row r="19" spans="2:16" x14ac:dyDescent="0.25">
      <c r="C19" t="s">
        <v>37</v>
      </c>
      <c r="F19" s="134">
        <f>'Direct Charges'!N39</f>
        <v>0</v>
      </c>
      <c r="G19" s="6"/>
      <c r="H19" s="48"/>
      <c r="I19" t="s">
        <v>91</v>
      </c>
      <c r="J19" s="70">
        <f>J17</f>
        <v>131136</v>
      </c>
      <c r="N19" s="71">
        <f>N17</f>
        <v>63025.14</v>
      </c>
      <c r="P19" s="70">
        <f>P17</f>
        <v>133504</v>
      </c>
    </row>
    <row r="20" spans="2:16" x14ac:dyDescent="0.25">
      <c r="C20" t="s">
        <v>38</v>
      </c>
      <c r="F20" s="134">
        <f>'Allocation Charges'!N11</f>
        <v>361.52701519452165</v>
      </c>
      <c r="G20" s="6"/>
      <c r="H20" s="48"/>
      <c r="I20" s="48"/>
      <c r="J20" s="222"/>
      <c r="K20" s="6"/>
      <c r="L20" s="45"/>
      <c r="M20" s="6"/>
      <c r="N20" s="49"/>
      <c r="O20" s="6"/>
      <c r="P20" s="38"/>
    </row>
    <row r="21" spans="2:16" x14ac:dyDescent="0.25">
      <c r="D21" s="7" t="s">
        <v>39</v>
      </c>
      <c r="F21" s="232">
        <f>ROUNDUP(F19+F20,0)</f>
        <v>362</v>
      </c>
      <c r="G21" s="6"/>
      <c r="K21" s="6"/>
      <c r="M21" s="6"/>
      <c r="O21" s="6"/>
    </row>
    <row r="22" spans="2:16" x14ac:dyDescent="0.25">
      <c r="B22" t="s">
        <v>21</v>
      </c>
      <c r="F22" s="102"/>
      <c r="G22" s="6"/>
      <c r="K22" s="6"/>
      <c r="M22" s="6"/>
      <c r="O22" s="6"/>
    </row>
    <row r="23" spans="2:16" x14ac:dyDescent="0.25">
      <c r="C23" t="s">
        <v>37</v>
      </c>
      <c r="F23" s="134">
        <f>'Direct Charges'!N45</f>
        <v>225</v>
      </c>
      <c r="G23" s="6"/>
      <c r="K23" s="6"/>
      <c r="M23" s="6"/>
      <c r="O23" s="6"/>
    </row>
    <row r="24" spans="2:16" x14ac:dyDescent="0.25">
      <c r="C24" t="s">
        <v>38</v>
      </c>
      <c r="F24" s="134">
        <f>'Allocation Charges'!N12</f>
        <v>265.49522527275144</v>
      </c>
      <c r="G24" s="6"/>
      <c r="K24" s="6"/>
      <c r="M24" s="6"/>
      <c r="O24" s="6"/>
    </row>
    <row r="25" spans="2:16" x14ac:dyDescent="0.25">
      <c r="D25" s="7" t="s">
        <v>39</v>
      </c>
      <c r="F25" s="232">
        <f>ROUNDUP(F23+F24,0)</f>
        <v>491</v>
      </c>
      <c r="G25" s="6"/>
      <c r="K25" s="6"/>
      <c r="M25" s="6"/>
      <c r="O25" s="6"/>
    </row>
    <row r="26" spans="2:16" x14ac:dyDescent="0.25">
      <c r="B26" t="s">
        <v>25</v>
      </c>
      <c r="F26" s="231">
        <f>ROUNDUP('Allocation Charges'!N13,0)</f>
        <v>260</v>
      </c>
      <c r="G26" s="6"/>
      <c r="K26" s="6"/>
      <c r="M26" s="6"/>
      <c r="O26" s="6"/>
    </row>
    <row r="27" spans="2:16" x14ac:dyDescent="0.25">
      <c r="B27" t="s">
        <v>26</v>
      </c>
      <c r="F27" s="134"/>
      <c r="G27" s="6"/>
      <c r="K27" s="6"/>
      <c r="M27" s="6"/>
      <c r="O27" s="6"/>
    </row>
    <row r="28" spans="2:16" x14ac:dyDescent="0.25">
      <c r="C28" t="s">
        <v>37</v>
      </c>
      <c r="F28" s="134">
        <f>+'Direct Charges'!N51</f>
        <v>0</v>
      </c>
      <c r="G28" s="6"/>
      <c r="K28" s="6"/>
      <c r="M28" s="6"/>
      <c r="O28" s="6"/>
    </row>
    <row r="29" spans="2:16" x14ac:dyDescent="0.25">
      <c r="C29" t="s">
        <v>38</v>
      </c>
      <c r="F29" s="134">
        <f>'Allocation Charges'!N14</f>
        <v>3.5086473707029411</v>
      </c>
      <c r="G29" s="6"/>
      <c r="K29" s="6"/>
      <c r="M29" s="6"/>
      <c r="O29" s="6"/>
    </row>
    <row r="30" spans="2:16" x14ac:dyDescent="0.25">
      <c r="D30" s="7" t="s">
        <v>39</v>
      </c>
      <c r="F30" s="232">
        <f>ROUNDUP(F28+F29,0)</f>
        <v>4</v>
      </c>
      <c r="G30" s="6"/>
      <c r="K30" s="6"/>
      <c r="M30" s="6"/>
      <c r="O30" s="6"/>
    </row>
    <row r="31" spans="2:16" x14ac:dyDescent="0.25">
      <c r="B31" t="s">
        <v>27</v>
      </c>
      <c r="F31" s="134"/>
      <c r="G31" s="6"/>
      <c r="K31" s="6"/>
      <c r="M31" s="6"/>
      <c r="O31" s="6"/>
    </row>
    <row r="32" spans="2:16" x14ac:dyDescent="0.25">
      <c r="C32" t="s">
        <v>37</v>
      </c>
      <c r="F32" s="134">
        <f>+'Direct Charges'!N57</f>
        <v>0</v>
      </c>
      <c r="G32" s="6"/>
      <c r="K32" s="6"/>
      <c r="M32" s="6"/>
      <c r="O32" s="6"/>
    </row>
    <row r="33" spans="1:15" x14ac:dyDescent="0.25">
      <c r="C33" t="s">
        <v>38</v>
      </c>
      <c r="F33" s="134">
        <f>'Allocation Charges'!N15</f>
        <v>1000</v>
      </c>
      <c r="G33" s="6"/>
      <c r="K33" s="6"/>
      <c r="M33" s="6"/>
      <c r="O33" s="6"/>
    </row>
    <row r="34" spans="1:15" x14ac:dyDescent="0.25">
      <c r="D34" s="7" t="s">
        <v>39</v>
      </c>
      <c r="F34" s="232">
        <f>ROUNDUP(F32+F33,0)</f>
        <v>1000</v>
      </c>
      <c r="G34" s="6"/>
      <c r="K34" s="6"/>
      <c r="M34" s="6"/>
      <c r="O34" s="6"/>
    </row>
    <row r="35" spans="1:15" x14ac:dyDescent="0.25">
      <c r="B35" t="s">
        <v>203</v>
      </c>
      <c r="F35" s="231">
        <f>ROUNDUP('Allocation Charges'!N16,0)</f>
        <v>0</v>
      </c>
      <c r="G35" s="6"/>
      <c r="K35" s="6"/>
      <c r="M35" s="6"/>
      <c r="O35" s="6"/>
    </row>
    <row r="36" spans="1:15" x14ac:dyDescent="0.25">
      <c r="B36" t="s">
        <v>28</v>
      </c>
      <c r="F36" s="231">
        <f>ROUNDUP('Allocation Charges'!N17,0)</f>
        <v>0</v>
      </c>
      <c r="G36" s="6"/>
      <c r="K36" s="6"/>
      <c r="M36" s="6"/>
      <c r="O36" s="6"/>
    </row>
    <row r="37" spans="1:15" x14ac:dyDescent="0.25">
      <c r="B37" t="s">
        <v>29</v>
      </c>
      <c r="F37" s="231">
        <f>ROUNDUP('Allocation Charges'!N18,0)</f>
        <v>133</v>
      </c>
      <c r="G37" s="6"/>
      <c r="K37" s="6"/>
      <c r="M37" s="6"/>
      <c r="O37" s="6"/>
    </row>
    <row r="38" spans="1:15" x14ac:dyDescent="0.25">
      <c r="B38" t="s">
        <v>30</v>
      </c>
      <c r="F38" s="231">
        <f>ROUNDUP('Allocation Charges'!N19,0)</f>
        <v>148</v>
      </c>
      <c r="G38" s="6"/>
      <c r="K38" s="6"/>
      <c r="M38" s="6"/>
      <c r="O38" s="6"/>
    </row>
    <row r="39" spans="1:15" x14ac:dyDescent="0.25">
      <c r="F39" s="102"/>
      <c r="G39" s="6"/>
      <c r="K39" s="6"/>
      <c r="M39" s="6"/>
      <c r="O39" s="6"/>
    </row>
    <row r="40" spans="1:15" x14ac:dyDescent="0.25">
      <c r="F40" s="233">
        <f>F6+F7+F8+F9+F13+F15+F16+F17+F21+F25+F26+F30+F34+F35+F36+F37+F38</f>
        <v>6360</v>
      </c>
      <c r="G40" s="6"/>
      <c r="K40" s="6"/>
      <c r="M40" s="6"/>
      <c r="O40" s="6"/>
    </row>
    <row r="41" spans="1:15" x14ac:dyDescent="0.25">
      <c r="F41" s="102"/>
      <c r="G41" s="6"/>
      <c r="K41" s="6"/>
      <c r="M41" s="6"/>
      <c r="O41" s="6"/>
    </row>
    <row r="42" spans="1:15" x14ac:dyDescent="0.25">
      <c r="A42" s="16" t="s">
        <v>100</v>
      </c>
      <c r="F42" s="234" t="s">
        <v>271</v>
      </c>
      <c r="G42" s="6"/>
      <c r="K42" s="6"/>
      <c r="M42" s="6"/>
      <c r="O42" s="6"/>
    </row>
    <row r="43" spans="1:15" x14ac:dyDescent="0.25">
      <c r="F43" s="102"/>
      <c r="G43" s="6"/>
      <c r="H43" s="124"/>
      <c r="K43" s="6"/>
      <c r="M43" s="6"/>
      <c r="O43" s="6"/>
    </row>
    <row r="44" spans="1:15" x14ac:dyDescent="0.25">
      <c r="B44" t="s">
        <v>46</v>
      </c>
      <c r="F44" s="231">
        <f>ROUNDUP('Allocation Charges'!N27,0)</f>
        <v>371</v>
      </c>
      <c r="G44" s="6"/>
      <c r="K44" s="6"/>
      <c r="M44" s="6"/>
      <c r="O44" s="6"/>
    </row>
    <row r="45" spans="1:15" x14ac:dyDescent="0.25">
      <c r="B45" t="s">
        <v>32</v>
      </c>
      <c r="F45" s="231">
        <f>ROUNDUP('Allocation Charges'!N28,0)</f>
        <v>123</v>
      </c>
      <c r="G45" s="6"/>
      <c r="K45" s="6"/>
      <c r="M45" s="6"/>
      <c r="O45" s="6"/>
    </row>
    <row r="46" spans="1:15" x14ac:dyDescent="0.25">
      <c r="B46" t="s">
        <v>47</v>
      </c>
      <c r="F46" s="231">
        <f>ROUNDUP('Allocation Charges'!N29,0)</f>
        <v>194</v>
      </c>
      <c r="G46" s="6"/>
      <c r="K46" s="6"/>
      <c r="M46" s="6"/>
      <c r="O46" s="6"/>
    </row>
    <row r="47" spans="1:15" x14ac:dyDescent="0.25">
      <c r="B47" t="s">
        <v>48</v>
      </c>
      <c r="F47" s="231">
        <f>ROUNDUP('Allocation Charges'!N30,0)</f>
        <v>117</v>
      </c>
      <c r="G47" s="6"/>
      <c r="K47" s="6"/>
      <c r="M47" s="6"/>
      <c r="O47" s="6"/>
    </row>
    <row r="48" spans="1:15" x14ac:dyDescent="0.25">
      <c r="B48" t="s">
        <v>41</v>
      </c>
      <c r="F48" s="231">
        <f>ROUNDUP('Allocation Charges'!N31,0)</f>
        <v>111</v>
      </c>
      <c r="G48" s="6"/>
      <c r="I48" s="60"/>
      <c r="K48" s="6"/>
      <c r="M48" s="6"/>
      <c r="O48" s="6"/>
    </row>
    <row r="49" spans="1:9" x14ac:dyDescent="0.25">
      <c r="B49" t="s">
        <v>31</v>
      </c>
      <c r="F49" s="231">
        <f>ROUNDUP('Allocation Charges'!N32,0)</f>
        <v>307</v>
      </c>
      <c r="G49" s="6"/>
      <c r="I49" s="60"/>
    </row>
    <row r="50" spans="1:9" x14ac:dyDescent="0.25">
      <c r="F50" s="102"/>
      <c r="I50" s="60"/>
    </row>
    <row r="51" spans="1:9" x14ac:dyDescent="0.25">
      <c r="F51" s="233">
        <f>SUM(F44:F49)</f>
        <v>1223</v>
      </c>
    </row>
    <row r="52" spans="1:9" x14ac:dyDescent="0.25">
      <c r="F52" s="102"/>
      <c r="H52" s="23"/>
      <c r="I52" s="23"/>
    </row>
    <row r="53" spans="1:9" x14ac:dyDescent="0.25">
      <c r="A53" s="16" t="s">
        <v>84</v>
      </c>
      <c r="F53" s="221">
        <f>ROUNDUP(N17,0)</f>
        <v>63026</v>
      </c>
    </row>
    <row r="54" spans="1:9" ht="7.5" customHeight="1" x14ac:dyDescent="0.25">
      <c r="F54" s="102"/>
    </row>
    <row r="55" spans="1:9" x14ac:dyDescent="0.25">
      <c r="A55" s="35"/>
      <c r="B55" s="35"/>
      <c r="C55" s="35"/>
      <c r="D55" s="35"/>
      <c r="E55" s="35"/>
      <c r="F55" s="235"/>
      <c r="G55" s="35"/>
      <c r="H55" s="35"/>
    </row>
    <row r="56" spans="1:9" x14ac:dyDescent="0.25">
      <c r="D56" s="15" t="s">
        <v>57</v>
      </c>
      <c r="F56" s="233">
        <f>F40+F51+F53</f>
        <v>70609</v>
      </c>
    </row>
  </sheetData>
  <pageMargins left="0.25" right="0.25" top="0.75" bottom="0.75" header="0.3" footer="0.3"/>
  <pageSetup scale="53" fitToHeight="0" orientation="landscape" horizontalDpi="4294967295" verticalDpi="4294967295" r:id="rId1"/>
  <headerFooter>
    <oddFooter>&amp;L&amp;Z&amp;F&amp;A&amp;R&amp;D</odd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CD7A-E9B7-434A-B625-8DDCB5F2CDC5}">
  <sheetPr>
    <pageSetUpPr fitToPage="1"/>
  </sheetPr>
  <dimension ref="A1:L17"/>
  <sheetViews>
    <sheetView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I23" sqref="I23"/>
    </sheetView>
  </sheetViews>
  <sheetFormatPr defaultRowHeight="15" x14ac:dyDescent="0.25"/>
  <cols>
    <col min="1" max="3" width="1.42578125" customWidth="1"/>
    <col min="4" max="4" width="33" customWidth="1"/>
    <col min="5" max="5" width="9" customWidth="1"/>
    <col min="6" max="6" width="19.85546875" customWidth="1"/>
    <col min="7" max="7" width="9.42578125" customWidth="1"/>
    <col min="8" max="8" width="12.7109375" customWidth="1"/>
    <col min="9" max="9" width="9.28515625" customWidth="1"/>
    <col min="10" max="10" width="15.28515625" customWidth="1"/>
    <col min="11" max="11" width="10" customWidth="1"/>
    <col min="12" max="12" width="11.140625" customWidth="1"/>
    <col min="13" max="17" width="9.28515625" customWidth="1"/>
  </cols>
  <sheetData>
    <row r="1" spans="1:12" x14ac:dyDescent="0.25">
      <c r="A1" s="16" t="s">
        <v>289</v>
      </c>
      <c r="F1" s="6" t="str">
        <f>+'Commodity OK'!H2</f>
        <v>Data Input Jan.23 billing = Jan invoices = Dec Flow  data= Dec Sales Volume</v>
      </c>
    </row>
    <row r="2" spans="1:12" x14ac:dyDescent="0.25">
      <c r="H2" s="18"/>
      <c r="I2" s="17" t="s">
        <v>9</v>
      </c>
      <c r="J2" s="18"/>
      <c r="K2" s="18"/>
    </row>
    <row r="3" spans="1:12" x14ac:dyDescent="0.25">
      <c r="A3" s="16" t="s">
        <v>99</v>
      </c>
      <c r="H3" s="19" t="s">
        <v>286</v>
      </c>
      <c r="I3" s="19"/>
      <c r="J3" s="19" t="s">
        <v>287</v>
      </c>
      <c r="K3" s="19"/>
    </row>
    <row r="4" spans="1:12" x14ac:dyDescent="0.25">
      <c r="F4" s="17" t="s">
        <v>8</v>
      </c>
      <c r="H4" s="1"/>
      <c r="J4" s="1"/>
    </row>
    <row r="6" spans="1:12" x14ac:dyDescent="0.25">
      <c r="B6" t="s">
        <v>288</v>
      </c>
      <c r="F6" s="6"/>
      <c r="G6" s="60"/>
      <c r="H6" s="6"/>
      <c r="I6" s="60"/>
      <c r="J6" s="120"/>
      <c r="K6" s="60"/>
      <c r="L6" s="6"/>
    </row>
    <row r="7" spans="1:12" x14ac:dyDescent="0.25">
      <c r="C7" t="s">
        <v>282</v>
      </c>
      <c r="F7" s="85">
        <f>+'Direct Charges'!P21</f>
        <v>605.67999999999995</v>
      </c>
      <c r="G7" s="60"/>
      <c r="H7" s="85">
        <f>ROUNDUP(F7,0)</f>
        <v>606</v>
      </c>
      <c r="I7" s="60"/>
      <c r="J7" s="227"/>
      <c r="K7" s="60"/>
    </row>
    <row r="8" spans="1:12" x14ac:dyDescent="0.25">
      <c r="C8" t="s">
        <v>283</v>
      </c>
      <c r="F8" s="85">
        <f>+'Direct Charges'!P22</f>
        <v>1079.75</v>
      </c>
      <c r="G8" s="60"/>
      <c r="H8" s="85"/>
      <c r="I8" s="60"/>
      <c r="J8" s="85">
        <f>ROUNDUP(F8,0)</f>
        <v>1080</v>
      </c>
      <c r="K8" s="60"/>
    </row>
    <row r="9" spans="1:12" x14ac:dyDescent="0.25">
      <c r="F9" s="6"/>
      <c r="G9" s="60"/>
      <c r="H9" s="6"/>
      <c r="I9" s="60"/>
      <c r="J9" s="120"/>
      <c r="K9" s="60"/>
    </row>
    <row r="10" spans="1:12" x14ac:dyDescent="0.25">
      <c r="B10" t="s">
        <v>20</v>
      </c>
      <c r="F10" s="6"/>
      <c r="G10" s="60"/>
      <c r="H10" s="6"/>
      <c r="I10" s="60"/>
      <c r="J10" s="120"/>
      <c r="K10" s="60"/>
    </row>
    <row r="11" spans="1:12" x14ac:dyDescent="0.25">
      <c r="C11" t="s">
        <v>284</v>
      </c>
      <c r="F11" s="85">
        <f>+'Direct Charges'!F35</f>
        <v>175.03</v>
      </c>
      <c r="G11" s="60"/>
      <c r="H11" s="85">
        <f>ROUNDUP(F11,0)</f>
        <v>176</v>
      </c>
      <c r="I11" s="60"/>
      <c r="J11" s="227"/>
      <c r="K11" s="60"/>
    </row>
    <row r="12" spans="1:12" x14ac:dyDescent="0.25">
      <c r="C12" t="s">
        <v>285</v>
      </c>
      <c r="F12" s="85">
        <f>+'Direct Charges'!F36</f>
        <v>245.94</v>
      </c>
      <c r="G12" s="60"/>
      <c r="H12" s="85"/>
      <c r="I12" s="60"/>
      <c r="J12" s="85">
        <f>ROUNDUP(F12,0)</f>
        <v>246</v>
      </c>
      <c r="K12" s="60"/>
    </row>
    <row r="13" spans="1:12" x14ac:dyDescent="0.25">
      <c r="F13" s="6"/>
      <c r="G13" s="60"/>
      <c r="H13" s="6"/>
      <c r="I13" s="60"/>
      <c r="J13" s="6"/>
      <c r="K13" s="60"/>
    </row>
    <row r="14" spans="1:12" x14ac:dyDescent="0.25">
      <c r="D14" s="15" t="s">
        <v>57</v>
      </c>
      <c r="F14" s="224">
        <f>SUM(F7:F13)</f>
        <v>2106.3999999999996</v>
      </c>
      <c r="G14" s="120"/>
      <c r="H14" s="224">
        <f>SUM(H7:H13)</f>
        <v>782</v>
      </c>
      <c r="I14" s="120"/>
      <c r="J14" s="224">
        <f>SUM(J7:J13)</f>
        <v>1326</v>
      </c>
      <c r="K14" s="120"/>
    </row>
    <row r="16" spans="1:12" x14ac:dyDescent="0.25">
      <c r="F16" s="6">
        <f>SUM(H14:K14)</f>
        <v>2108</v>
      </c>
      <c r="H16" s="102"/>
      <c r="J16" s="102"/>
    </row>
    <row r="17" spans="8:10" x14ac:dyDescent="0.25">
      <c r="H17" s="6"/>
      <c r="J17" s="6"/>
    </row>
  </sheetData>
  <pageMargins left="0.25" right="0.25" top="0.75" bottom="0.75" header="0.3" footer="0.3"/>
  <pageSetup fitToHeight="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</vt:i4>
      </vt:variant>
    </vt:vector>
  </HeadingPairs>
  <TitlesOfParts>
    <vt:vector size="26" baseType="lpstr">
      <vt:lpstr>Direct Charges</vt:lpstr>
      <vt:lpstr>Allocation Charges</vt:lpstr>
      <vt:lpstr>Oklahoma</vt:lpstr>
      <vt:lpstr>Commodity OK</vt:lpstr>
      <vt:lpstr>Tennessee</vt:lpstr>
      <vt:lpstr>Kentucky</vt:lpstr>
      <vt:lpstr>Commodity TN KY</vt:lpstr>
      <vt:lpstr>Commodity Texas</vt:lpstr>
      <vt:lpstr>NC Hydro</vt:lpstr>
      <vt:lpstr>2023 Allocation Source</vt:lpstr>
      <vt:lpstr>2023 NUC Rent</vt:lpstr>
      <vt:lpstr>2023 NALLC Rent</vt:lpstr>
      <vt:lpstr>20223 FCFA Rent</vt:lpstr>
      <vt:lpstr>2022 Allocation Source</vt:lpstr>
      <vt:lpstr>2022 Allocation Source NP</vt:lpstr>
      <vt:lpstr>2021 Allocation Source</vt:lpstr>
      <vt:lpstr>2022 NUC Rent</vt:lpstr>
      <vt:lpstr>2021 NUC Rent</vt:lpstr>
      <vt:lpstr>2022 NALLC Rent</vt:lpstr>
      <vt:lpstr>2021 NALLC Rent</vt:lpstr>
      <vt:lpstr>2022 FCFA Rent</vt:lpstr>
      <vt:lpstr>2021 FCFA Rent</vt:lpstr>
      <vt:lpstr>'Allocation Charges'!Print_Area</vt:lpstr>
      <vt:lpstr>'Commodity OK'!Print_Area</vt:lpstr>
      <vt:lpstr>'Commodity Texas'!Print_Area</vt:lpstr>
      <vt:lpstr>'Direct Charges'!Print_Area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Carlos Gonzalez</cp:lastModifiedBy>
  <cp:lastPrinted>2023-08-17T19:38:03Z</cp:lastPrinted>
  <dcterms:created xsi:type="dcterms:W3CDTF">2013-02-08T00:44:54Z</dcterms:created>
  <dcterms:modified xsi:type="dcterms:W3CDTF">2024-10-14T23:38:30Z</dcterms:modified>
</cp:coreProperties>
</file>