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Southern WSD/"/>
    </mc:Choice>
  </mc:AlternateContent>
  <xr:revisionPtr revIDLastSave="142" documentId="8_{7F6A4B5D-63C1-4070-BB48-055537EAD30B}" xr6:coauthVersionLast="47" xr6:coauthVersionMax="47" xr10:uidLastSave="{0C977B7A-2F27-4FB8-97E4-7FA92813D934}"/>
  <bookViews>
    <workbookView minimized="1" xWindow="2145" yWindow="2145" windowWidth="7792" windowHeight="4192" tabRatio="641" activeTab="1" xr2:uid="{00000000-000D-0000-FFFF-FFFF00000000}"/>
  </bookViews>
  <sheets>
    <sheet name="SAO" sheetId="6" r:id="rId1"/>
    <sheet name="Depreciation" sheetId="61" r:id="rId2"/>
    <sheet name="Debt Service" sheetId="50" r:id="rId3"/>
    <sheet name="Purchased Water" sheetId="54" r:id="rId4"/>
    <sheet name="Rates" sheetId="2" r:id="rId5"/>
    <sheet name="Bills" sheetId="42" r:id="rId6"/>
    <sheet name="ExBA" sheetId="52" r:id="rId7"/>
    <sheet name="PrBA" sheetId="58" r:id="rId8"/>
  </sheets>
  <definedNames>
    <definedName name="AHV">#REF!</definedName>
    <definedName name="_xlnm.Print_Area" localSheetId="5">Bills!$B$1:$I$12</definedName>
    <definedName name="_xlnm.Print_Area" localSheetId="2">'Debt Service'!$A$1:$O$27</definedName>
    <definedName name="_xlnm.Print_Area" localSheetId="1">Depreciation!$A$1:$N$104</definedName>
    <definedName name="_xlnm.Print_Area" localSheetId="6">ExBA!$A$1:$H$27</definedName>
    <definedName name="_xlnm.Print_Area" localSheetId="7">PrBA!$A$1:$H$27</definedName>
    <definedName name="_xlnm.Print_Area" localSheetId="4">Rates!$A$1:$P$16</definedName>
    <definedName name="_xlnm.Print_Area" localSheetId="0">SAO!$A$1:$G$55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6" i="61" l="1"/>
  <c r="F116" i="61"/>
  <c r="E116" i="61"/>
  <c r="G115" i="61"/>
  <c r="G114" i="61"/>
  <c r="G111" i="61"/>
  <c r="F27" i="52" l="1"/>
  <c r="E26" i="52" l="1"/>
  <c r="E25" i="52"/>
  <c r="E24" i="52"/>
  <c r="F25" i="52"/>
  <c r="N14" i="2"/>
  <c r="N13" i="2"/>
  <c r="O13" i="2" s="1"/>
  <c r="M10" i="52"/>
  <c r="G8" i="52" s="1"/>
  <c r="L11" i="61"/>
  <c r="I50" i="61"/>
  <c r="G50" i="61"/>
  <c r="I49" i="61"/>
  <c r="G49" i="61"/>
  <c r="G57" i="61"/>
  <c r="G59" i="61"/>
  <c r="G70" i="61"/>
  <c r="I71" i="61"/>
  <c r="G71" i="61"/>
  <c r="G90" i="61"/>
  <c r="G29" i="6"/>
  <c r="G25" i="6"/>
  <c r="G24" i="6"/>
  <c r="G23" i="6"/>
  <c r="G22" i="6"/>
  <c r="C19" i="58"/>
  <c r="D19" i="58"/>
  <c r="D18" i="58"/>
  <c r="C18" i="58"/>
  <c r="G77" i="61"/>
  <c r="G79" i="61"/>
  <c r="I79" i="61"/>
  <c r="I57" i="61"/>
  <c r="I52" i="61"/>
  <c r="I53" i="61" s="1"/>
  <c r="G53" i="61"/>
  <c r="K39" i="61"/>
  <c r="L39" i="61" s="1"/>
  <c r="G10" i="52"/>
  <c r="M20" i="50"/>
  <c r="L16" i="50"/>
  <c r="L12" i="50"/>
  <c r="K12" i="50"/>
  <c r="H18" i="50"/>
  <c r="G18" i="50"/>
  <c r="F18" i="50"/>
  <c r="E18" i="50"/>
  <c r="D18" i="50"/>
  <c r="C18" i="50"/>
  <c r="J16" i="50"/>
  <c r="H16" i="50"/>
  <c r="F16" i="50"/>
  <c r="D16" i="50"/>
  <c r="F15" i="50"/>
  <c r="E15" i="50"/>
  <c r="D15" i="50"/>
  <c r="C15" i="50"/>
  <c r="D14" i="50"/>
  <c r="C14" i="50"/>
  <c r="D13" i="50"/>
  <c r="C13" i="50"/>
  <c r="J12" i="50"/>
  <c r="I12" i="50"/>
  <c r="H12" i="50"/>
  <c r="G12" i="50"/>
  <c r="F12" i="50"/>
  <c r="E12" i="50"/>
  <c r="D12" i="50"/>
  <c r="C12" i="50"/>
  <c r="B34" i="54"/>
  <c r="B11" i="54"/>
  <c r="F24" i="52" l="1"/>
  <c r="J11" i="2"/>
  <c r="J10" i="2"/>
  <c r="E9" i="42" l="1"/>
  <c r="B26" i="58"/>
  <c r="B25" i="58"/>
  <c r="D20" i="58"/>
  <c r="F6" i="58" s="1"/>
  <c r="F7" i="58" s="1"/>
  <c r="C20" i="58"/>
  <c r="C25" i="58" s="1"/>
  <c r="E18" i="58"/>
  <c r="F17" i="58"/>
  <c r="E17" i="58"/>
  <c r="E19" i="58" s="1"/>
  <c r="C20" i="50"/>
  <c r="G75" i="61"/>
  <c r="K75" i="61" s="1"/>
  <c r="L75" i="61" s="1"/>
  <c r="K57" i="61"/>
  <c r="L57" i="61" s="1"/>
  <c r="K50" i="61"/>
  <c r="K38" i="61"/>
  <c r="L38" i="61" s="1"/>
  <c r="K37" i="61"/>
  <c r="L37" i="61" s="1"/>
  <c r="I98" i="61"/>
  <c r="K96" i="61"/>
  <c r="L96" i="61" s="1"/>
  <c r="K94" i="61"/>
  <c r="L94" i="61" s="1"/>
  <c r="G92" i="61"/>
  <c r="K92" i="61" s="1"/>
  <c r="L92" i="61" s="1"/>
  <c r="L90" i="61"/>
  <c r="G88" i="61"/>
  <c r="K88" i="61" s="1"/>
  <c r="K81" i="61"/>
  <c r="L81" i="61" s="1"/>
  <c r="K79" i="61"/>
  <c r="L79" i="61" s="1"/>
  <c r="K77" i="61"/>
  <c r="L77" i="61" s="1"/>
  <c r="K73" i="61"/>
  <c r="L73" i="61" s="1"/>
  <c r="K59" i="61"/>
  <c r="K55" i="61"/>
  <c r="I55" i="61"/>
  <c r="L55" i="61" s="1"/>
  <c r="K53" i="61"/>
  <c r="G52" i="61"/>
  <c r="K52" i="61" s="1"/>
  <c r="L52" i="61" s="1"/>
  <c r="K49" i="61"/>
  <c r="K47" i="61"/>
  <c r="L47" i="61" s="1"/>
  <c r="K45" i="61"/>
  <c r="L45" i="61" s="1"/>
  <c r="L43" i="61"/>
  <c r="L41" i="61"/>
  <c r="K36" i="61"/>
  <c r="L36" i="61" s="1"/>
  <c r="K35" i="61"/>
  <c r="L35" i="61" s="1"/>
  <c r="K34" i="61"/>
  <c r="L34" i="61" s="1"/>
  <c r="K33" i="61"/>
  <c r="L33" i="61" s="1"/>
  <c r="K32" i="61"/>
  <c r="I32" i="61"/>
  <c r="K31" i="61"/>
  <c r="I31" i="61"/>
  <c r="K30" i="61"/>
  <c r="I30" i="61"/>
  <c r="K29" i="61"/>
  <c r="I29" i="61"/>
  <c r="K28" i="61"/>
  <c r="I28" i="61"/>
  <c r="I27" i="61"/>
  <c r="L27" i="61" s="1"/>
  <c r="K26" i="61"/>
  <c r="I26" i="61"/>
  <c r="K25" i="61"/>
  <c r="I25" i="61"/>
  <c r="K24" i="61"/>
  <c r="I24" i="61"/>
  <c r="K23" i="61"/>
  <c r="I23" i="61"/>
  <c r="K22" i="61"/>
  <c r="I22" i="61"/>
  <c r="I21" i="61"/>
  <c r="L21" i="61" s="1"/>
  <c r="K20" i="61"/>
  <c r="I20" i="61"/>
  <c r="I19" i="61"/>
  <c r="L19" i="61" s="1"/>
  <c r="K18" i="61"/>
  <c r="I18" i="61"/>
  <c r="K17" i="61"/>
  <c r="I16" i="61"/>
  <c r="L16" i="61" s="1"/>
  <c r="K15" i="61"/>
  <c r="I15" i="61"/>
  <c r="G14" i="61"/>
  <c r="I14" i="61" s="1"/>
  <c r="K71" i="61" l="1"/>
  <c r="L71" i="61" s="1"/>
  <c r="I70" i="61"/>
  <c r="K70" i="61" s="1"/>
  <c r="L70" i="61" s="1"/>
  <c r="E6" i="58"/>
  <c r="E7" i="58" s="1"/>
  <c r="L49" i="61"/>
  <c r="F19" i="58"/>
  <c r="F20" i="58" s="1"/>
  <c r="D26" i="58" s="1"/>
  <c r="G19" i="58"/>
  <c r="E20" i="58"/>
  <c r="D25" i="58" s="1"/>
  <c r="D27" i="58" s="1"/>
  <c r="C27" i="58"/>
  <c r="G18" i="58"/>
  <c r="G20" i="58" s="1"/>
  <c r="M12" i="50"/>
  <c r="L50" i="61"/>
  <c r="L17" i="61"/>
  <c r="L28" i="61"/>
  <c r="L18" i="61"/>
  <c r="L20" i="61"/>
  <c r="L22" i="61"/>
  <c r="L23" i="61"/>
  <c r="L24" i="61"/>
  <c r="L26" i="61"/>
  <c r="L29" i="61"/>
  <c r="L31" i="61"/>
  <c r="L32" i="61"/>
  <c r="L25" i="61"/>
  <c r="L30" i="61"/>
  <c r="L15" i="61"/>
  <c r="L53" i="61"/>
  <c r="L88" i="61"/>
  <c r="L98" i="61" s="1"/>
  <c r="K98" i="61"/>
  <c r="K14" i="61"/>
  <c r="L59" i="61"/>
  <c r="K83" i="61" l="1"/>
  <c r="L14" i="61"/>
  <c r="L83" i="61" s="1"/>
  <c r="L101" i="61" s="1"/>
  <c r="E36" i="6" s="1"/>
  <c r="I83" i="61"/>
  <c r="I101" i="61" s="1"/>
  <c r="K101" i="61" l="1"/>
  <c r="M14" i="50"/>
  <c r="M17" i="50"/>
  <c r="M13" i="50"/>
  <c r="B26" i="52"/>
  <c r="M16" i="50" l="1"/>
  <c r="M15" i="50"/>
  <c r="M18" i="50"/>
  <c r="G37" i="6"/>
  <c r="B32" i="54" l="1"/>
  <c r="B25" i="52"/>
  <c r="C20" i="52"/>
  <c r="C25" i="52" s="1"/>
  <c r="E18" i="52"/>
  <c r="G18" i="52" s="1"/>
  <c r="F17" i="52"/>
  <c r="E17" i="52"/>
  <c r="C27" i="52" l="1"/>
  <c r="E6" i="52"/>
  <c r="D20" i="52"/>
  <c r="F6" i="52" s="1"/>
  <c r="E19" i="52"/>
  <c r="E7" i="52" l="1"/>
  <c r="F19" i="52"/>
  <c r="F20" i="52" s="1"/>
  <c r="D26" i="52" s="1"/>
  <c r="F26" i="52" s="1"/>
  <c r="E20" i="52"/>
  <c r="D25" i="52" s="1"/>
  <c r="G6" i="52" l="1"/>
  <c r="D27" i="52"/>
  <c r="F7" i="52"/>
  <c r="G19" i="52"/>
  <c r="G7" i="52" l="1"/>
  <c r="G9" i="52" s="1"/>
  <c r="G11" i="52" s="1"/>
  <c r="G20" i="52"/>
  <c r="G31" i="6" l="1"/>
  <c r="G38" i="6" l="1"/>
  <c r="G16" i="6"/>
  <c r="B33" i="54"/>
  <c r="G9" i="6"/>
  <c r="G49" i="6" s="1"/>
  <c r="G7" i="6"/>
  <c r="A34" i="54"/>
  <c r="A33" i="54"/>
  <c r="C23" i="54" l="1"/>
  <c r="C15" i="54"/>
  <c r="C6" i="54"/>
  <c r="C24" i="54" l="1"/>
  <c r="D26" i="54"/>
  <c r="D28" i="54" s="1"/>
  <c r="C32" i="54" s="1"/>
  <c r="D32" i="54" s="1"/>
  <c r="E17" i="6" l="1"/>
  <c r="C34" i="54"/>
  <c r="D34" i="54" s="1"/>
  <c r="E19" i="6" s="1"/>
  <c r="C33" i="54"/>
  <c r="D33" i="54" s="1"/>
  <c r="E18" i="6" s="1"/>
  <c r="G17" i="6" l="1"/>
  <c r="E34" i="6"/>
  <c r="E39" i="6" s="1"/>
  <c r="D35" i="54"/>
  <c r="C40" i="54" s="1"/>
  <c r="C44" i="54" s="1"/>
  <c r="K20" i="50"/>
  <c r="I20" i="50"/>
  <c r="G20" i="50"/>
  <c r="E20" i="50"/>
  <c r="L20" i="50"/>
  <c r="J20" i="50"/>
  <c r="H20" i="50"/>
  <c r="F20" i="50"/>
  <c r="D20" i="50"/>
  <c r="G14" i="6" l="1"/>
  <c r="G36" i="6"/>
  <c r="P20" i="50"/>
  <c r="M23" i="50"/>
  <c r="G45" i="6" s="1"/>
  <c r="M25" i="50" l="1"/>
  <c r="G46" i="6" s="1"/>
  <c r="P25" i="50" l="1"/>
  <c r="G33" i="6"/>
  <c r="G32" i="6"/>
  <c r="G30" i="6"/>
  <c r="G28" i="6"/>
  <c r="G27" i="6"/>
  <c r="G26" i="6"/>
  <c r="G20" i="6"/>
  <c r="G19" i="6"/>
  <c r="G18" i="6"/>
  <c r="G15" i="6"/>
  <c r="G21" i="6" l="1"/>
  <c r="G8" i="6" l="1"/>
  <c r="G48" i="6" s="1"/>
  <c r="D10" i="6"/>
  <c r="D34" i="6"/>
  <c r="D39" i="6" s="1"/>
  <c r="G34" i="6" l="1"/>
  <c r="G39" i="6" l="1"/>
  <c r="D41" i="6"/>
  <c r="G44" i="6" l="1"/>
  <c r="G47" i="6" s="1"/>
  <c r="G52" i="6" s="1"/>
  <c r="G10" i="58" l="1"/>
  <c r="E6" i="6" l="1"/>
  <c r="G6" i="6" l="1"/>
  <c r="G53" i="6" s="1"/>
  <c r="E10" i="6"/>
  <c r="E41" i="6" s="1"/>
  <c r="G54" i="6" l="1"/>
  <c r="G55" i="6" s="1"/>
  <c r="G10" i="6"/>
  <c r="G41" i="6" s="1"/>
  <c r="L9" i="2" l="1"/>
  <c r="E24" i="58" s="1"/>
  <c r="F24" i="58" s="1"/>
  <c r="L11" i="2"/>
  <c r="E26" i="58" s="1"/>
  <c r="L10" i="2"/>
  <c r="E25" i="58" s="1"/>
  <c r="F25" i="58"/>
  <c r="G8" i="58"/>
  <c r="F26" i="58" l="1"/>
  <c r="F27" i="58" s="1"/>
  <c r="N9" i="2"/>
  <c r="O9" i="2" s="1"/>
  <c r="N10" i="2"/>
  <c r="O10" i="2" s="1"/>
  <c r="G6" i="58" l="1"/>
  <c r="G7" i="58" s="1"/>
  <c r="G9" i="58" s="1"/>
  <c r="G11" i="58" s="1"/>
  <c r="G12" i="58" s="1"/>
  <c r="N11" i="2" l="1"/>
  <c r="O11" i="2" s="1"/>
  <c r="F9" i="42"/>
  <c r="G9" i="42" s="1"/>
  <c r="H9" i="42" s="1"/>
</calcChain>
</file>

<file path=xl/sharedStrings.xml><?xml version="1.0" encoding="utf-8"?>
<sst xmlns="http://schemas.openxmlformats.org/spreadsheetml/2006/main" count="396" uniqueCount="266">
  <si>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</si>
  <si>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</si>
  <si>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</si>
  <si>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</si>
  <si>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</si>
  <si>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</si>
  <si>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</si>
  <si>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</si>
  <si>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Miscellaneous Expenses</t>
  </si>
  <si>
    <t>Transportation Expenses</t>
  </si>
  <si>
    <t>Proposed</t>
  </si>
  <si>
    <t>Interest Income</t>
  </si>
  <si>
    <t>Gallons</t>
  </si>
  <si>
    <t>Operating Revenues</t>
  </si>
  <si>
    <t>Sales for Resale</t>
  </si>
  <si>
    <t>Total Operating Revenues</t>
  </si>
  <si>
    <t>Operating Expenses</t>
  </si>
  <si>
    <t>Depreciation Expense</t>
  </si>
  <si>
    <t>REVENUE REQUIREMENTS</t>
  </si>
  <si>
    <t>Plus:</t>
  </si>
  <si>
    <t>Less:</t>
  </si>
  <si>
    <t>Existing</t>
  </si>
  <si>
    <t>Change</t>
  </si>
  <si>
    <t>Table A</t>
  </si>
  <si>
    <t>SCHEDULE OF ADJUSTED OPERATIONS</t>
  </si>
  <si>
    <t>Adjustments</t>
  </si>
  <si>
    <t>Ref.</t>
  </si>
  <si>
    <t>Proforma</t>
  </si>
  <si>
    <t>Operation and Maintenance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</si>
  <si>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</si>
  <si>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</si>
  <si>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</si>
  <si>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</si>
  <si>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</si>
  <si>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</si>
  <si>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FIRST</t>
  </si>
  <si>
    <t>USAGE</t>
  </si>
  <si>
    <t>BILLS</t>
  </si>
  <si>
    <t>GALLONS</t>
  </si>
  <si>
    <t>TOTAL</t>
  </si>
  <si>
    <t>RATE</t>
  </si>
  <si>
    <t>REVENUE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</si>
  <si>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</si>
  <si>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</si>
  <si>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</si>
  <si>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</si>
  <si>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</si>
  <si>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</si>
  <si>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</si>
  <si>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</si>
  <si>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Bill</t>
  </si>
  <si>
    <t>Percentage</t>
  </si>
  <si>
    <t>Size</t>
  </si>
  <si>
    <t>5/8 x 3/4"</t>
  </si>
  <si>
    <t>TOTALS</t>
  </si>
  <si>
    <t>per Month*</t>
  </si>
  <si>
    <t>* Highlighted usage represents the average residential bill.</t>
  </si>
  <si>
    <t>Average Annual Principal and Interest Payments</t>
  </si>
  <si>
    <t>Additional Working Capital</t>
  </si>
  <si>
    <t>DEBT SERVICE SCHDULE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</si>
  <si>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</si>
  <si>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</si>
  <si>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</si>
  <si>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</si>
  <si>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</si>
  <si>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</si>
  <si>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</si>
  <si>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NEXT</t>
  </si>
  <si>
    <t>Sold</t>
  </si>
  <si>
    <t>Uses:</t>
  </si>
  <si>
    <t xml:space="preserve">  water loss percentage</t>
  </si>
  <si>
    <t xml:space="preserve">  allowable in rates</t>
  </si>
  <si>
    <t xml:space="preserve">  adjustment percentage</t>
  </si>
  <si>
    <t>Produced</t>
  </si>
  <si>
    <t>Purchased</t>
  </si>
  <si>
    <t>Total Produced and Purchased</t>
  </si>
  <si>
    <t>Total Other Water Used</t>
  </si>
  <si>
    <t>Losses:</t>
  </si>
  <si>
    <t xml:space="preserve">   WTP</t>
  </si>
  <si>
    <t xml:space="preserve">   Flushing</t>
  </si>
  <si>
    <t xml:space="preserve">   Fire</t>
  </si>
  <si>
    <t xml:space="preserve">   Other</t>
  </si>
  <si>
    <t xml:space="preserve">   Tank O.F.</t>
  </si>
  <si>
    <t xml:space="preserve">   Line Brks.</t>
  </si>
  <si>
    <t xml:space="preserve">   Line Leaks</t>
  </si>
  <si>
    <t xml:space="preserve">   Unknown</t>
  </si>
  <si>
    <t>Total Losses:</t>
  </si>
  <si>
    <t>Sold, Used, and Lost</t>
  </si>
  <si>
    <t>``</t>
  </si>
  <si>
    <t>TABLE D</t>
  </si>
  <si>
    <t>Total Adjustment</t>
  </si>
  <si>
    <t>CURRENT AND PROPOSED BILLS</t>
  </si>
  <si>
    <t xml:space="preserve">   Excavation Damages</t>
  </si>
  <si>
    <t>Purchased Water above allowable water loss.</t>
  </si>
  <si>
    <t>Purchased Power above allowable water loss.</t>
  </si>
  <si>
    <t>Chemicals above allowable water loss.</t>
  </si>
  <si>
    <t>Computation of Water Loss Adjustment</t>
  </si>
  <si>
    <t>Proforma Purchased Water</t>
  </si>
  <si>
    <t>Computation of Adjustment to Purchases above Allowable Water Loss:</t>
  </si>
  <si>
    <t>CY 2027</t>
  </si>
  <si>
    <t>Advertising Expense</t>
  </si>
  <si>
    <t>CURRENT BILLING ANALYSIS - CURRENT USAGE &amp; EXISTING RATES</t>
  </si>
  <si>
    <t xml:space="preserve">  SUMMARY  </t>
  </si>
  <si>
    <t>No. of Bills</t>
  </si>
  <si>
    <t>Gallons Sold</t>
  </si>
  <si>
    <t>Revenue</t>
  </si>
  <si>
    <t xml:space="preserve">     5/8" X 3/4" Meters</t>
  </si>
  <si>
    <t>Totals</t>
  </si>
  <si>
    <t>Less Billing Adjustments</t>
  </si>
  <si>
    <t>Net Total</t>
  </si>
  <si>
    <t>Less PSC Annual Report</t>
  </si>
  <si>
    <t>SAO Adjustment</t>
  </si>
  <si>
    <t xml:space="preserve">     REVENUE BY RATE INCREMENT</t>
  </si>
  <si>
    <t>Amortization Expense</t>
  </si>
  <si>
    <t>Southern Water and Sewer District</t>
  </si>
  <si>
    <t>CY 2028</t>
  </si>
  <si>
    <t>Cobank Loan 2041</t>
  </si>
  <si>
    <t>Community Trust Bank</t>
  </si>
  <si>
    <t>People's Bank</t>
  </si>
  <si>
    <t>Build America Bond</t>
  </si>
  <si>
    <t>KIA B293-01</t>
  </si>
  <si>
    <t>KIA B295-01</t>
  </si>
  <si>
    <t>Cobank Loan</t>
  </si>
  <si>
    <t>DEPRECIATION EXPENSE ADJUSTMENTS</t>
  </si>
  <si>
    <t>Depreciation</t>
  </si>
  <si>
    <t>Assets</t>
  </si>
  <si>
    <t>Date in</t>
  </si>
  <si>
    <t>Original</t>
  </si>
  <si>
    <t>Reported</t>
  </si>
  <si>
    <t>Expense</t>
  </si>
  <si>
    <t>No.</t>
  </si>
  <si>
    <t>Description</t>
  </si>
  <si>
    <t>Service</t>
  </si>
  <si>
    <t>Cost *</t>
  </si>
  <si>
    <t>Life</t>
  </si>
  <si>
    <t>Depr. Exp.</t>
  </si>
  <si>
    <t>BEWD SCHEDULE</t>
  </si>
  <si>
    <t>304-2 STRUCTURES</t>
  </si>
  <si>
    <t>1994 Plant Expansion</t>
  </si>
  <si>
    <t>Tank Repairs</t>
  </si>
  <si>
    <t>Telementry systems</t>
  </si>
  <si>
    <t>Tank repairs</t>
  </si>
  <si>
    <t>1999 CIP Tanks</t>
  </si>
  <si>
    <t>Telemetry 2000 CIP</t>
  </si>
  <si>
    <t>2001 CIP - Tanks &amp; Install</t>
  </si>
  <si>
    <t>2001 CIP - Telemetry</t>
  </si>
  <si>
    <t>Spurlock Tank</t>
  </si>
  <si>
    <t>2004  CIP Tanks (RD)</t>
  </si>
  <si>
    <t>Office Building</t>
  </si>
  <si>
    <t>2007 CIP Telemetry</t>
  </si>
  <si>
    <t>2007 CIP Tank</t>
  </si>
  <si>
    <t>Security System</t>
  </si>
  <si>
    <t>Roof</t>
  </si>
  <si>
    <t>Price Tank</t>
  </si>
  <si>
    <t>John Hall Branch Tank Repair</t>
  </si>
  <si>
    <t>2013 Building Improvements</t>
  </si>
  <si>
    <t>2017 Melvin Tank Repairs</t>
  </si>
  <si>
    <t>Ligon Tank</t>
  </si>
  <si>
    <t>Storage Container</t>
  </si>
  <si>
    <t>Telemetry</t>
  </si>
  <si>
    <t>Mink Branch Tank</t>
  </si>
  <si>
    <t>304-5 FURNITURE</t>
  </si>
  <si>
    <t>Phone System</t>
  </si>
  <si>
    <t>305-2 RESERVES</t>
  </si>
  <si>
    <t>Reserves</t>
  </si>
  <si>
    <t>306-2 LAKE</t>
  </si>
  <si>
    <t>Lake, River</t>
  </si>
  <si>
    <t>310-2 LINE REPAIR</t>
  </si>
  <si>
    <t>Electrical Line Repair</t>
  </si>
  <si>
    <t>311-2 PUMP EQUIPMENT</t>
  </si>
  <si>
    <t>Pump Stations</t>
  </si>
  <si>
    <t>various</t>
  </si>
  <si>
    <t>Remainder of Group (equipment)</t>
  </si>
  <si>
    <t>varies</t>
  </si>
  <si>
    <t>320-3 WATER TREATMENT EQUIPMENT</t>
  </si>
  <si>
    <t>Water Treatment Plant</t>
  </si>
  <si>
    <t>330-4 RESERVOIRS</t>
  </si>
  <si>
    <t>Distribution reservoirs</t>
  </si>
  <si>
    <t>331-4 TRANS. &amp; DIST. MAINS</t>
  </si>
  <si>
    <t>Entire Group</t>
  </si>
  <si>
    <t>333-4 SERVICES</t>
  </si>
  <si>
    <t>*  Includes only costs associated with assets that contributed to depreciation expense in the test year.</t>
  </si>
  <si>
    <t>334-4 METERS</t>
  </si>
  <si>
    <t>Meters</t>
  </si>
  <si>
    <t>Meters - RG3</t>
  </si>
  <si>
    <t>335-4 HYDRANTS</t>
  </si>
  <si>
    <t>340-5 OFFICE EQUIPMENT</t>
  </si>
  <si>
    <t>Computer Equip. and Software</t>
  </si>
  <si>
    <t>341-5 VEHICLES</t>
  </si>
  <si>
    <t>345-5 POWER EQUIPMENT</t>
  </si>
  <si>
    <t>347-5 EQUIPMENT</t>
  </si>
  <si>
    <t>Equipment</t>
  </si>
  <si>
    <t>MUD SCHEDULE</t>
  </si>
  <si>
    <t>311 PUMP EQUIPMENT</t>
  </si>
  <si>
    <t>330 DISTRIBUTION RESERVOIRS</t>
  </si>
  <si>
    <t>333 SERVICES</t>
  </si>
  <si>
    <t>GRAND TOTALS</t>
  </si>
  <si>
    <t>Concrete</t>
  </si>
  <si>
    <t>PROPOSED BILLING ANALYSIS - CURRENT USAGE &amp; PROPOSED RATES</t>
  </si>
  <si>
    <t>(A)</t>
  </si>
  <si>
    <t>(B)</t>
  </si>
  <si>
    <t>(C)</t>
  </si>
  <si>
    <t>CURRENT AND PROPOSED MONTHLY RATES</t>
  </si>
  <si>
    <t>CURRENT RATE SCHEDULE</t>
  </si>
  <si>
    <t>PROPOSED RATE SCHEDULE</t>
  </si>
  <si>
    <t>DIFFERENCE</t>
  </si>
  <si>
    <t>PERCENT</t>
  </si>
  <si>
    <t>First</t>
  </si>
  <si>
    <t>gallons</t>
  </si>
  <si>
    <t>Minimum Bill</t>
  </si>
  <si>
    <t>per 1,000 gallons</t>
  </si>
  <si>
    <t>Over</t>
  </si>
  <si>
    <t>Customer Charge</t>
  </si>
  <si>
    <t>Meter Replacement Surcharge</t>
  </si>
  <si>
    <t>Table B</t>
  </si>
  <si>
    <t>Chemicals</t>
  </si>
  <si>
    <t>CY 2029</t>
  </si>
  <si>
    <t>CY 2025 - 2029</t>
  </si>
  <si>
    <t>2023 Tank Repairs</t>
  </si>
  <si>
    <t>Less Revenue Required for Sales of Water</t>
  </si>
  <si>
    <t>Computation of Water Loss Surcharge</t>
  </si>
  <si>
    <t>Water Loss Adjustment</t>
  </si>
  <si>
    <t>Divide by: Number of Customers</t>
  </si>
  <si>
    <t xml:space="preserve">                      Twelve Months</t>
  </si>
  <si>
    <t>Test Year 2023</t>
  </si>
  <si>
    <t>Contractual Services - Accounting</t>
  </si>
  <si>
    <t>Contractual Services - Legal</t>
  </si>
  <si>
    <t>Contractual Services - Management Fees</t>
  </si>
  <si>
    <t>Contractual Services - Water Testing</t>
  </si>
  <si>
    <t>Contractual Services - Other</t>
  </si>
  <si>
    <t>Rental of Equipment</t>
  </si>
  <si>
    <t>Insurance - General Liability</t>
  </si>
  <si>
    <t>Insurance - Workers Compensation</t>
  </si>
  <si>
    <t>Miscellaneous Service Revenues</t>
  </si>
  <si>
    <t>Nonutility Income</t>
  </si>
  <si>
    <t>Water Loss Reduction Surcharge</t>
  </si>
  <si>
    <t>(D)</t>
  </si>
  <si>
    <t>Difference</t>
  </si>
  <si>
    <t>Percent</t>
  </si>
  <si>
    <t>303-2 LAND</t>
  </si>
  <si>
    <t>Vernon Slone (ROW)</t>
  </si>
  <si>
    <t>Billing Adjustments</t>
  </si>
  <si>
    <t>Billing Error</t>
  </si>
  <si>
    <t>General Adjustment</t>
  </si>
  <si>
    <t>Leak Adjustment</t>
  </si>
  <si>
    <t>Misread Adjustment</t>
  </si>
  <si>
    <t>per Month</t>
  </si>
  <si>
    <t>Water Sales</t>
  </si>
  <si>
    <t>Tab ExBa  Cell G11</t>
  </si>
  <si>
    <t>Tab Purchased Water Cell D32</t>
  </si>
  <si>
    <t>Tab Purchased Water Cell D33</t>
  </si>
  <si>
    <t>Tab Purchased Water Cell D34</t>
  </si>
  <si>
    <t>See file 3_Trial_Balance 2023 Cell G381</t>
  </si>
  <si>
    <t>Tab Depreciation Cell L101</t>
  </si>
  <si>
    <t>Tab Debt Service Cell M23</t>
  </si>
  <si>
    <t>Tab Debt Service Cell M25</t>
  </si>
  <si>
    <t>Customer</t>
  </si>
  <si>
    <t>Charge</t>
  </si>
  <si>
    <t>All Over</t>
  </si>
  <si>
    <t>Accumulated Depreciation</t>
  </si>
  <si>
    <t>Net Book Value of Assets</t>
  </si>
  <si>
    <t>2023 Annual Report Pages 16 and 26-29</t>
  </si>
  <si>
    <t>2023 Depreciation Schedule</t>
  </si>
  <si>
    <t>BEWD          Page 11</t>
  </si>
  <si>
    <t>MUD          Page 4</t>
  </si>
  <si>
    <t>Original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</si>
</sst>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mm/dd/yy;@"/>
    <numFmt numFmtId="168" formatCode="_(* #,##0.0_);_(* \(#,##0.0\);_(* &quot;-&quot;??_);_(@_)"/>
    <numFmt numFmtId="169" formatCode="m/d/yy;@"/>
  </numFmts>
  <fonts count="17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55">
    <xf numFmtId="0" fontId="0" fillId="0" borderId="0" xfId="0"/>
    <xf numFmtId="0" fontId="3" fillId="0" borderId="0" xfId="0" applyFont="1"/>
    <xf numFmtId="165" fontId="3" fillId="0" borderId="0" xfId="0" applyNumberFormat="1" applyFont="1"/>
    <xf numFmtId="0" fontId="0" fillId="0" borderId="6" xfId="0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3" fillId="0" borderId="3" xfId="1" applyNumberFormat="1" applyFont="1" applyBorder="1"/>
    <xf numFmtId="165" fontId="3" fillId="0" borderId="2" xfId="1" applyNumberFormat="1" applyFont="1" applyBorder="1"/>
    <xf numFmtId="165" fontId="3" fillId="0" borderId="4" xfId="1" applyNumberFormat="1" applyFont="1" applyBorder="1"/>
    <xf numFmtId="165" fontId="3" fillId="0" borderId="7" xfId="1" applyNumberFormat="1" applyFont="1" applyBorder="1"/>
    <xf numFmtId="165" fontId="3" fillId="0" borderId="8" xfId="1" applyNumberFormat="1" applyFont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165" fontId="9" fillId="0" borderId="0" xfId="1" applyNumberFormat="1" applyFont="1" applyBorder="1" applyAlignment="1">
      <alignment horizontal="center"/>
    </xf>
    <xf numFmtId="43" fontId="3" fillId="0" borderId="0" xfId="1" applyFont="1" applyBorder="1"/>
    <xf numFmtId="165" fontId="3" fillId="0" borderId="0" xfId="5" applyNumberFormat="1" applyFont="1"/>
    <xf numFmtId="3" fontId="3" fillId="0" borderId="0" xfId="0" applyNumberFormat="1" applyFont="1" applyAlignment="1">
      <alignment horizontal="right"/>
    </xf>
    <xf numFmtId="165" fontId="3" fillId="0" borderId="7" xfId="5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1" xfId="5" applyNumberFormat="1" applyFont="1" applyBorder="1"/>
    <xf numFmtId="165" fontId="3" fillId="0" borderId="0" xfId="5" applyNumberFormat="1" applyFont="1" applyBorder="1"/>
    <xf numFmtId="0" fontId="3" fillId="0" borderId="0" xfId="0" applyFont="1" applyAlignment="1">
      <alignment horizontal="centerContinuous"/>
    </xf>
    <xf numFmtId="165" fontId="9" fillId="0" borderId="0" xfId="1" applyNumberFormat="1" applyFont="1"/>
    <xf numFmtId="43" fontId="3" fillId="0" borderId="7" xfId="1" applyFont="1" applyBorder="1"/>
    <xf numFmtId="164" fontId="3" fillId="0" borderId="0" xfId="6" applyNumberFormat="1" applyFont="1"/>
    <xf numFmtId="165" fontId="6" fillId="0" borderId="0" xfId="1" applyNumberFormat="1" applyFont="1"/>
    <xf numFmtId="165" fontId="9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/>
    </xf>
    <xf numFmtId="43" fontId="3" fillId="0" borderId="8" xfId="1" quotePrefix="1" applyFont="1" applyBorder="1" applyAlignment="1">
      <alignment horizontal="center"/>
    </xf>
    <xf numFmtId="43" fontId="3" fillId="0" borderId="1" xfId="1" applyFont="1" applyBorder="1"/>
    <xf numFmtId="43" fontId="3" fillId="0" borderId="5" xfId="1" applyFont="1" applyBorder="1"/>
    <xf numFmtId="166" fontId="3" fillId="0" borderId="8" xfId="3" applyNumberFormat="1" applyFont="1" applyBorder="1"/>
    <xf numFmtId="165" fontId="13" fillId="0" borderId="0" xfId="1" applyNumberFormat="1" applyFont="1"/>
    <xf numFmtId="10" fontId="3" fillId="0" borderId="0" xfId="0" applyNumberFormat="1" applyFont="1"/>
    <xf numFmtId="44" fontId="3" fillId="0" borderId="0" xfId="2" applyFont="1" applyBorder="1"/>
    <xf numFmtId="165" fontId="3" fillId="0" borderId="0" xfId="5" quotePrefix="1" applyNumberFormat="1" applyFont="1"/>
    <xf numFmtId="165" fontId="3" fillId="0" borderId="0" xfId="1" applyNumberFormat="1" applyFont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165" fontId="11" fillId="0" borderId="0" xfId="1" applyNumberFormat="1" applyFont="1" applyAlignment="1">
      <alignment horizontal="centerContinuous" vertical="center"/>
    </xf>
    <xf numFmtId="165" fontId="8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center"/>
    </xf>
    <xf numFmtId="165" fontId="10" fillId="0" borderId="0" xfId="1" quotePrefix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3" fillId="0" borderId="0" xfId="1" applyNumberFormat="1" applyFont="1" applyAlignment="1"/>
    <xf numFmtId="165" fontId="10" fillId="0" borderId="0" xfId="1" applyNumberFormat="1" applyFont="1" applyAlignment="1">
      <alignment vertical="center"/>
    </xf>
    <xf numFmtId="10" fontId="3" fillId="0" borderId="0" xfId="3" applyNumberFormat="1" applyFont="1" applyAlignment="1">
      <alignment vertical="center"/>
    </xf>
    <xf numFmtId="165" fontId="3" fillId="0" borderId="6" xfId="5" applyNumberFormat="1" applyFont="1" applyBorder="1"/>
    <xf numFmtId="10" fontId="3" fillId="0" borderId="0" xfId="3" applyNumberFormat="1" applyFont="1" applyBorder="1"/>
    <xf numFmtId="165" fontId="3" fillId="0" borderId="8" xfId="5" applyNumberFormat="1" applyFont="1" applyBorder="1"/>
    <xf numFmtId="165" fontId="7" fillId="0" borderId="7" xfId="5" applyNumberFormat="1" applyFont="1" applyBorder="1" applyAlignment="1">
      <alignment horizontal="center"/>
    </xf>
    <xf numFmtId="165" fontId="9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65" fontId="3" fillId="0" borderId="3" xfId="5" applyNumberFormat="1" applyFont="1" applyBorder="1"/>
    <xf numFmtId="165" fontId="3" fillId="0" borderId="2" xfId="5" applyNumberFormat="1" applyFont="1" applyBorder="1"/>
    <xf numFmtId="165" fontId="3" fillId="0" borderId="4" xfId="5" applyNumberFormat="1" applyFont="1" applyBorder="1"/>
    <xf numFmtId="165" fontId="4" fillId="0" borderId="7" xfId="5" applyNumberFormat="1" applyFont="1" applyBorder="1" applyAlignment="1">
      <alignment horizontal="centerContinuous"/>
    </xf>
    <xf numFmtId="165" fontId="7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8" fillId="0" borderId="0" xfId="5" applyNumberFormat="1" applyFont="1" applyAlignment="1">
      <alignment horizontal="centerContinuous"/>
    </xf>
    <xf numFmtId="3" fontId="11" fillId="0" borderId="7" xfId="0" applyNumberFormat="1" applyFont="1" applyBorder="1" applyAlignment="1">
      <alignment horizontal="centerContinuous" vertical="center"/>
    </xf>
    <xf numFmtId="165" fontId="16" fillId="0" borderId="7" xfId="5" applyNumberFormat="1" applyFont="1" applyBorder="1" applyAlignment="1">
      <alignment horizontal="centerContinuous"/>
    </xf>
    <xf numFmtId="165" fontId="3" fillId="0" borderId="0" xfId="5" applyNumberFormat="1" applyFont="1" applyAlignment="1">
      <alignment horizontal="centerContinuous"/>
    </xf>
    <xf numFmtId="165" fontId="3" fillId="0" borderId="7" xfId="5" applyNumberFormat="1" applyFont="1" applyBorder="1" applyAlignment="1">
      <alignment horizontal="centerContinuous"/>
    </xf>
    <xf numFmtId="165" fontId="3" fillId="0" borderId="9" xfId="5" applyNumberFormat="1" applyFont="1" applyBorder="1" applyAlignment="1">
      <alignment horizontal="left"/>
    </xf>
    <xf numFmtId="165" fontId="3" fillId="0" borderId="3" xfId="5" applyNumberFormat="1" applyFont="1" applyBorder="1" applyAlignment="1">
      <alignment horizontal="left"/>
    </xf>
    <xf numFmtId="165" fontId="3" fillId="0" borderId="2" xfId="5" applyNumberFormat="1" applyFont="1" applyBorder="1" applyAlignment="1">
      <alignment horizontal="left"/>
    </xf>
    <xf numFmtId="165" fontId="3" fillId="0" borderId="4" xfId="5" applyNumberFormat="1" applyFont="1" applyBorder="1" applyAlignment="1">
      <alignment horizontal="left"/>
    </xf>
    <xf numFmtId="165" fontId="3" fillId="0" borderId="10" xfId="5" applyNumberFormat="1" applyFont="1" applyBorder="1"/>
    <xf numFmtId="165" fontId="10" fillId="0" borderId="0" xfId="5" applyNumberFormat="1" applyFont="1" applyAlignment="1">
      <alignment horizontal="center" vertical="center"/>
    </xf>
    <xf numFmtId="165" fontId="7" fillId="0" borderId="8" xfId="5" applyNumberFormat="1" applyFont="1" applyBorder="1" applyAlignment="1">
      <alignment horizontal="center" vertical="center"/>
    </xf>
    <xf numFmtId="165" fontId="7" fillId="0" borderId="0" xfId="5" applyNumberFormat="1" applyFont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165" fontId="10" fillId="0" borderId="0" xfId="5" applyNumberFormat="1" applyFont="1" applyBorder="1" applyAlignment="1">
      <alignment horizontal="center" vertical="center"/>
    </xf>
    <xf numFmtId="165" fontId="3" fillId="0" borderId="10" xfId="5" applyNumberFormat="1" applyFont="1" applyBorder="1" applyAlignment="1">
      <alignment horizontal="left"/>
    </xf>
    <xf numFmtId="165" fontId="3" fillId="0" borderId="7" xfId="5" applyNumberFormat="1" applyFont="1" applyBorder="1" applyAlignment="1">
      <alignment horizontal="center"/>
    </xf>
    <xf numFmtId="165" fontId="3" fillId="0" borderId="8" xfId="5" applyNumberFormat="1" applyFont="1" applyBorder="1" applyAlignment="1">
      <alignment horizontal="center"/>
    </xf>
    <xf numFmtId="165" fontId="3" fillId="0" borderId="0" xfId="5" quotePrefix="1" applyNumberFormat="1" applyFont="1" applyBorder="1" applyAlignment="1">
      <alignment horizontal="center"/>
    </xf>
    <xf numFmtId="165" fontId="3" fillId="0" borderId="10" xfId="5" quotePrefix="1" applyNumberFormat="1" applyFont="1" applyBorder="1" applyAlignment="1">
      <alignment horizontal="center"/>
    </xf>
    <xf numFmtId="165" fontId="3" fillId="0" borderId="7" xfId="5" quotePrefix="1" applyNumberFormat="1" applyFont="1" applyBorder="1" applyAlignment="1">
      <alignment horizontal="left"/>
    </xf>
    <xf numFmtId="165" fontId="3" fillId="0" borderId="0" xfId="5" quotePrefix="1" applyNumberFormat="1" applyFont="1" applyAlignment="1">
      <alignment horizontal="left"/>
    </xf>
    <xf numFmtId="165" fontId="3" fillId="0" borderId="8" xfId="5" quotePrefix="1" applyNumberFormat="1" applyFont="1" applyBorder="1" applyAlignment="1">
      <alignment horizontal="left"/>
    </xf>
    <xf numFmtId="165" fontId="7" fillId="0" borderId="7" xfId="5" quotePrefix="1" applyNumberFormat="1" applyFont="1" applyBorder="1" applyAlignment="1">
      <alignment horizontal="left"/>
    </xf>
    <xf numFmtId="165" fontId="7" fillId="0" borderId="0" xfId="5" quotePrefix="1" applyNumberFormat="1" applyFont="1" applyAlignment="1">
      <alignment horizontal="left"/>
    </xf>
    <xf numFmtId="165" fontId="7" fillId="0" borderId="8" xfId="5" quotePrefix="1" applyNumberFormat="1" applyFont="1" applyBorder="1" applyAlignment="1">
      <alignment horizontal="left"/>
    </xf>
    <xf numFmtId="164" fontId="7" fillId="0" borderId="0" xfId="6" quotePrefix="1" applyNumberFormat="1" applyFont="1" applyBorder="1" applyAlignment="1">
      <alignment horizontal="left"/>
    </xf>
    <xf numFmtId="165" fontId="7" fillId="0" borderId="11" xfId="5" applyNumberFormat="1" applyFont="1" applyBorder="1" applyAlignment="1">
      <alignment horizontal="right"/>
    </xf>
    <xf numFmtId="165" fontId="7" fillId="0" borderId="5" xfId="5" applyNumberFormat="1" applyFont="1" applyBorder="1" applyAlignment="1">
      <alignment horizontal="right"/>
    </xf>
    <xf numFmtId="165" fontId="7" fillId="0" borderId="1" xfId="5" applyNumberFormat="1" applyFont="1" applyBorder="1" applyAlignment="1">
      <alignment horizontal="right"/>
    </xf>
    <xf numFmtId="165" fontId="7" fillId="0" borderId="6" xfId="5" applyNumberFormat="1" applyFont="1" applyBorder="1" applyAlignment="1">
      <alignment horizontal="right"/>
    </xf>
    <xf numFmtId="165" fontId="7" fillId="0" borderId="8" xfId="5" applyNumberFormat="1" applyFont="1" applyBorder="1" applyAlignment="1">
      <alignment horizontal="right"/>
    </xf>
    <xf numFmtId="165" fontId="7" fillId="0" borderId="7" xfId="5" applyNumberFormat="1" applyFont="1" applyBorder="1" applyAlignment="1">
      <alignment horizontal="right"/>
    </xf>
    <xf numFmtId="165" fontId="7" fillId="0" borderId="0" xfId="5" applyNumberFormat="1" applyFont="1" applyAlignment="1">
      <alignment horizontal="right"/>
    </xf>
    <xf numFmtId="165" fontId="7" fillId="0" borderId="2" xfId="5" applyNumberFormat="1" applyFont="1" applyBorder="1" applyAlignment="1">
      <alignment horizontal="right"/>
    </xf>
    <xf numFmtId="165" fontId="7" fillId="0" borderId="7" xfId="5" applyNumberFormat="1" applyFont="1" applyBorder="1"/>
    <xf numFmtId="164" fontId="7" fillId="0" borderId="0" xfId="6" applyNumberFormat="1" applyFont="1"/>
    <xf numFmtId="165" fontId="7" fillId="0" borderId="0" xfId="5" applyNumberFormat="1" applyFont="1"/>
    <xf numFmtId="165" fontId="7" fillId="0" borderId="0" xfId="5" applyNumberFormat="1" applyFont="1" applyBorder="1"/>
    <xf numFmtId="164" fontId="7" fillId="0" borderId="0" xfId="6" applyNumberFormat="1" applyFont="1" applyBorder="1"/>
    <xf numFmtId="165" fontId="3" fillId="0" borderId="5" xfId="5" applyNumberFormat="1" applyFont="1" applyBorder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164" fontId="3" fillId="0" borderId="0" xfId="6" applyNumberFormat="1" applyFont="1" applyBorder="1"/>
    <xf numFmtId="164" fontId="3" fillId="0" borderId="0" xfId="0" applyNumberFormat="1" applyFont="1"/>
    <xf numFmtId="37" fontId="3" fillId="0" borderId="0" xfId="0" applyNumberFormat="1" applyFont="1"/>
    <xf numFmtId="0" fontId="7" fillId="0" borderId="0" xfId="0" applyFont="1" applyAlignment="1">
      <alignment horizontal="left"/>
    </xf>
    <xf numFmtId="165" fontId="3" fillId="0" borderId="0" xfId="1" applyNumberFormat="1" applyFont="1" applyFill="1" applyAlignment="1">
      <alignment vertical="center"/>
    </xf>
    <xf numFmtId="44" fontId="3" fillId="0" borderId="0" xfId="0" applyNumberFormat="1" applyFont="1"/>
    <xf numFmtId="44" fontId="3" fillId="0" borderId="0" xfId="1" applyNumberFormat="1" applyFont="1" applyBorder="1"/>
    <xf numFmtId="10" fontId="3" fillId="0" borderId="0" xfId="1" applyNumberFormat="1" applyFont="1"/>
    <xf numFmtId="10" fontId="3" fillId="0" borderId="0" xfId="1" applyNumberFormat="1" applyFont="1" applyBorder="1"/>
    <xf numFmtId="165" fontId="9" fillId="0" borderId="0" xfId="0" applyNumberFormat="1" applyFont="1"/>
    <xf numFmtId="164" fontId="3" fillId="0" borderId="0" xfId="2" applyNumberFormat="1" applyFont="1" applyBorder="1"/>
    <xf numFmtId="0" fontId="7" fillId="0" borderId="0" xfId="0" applyFont="1"/>
    <xf numFmtId="44" fontId="3" fillId="0" borderId="0" xfId="2" applyFont="1"/>
    <xf numFmtId="10" fontId="3" fillId="0" borderId="1" xfId="0" applyNumberFormat="1" applyFont="1" applyBorder="1"/>
    <xf numFmtId="165" fontId="7" fillId="0" borderId="0" xfId="1" applyNumberFormat="1" applyFont="1"/>
    <xf numFmtId="44" fontId="7" fillId="0" borderId="0" xfId="1" applyNumberFormat="1" applyFont="1" applyBorder="1"/>
    <xf numFmtId="164" fontId="7" fillId="0" borderId="0" xfId="2" applyNumberFormat="1" applyFont="1" applyBorder="1"/>
    <xf numFmtId="165" fontId="3" fillId="0" borderId="7" xfId="5" applyNumberFormat="1" applyFont="1" applyFill="1" applyBorder="1" applyAlignment="1">
      <alignment horizontal="center"/>
    </xf>
    <xf numFmtId="165" fontId="3" fillId="0" borderId="8" xfId="5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2" applyNumberFormat="1" applyFont="1"/>
    <xf numFmtId="164" fontId="10" fillId="0" borderId="0" xfId="2" applyNumberFormat="1" applyFont="1"/>
    <xf numFmtId="164" fontId="3" fillId="0" borderId="1" xfId="6" applyNumberFormat="1" applyFont="1" applyBorder="1"/>
    <xf numFmtId="165" fontId="3" fillId="0" borderId="0" xfId="5" applyNumberFormat="1" applyFont="1" applyFill="1" applyBorder="1"/>
    <xf numFmtId="0" fontId="8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3" fontId="3" fillId="0" borderId="0" xfId="5" applyFont="1"/>
    <xf numFmtId="43" fontId="3" fillId="0" borderId="0" xfId="0" applyNumberFormat="1" applyFont="1"/>
    <xf numFmtId="165" fontId="3" fillId="0" borderId="0" xfId="5" applyNumberFormat="1" applyFont="1" applyFill="1"/>
    <xf numFmtId="166" fontId="3" fillId="0" borderId="0" xfId="7" applyNumberFormat="1" applyFont="1" applyFill="1"/>
    <xf numFmtId="164" fontId="7" fillId="0" borderId="0" xfId="0" applyNumberFormat="1" applyFont="1" applyAlignment="1">
      <alignment horizontal="right"/>
    </xf>
    <xf numFmtId="37" fontId="3" fillId="0" borderId="1" xfId="0" applyNumberFormat="1" applyFont="1" applyBorder="1" applyAlignment="1">
      <alignment horizontal="center"/>
    </xf>
    <xf numFmtId="3" fontId="3" fillId="0" borderId="0" xfId="5" applyNumberFormat="1" applyFont="1" applyFill="1"/>
    <xf numFmtId="3" fontId="3" fillId="0" borderId="1" xfId="5" applyNumberFormat="1" applyFont="1" applyFill="1" applyBorder="1"/>
    <xf numFmtId="165" fontId="3" fillId="0" borderId="1" xfId="5" applyNumberFormat="1" applyFont="1" applyFill="1" applyBorder="1"/>
    <xf numFmtId="44" fontId="3" fillId="0" borderId="0" xfId="6" applyFont="1"/>
    <xf numFmtId="166" fontId="3" fillId="0" borderId="0" xfId="7" applyNumberFormat="1" applyFont="1"/>
    <xf numFmtId="164" fontId="3" fillId="0" borderId="12" xfId="6" applyNumberFormat="1" applyFont="1" applyBorder="1"/>
    <xf numFmtId="165" fontId="3" fillId="0" borderId="12" xfId="5" applyNumberFormat="1" applyFont="1" applyBorder="1"/>
    <xf numFmtId="165" fontId="3" fillId="0" borderId="12" xfId="5" applyNumberFormat="1" applyFont="1" applyBorder="1" applyAlignment="1">
      <alignment horizontal="right"/>
    </xf>
    <xf numFmtId="165" fontId="3" fillId="0" borderId="0" xfId="5" applyNumberFormat="1" applyFont="1" applyBorder="1" applyAlignment="1">
      <alignment horizontal="center"/>
    </xf>
    <xf numFmtId="165" fontId="3" fillId="0" borderId="0" xfId="5" applyNumberFormat="1" applyFont="1" applyAlignment="1"/>
    <xf numFmtId="3" fontId="3" fillId="0" borderId="0" xfId="0" applyNumberFormat="1" applyFont="1"/>
    <xf numFmtId="165" fontId="3" fillId="0" borderId="8" xfId="5" applyNumberFormat="1" applyFont="1" applyBorder="1" applyAlignment="1"/>
    <xf numFmtId="165" fontId="3" fillId="0" borderId="0" xfId="5" applyNumberFormat="1" applyFont="1" applyBorder="1" applyAlignment="1"/>
    <xf numFmtId="165" fontId="8" fillId="0" borderId="0" xfId="5" applyNumberFormat="1" applyFont="1" applyBorder="1" applyAlignment="1">
      <alignment horizontal="center"/>
    </xf>
    <xf numFmtId="165" fontId="7" fillId="0" borderId="0" xfId="5" applyNumberFormat="1" applyFont="1" applyBorder="1" applyAlignment="1">
      <alignment horizontal="center"/>
    </xf>
    <xf numFmtId="43" fontId="10" fillId="0" borderId="0" xfId="5" applyFont="1" applyBorder="1" applyAlignment="1">
      <alignment horizontal="centerContinuous"/>
    </xf>
    <xf numFmtId="43" fontId="10" fillId="0" borderId="0" xfId="5" applyFont="1" applyBorder="1" applyAlignment="1">
      <alignment horizontal="center"/>
    </xf>
    <xf numFmtId="165" fontId="5" fillId="0" borderId="0" xfId="5" applyNumberFormat="1" applyFont="1" applyBorder="1" applyAlignment="1">
      <alignment horizontal="left"/>
    </xf>
    <xf numFmtId="165" fontId="8" fillId="0" borderId="0" xfId="5" applyNumberFormat="1" applyFont="1" applyBorder="1" applyAlignment="1">
      <alignment horizontal="left"/>
    </xf>
    <xf numFmtId="168" fontId="3" fillId="0" borderId="0" xfId="5" applyNumberFormat="1" applyFont="1" applyBorder="1" applyAlignment="1"/>
    <xf numFmtId="167" fontId="3" fillId="0" borderId="0" xfId="5" applyNumberFormat="1" applyFont="1" applyBorder="1" applyAlignment="1">
      <alignment horizontal="center"/>
    </xf>
    <xf numFmtId="165" fontId="3" fillId="0" borderId="1" xfId="5" applyNumberFormat="1" applyFont="1" applyBorder="1" applyAlignment="1"/>
    <xf numFmtId="167" fontId="3" fillId="0" borderId="1" xfId="5" applyNumberFormat="1" applyFont="1" applyBorder="1" applyAlignment="1">
      <alignment horizontal="center"/>
    </xf>
    <xf numFmtId="168" fontId="3" fillId="0" borderId="1" xfId="5" applyNumberFormat="1" applyFont="1" applyBorder="1" applyAlignment="1"/>
    <xf numFmtId="165" fontId="3" fillId="0" borderId="2" xfId="5" applyNumberFormat="1" applyFont="1" applyBorder="1" applyAlignment="1"/>
    <xf numFmtId="165" fontId="3" fillId="0" borderId="4" xfId="5" applyNumberFormat="1" applyFont="1" applyBorder="1" applyAlignment="1"/>
    <xf numFmtId="165" fontId="7" fillId="0" borderId="0" xfId="5" applyNumberFormat="1" applyFont="1" applyBorder="1" applyAlignment="1"/>
    <xf numFmtId="164" fontId="7" fillId="0" borderId="0" xfId="6" applyNumberFormat="1" applyFont="1" applyBorder="1" applyAlignment="1"/>
    <xf numFmtId="165" fontId="11" fillId="0" borderId="0" xfId="5" applyNumberFormat="1" applyFont="1" applyBorder="1" applyAlignment="1"/>
    <xf numFmtId="165" fontId="3" fillId="0" borderId="5" xfId="5" applyNumberFormat="1" applyFont="1" applyBorder="1"/>
    <xf numFmtId="165" fontId="3" fillId="0" borderId="6" xfId="5" applyNumberFormat="1" applyFont="1" applyBorder="1" applyAlignment="1"/>
    <xf numFmtId="10" fontId="3" fillId="0" borderId="0" xfId="5" applyNumberFormat="1" applyFont="1"/>
    <xf numFmtId="0" fontId="3" fillId="0" borderId="7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4" fontId="3" fillId="0" borderId="0" xfId="6" applyFont="1" applyBorder="1" applyAlignment="1"/>
    <xf numFmtId="44" fontId="3" fillId="0" borderId="7" xfId="0" applyNumberFormat="1" applyFont="1" applyBorder="1"/>
    <xf numFmtId="10" fontId="3" fillId="0" borderId="8" xfId="7" applyNumberFormat="1" applyFont="1" applyBorder="1" applyAlignment="1">
      <alignment horizontal="center"/>
    </xf>
    <xf numFmtId="0" fontId="16" fillId="0" borderId="0" xfId="0" applyFont="1"/>
    <xf numFmtId="44" fontId="16" fillId="0" borderId="0" xfId="0" applyNumberFormat="1" applyFont="1"/>
    <xf numFmtId="43" fontId="16" fillId="0" borderId="0" xfId="5" applyFont="1" applyAlignment="1"/>
    <xf numFmtId="165" fontId="16" fillId="0" borderId="0" xfId="5" applyNumberFormat="1" applyFont="1" applyAlignment="1"/>
    <xf numFmtId="0" fontId="6" fillId="0" borderId="0" xfId="0" applyFont="1" applyAlignment="1">
      <alignment horizontal="center"/>
    </xf>
    <xf numFmtId="166" fontId="3" fillId="0" borderId="0" xfId="7" applyNumberFormat="1" applyFont="1" applyAlignment="1"/>
    <xf numFmtId="43" fontId="3" fillId="0" borderId="0" xfId="5" applyFont="1" applyAlignment="1"/>
    <xf numFmtId="44" fontId="3" fillId="0" borderId="7" xfId="2" applyFont="1" applyBorder="1"/>
    <xf numFmtId="3" fontId="4" fillId="0" borderId="0" xfId="0" applyNumberFormat="1" applyFont="1" applyAlignment="1">
      <alignment vertical="center"/>
    </xf>
    <xf numFmtId="10" fontId="3" fillId="0" borderId="0" xfId="3" applyNumberFormat="1" applyFont="1" applyFill="1" applyBorder="1"/>
    <xf numFmtId="165" fontId="3" fillId="0" borderId="0" xfId="5" applyNumberFormat="1" applyFont="1" applyBorder="1" applyAlignment="1">
      <alignment horizontal="left"/>
    </xf>
    <xf numFmtId="169" fontId="3" fillId="0" borderId="0" xfId="5" applyNumberFormat="1" applyFont="1" applyBorder="1" applyAlignment="1">
      <alignment horizontal="center"/>
    </xf>
    <xf numFmtId="44" fontId="0" fillId="0" borderId="0" xfId="2" applyFont="1"/>
    <xf numFmtId="43" fontId="3" fillId="0" borderId="1" xfId="5" applyFont="1" applyBorder="1"/>
    <xf numFmtId="44" fontId="3" fillId="0" borderId="1" xfId="2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3" fillId="0" borderId="8" xfId="3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6" fillId="0" borderId="7" xfId="0" applyFont="1" applyBorder="1"/>
    <xf numFmtId="3" fontId="4" fillId="0" borderId="7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right"/>
    </xf>
    <xf numFmtId="43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37" fontId="3" fillId="0" borderId="0" xfId="0" applyNumberFormat="1" applyFont="1" applyAlignment="1">
      <alignment horizontal="left"/>
    </xf>
    <xf numFmtId="164" fontId="3" fillId="0" borderId="0" xfId="2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 vertical="center"/>
    </xf>
    <xf numFmtId="165" fontId="4" fillId="0" borderId="0" xfId="5" applyNumberFormat="1" applyFont="1" applyBorder="1" applyAlignment="1">
      <alignment horizontal="center"/>
    </xf>
    <xf numFmtId="165" fontId="5" fillId="0" borderId="0" xfId="5" applyNumberFormat="1" applyFont="1" applyBorder="1" applyAlignment="1">
      <alignment horizontal="center"/>
    </xf>
    <xf numFmtId="165" fontId="10" fillId="0" borderId="0" xfId="5" applyNumberFormat="1" applyFont="1" applyBorder="1" applyAlignment="1">
      <alignment horizontal="center"/>
    </xf>
    <xf numFmtId="165" fontId="10" fillId="0" borderId="7" xfId="5" applyNumberFormat="1" applyFont="1" applyBorder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wrapText="1"/>
    </xf>
    <xf numFmtId="165" fontId="3" fillId="0" borderId="0" xfId="5" applyNumberFormat="1" applyFont="1" applyAlignment="1">
      <alignment wrapText="1"/>
    </xf>
    <xf numFmtId="165" fontId="3" fillId="0" borderId="2" xfId="5" applyNumberFormat="1" applyFont="1" applyBorder="1" applyAlignment="1">
      <alignment wrapText="1"/>
    </xf>
    <xf numFmtId="165" fontId="3" fillId="0" borderId="0" xfId="5" applyNumberFormat="1" applyFont="1" applyBorder="1" applyAlignment="1">
      <alignment wrapText="1"/>
    </xf>
    <xf numFmtId="43" fontId="10" fillId="0" borderId="0" xfId="5" applyFont="1" applyBorder="1" applyAlignment="1">
      <alignment horizontal="center" wrapText="1"/>
    </xf>
    <xf numFmtId="165" fontId="8" fillId="0" borderId="0" xfId="5" applyNumberFormat="1" applyFont="1" applyBorder="1" applyAlignment="1">
      <alignment horizontal="center" wrapText="1"/>
    </xf>
    <xf numFmtId="165" fontId="3" fillId="0" borderId="0" xfId="5" applyNumberFormat="1" applyFont="1" applyBorder="1" applyAlignment="1">
      <alignment horizontal="center" wrapText="1"/>
    </xf>
    <xf numFmtId="165" fontId="3" fillId="0" borderId="1" xfId="5" applyNumberFormat="1" applyFont="1" applyBorder="1" applyAlignment="1">
      <alignment wrapText="1"/>
    </xf>
    <xf numFmtId="3" fontId="3" fillId="0" borderId="0" xfId="0" applyNumberFormat="1" applyFont="1" applyAlignment="1"/>
    <xf numFmtId="3" fontId="7" fillId="0" borderId="0" xfId="0" applyNumberFormat="1" applyFont="1" applyAlignment="1">
      <alignment wrapText="1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wrapText="1"/>
    </xf>
    <xf numFmtId="3" fontId="7" fillId="0" borderId="0" xfId="0" applyNumberFormat="1" applyFont="1"/>
    <xf numFmtId="3" fontId="7" fillId="0" borderId="1" xfId="0" applyNumberFormat="1" applyFont="1" applyBorder="1"/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showGridLines="0" topLeftCell="A30" zoomScale="110" zoomScaleNormal="110" workbookViewId="0">
      <selection activeCell="I47" sqref="I47"/>
    </sheetView>
  </sheetViews>
  <sheetFormatPr defaultColWidth="8.77734375" defaultRowHeight="14.25" x14ac:dyDescent="0.45"/>
  <cols>
    <col min="1" max="1" width="3.6640625" style="6" customWidth="1"/>
    <col min="2" max="2" width="2.6640625" style="6" customWidth="1"/>
    <col min="3" max="3" width="29.44140625" style="6" customWidth="1"/>
    <col min="4" max="4" width="11.33203125" style="6" customWidth="1"/>
    <col min="5" max="5" width="11.5546875" style="6" customWidth="1"/>
    <col min="6" max="6" width="5.33203125" style="6" customWidth="1"/>
    <col min="7" max="7" width="11.5546875" style="6" customWidth="1"/>
    <col min="8" max="8" width="3.5546875" style="6" customWidth="1"/>
    <col min="9" max="9" width="30.609375" style="6" customWidth="1"/>
    <col min="10" max="11" width="11.33203125" style="6" customWidth="1"/>
    <col min="12" max="12" width="10.88671875" style="6" customWidth="1"/>
    <col min="13" max="16384" width="8.77734375" style="6"/>
  </cols>
  <sheetData>
    <row r="1" spans="1:12" ht="18" x14ac:dyDescent="0.45">
      <c r="A1" s="220" t="s">
        <v>24</v>
      </c>
      <c r="B1" s="220"/>
      <c r="C1" s="220"/>
      <c r="D1" s="220"/>
      <c r="E1" s="220"/>
      <c r="F1" s="220"/>
      <c r="G1" s="220"/>
      <c r="H1" s="43"/>
      <c r="I1" s="43"/>
      <c r="J1" s="43"/>
      <c r="K1" s="43"/>
    </row>
    <row r="2" spans="1:12" ht="15.75" x14ac:dyDescent="0.45">
      <c r="A2" s="44" t="s">
        <v>114</v>
      </c>
      <c r="B2" s="42"/>
      <c r="C2" s="42"/>
      <c r="D2" s="42"/>
      <c r="E2" s="42"/>
      <c r="F2" s="42"/>
      <c r="G2" s="42"/>
      <c r="H2" s="43"/>
      <c r="I2" s="43"/>
      <c r="J2" s="43"/>
      <c r="K2" s="43"/>
      <c r="L2" s="43"/>
    </row>
    <row r="3" spans="1:12" x14ac:dyDescent="0.45">
      <c r="A3" s="38"/>
      <c r="B3" s="42"/>
      <c r="C3" s="42"/>
      <c r="D3" s="42"/>
      <c r="E3" s="42"/>
      <c r="F3" s="42"/>
      <c r="G3" s="42"/>
      <c r="H3" s="43"/>
      <c r="I3" s="43"/>
      <c r="J3" s="43"/>
      <c r="K3" s="43"/>
    </row>
    <row r="4" spans="1:12" ht="16.5" x14ac:dyDescent="0.45">
      <c r="A4" s="43"/>
      <c r="B4" s="43"/>
      <c r="C4" s="43"/>
      <c r="D4" s="45" t="s">
        <v>224</v>
      </c>
      <c r="E4" s="45" t="s">
        <v>25</v>
      </c>
      <c r="F4" s="45" t="s">
        <v>26</v>
      </c>
      <c r="G4" s="45" t="s">
        <v>27</v>
      </c>
      <c r="H4" s="43"/>
      <c r="I4" s="57" t="s">
        <v>131</v>
      </c>
      <c r="J4" s="43"/>
      <c r="K4" s="43"/>
    </row>
    <row r="5" spans="1:12" x14ac:dyDescent="0.45">
      <c r="A5" s="46" t="s">
        <v>13</v>
      </c>
      <c r="B5" s="43"/>
      <c r="C5" s="43"/>
      <c r="D5" s="43"/>
      <c r="F5" s="43"/>
      <c r="G5" s="43"/>
      <c r="H5" s="43"/>
      <c r="J5" s="43"/>
      <c r="K5" s="43"/>
    </row>
    <row r="6" spans="1:12" x14ac:dyDescent="0.45">
      <c r="A6" s="43"/>
      <c r="B6" s="43" t="s">
        <v>34</v>
      </c>
      <c r="C6" s="43"/>
      <c r="D6" s="43">
        <v>3262150</v>
      </c>
      <c r="E6" s="43">
        <f>ExBA!G11</f>
        <v>-158990.26077999966</v>
      </c>
      <c r="F6" s="47" t="s">
        <v>199</v>
      </c>
      <c r="G6" s="43">
        <f>D6+E6</f>
        <v>3103159.7392200003</v>
      </c>
      <c r="H6" s="48"/>
      <c r="I6" s="43" t="s">
        <v>248</v>
      </c>
      <c r="J6" s="43"/>
      <c r="K6" s="43"/>
    </row>
    <row r="7" spans="1:12" x14ac:dyDescent="0.45">
      <c r="A7" s="43"/>
      <c r="B7" s="43" t="s">
        <v>14</v>
      </c>
      <c r="C7" s="43"/>
      <c r="D7" s="43">
        <v>109767</v>
      </c>
      <c r="E7" s="43">
        <v>0</v>
      </c>
      <c r="F7" s="47"/>
      <c r="G7" s="43">
        <f>D7+E7</f>
        <v>109767</v>
      </c>
      <c r="H7" s="48"/>
      <c r="I7" s="43"/>
      <c r="J7" s="43"/>
    </row>
    <row r="8" spans="1:12" x14ac:dyDescent="0.45">
      <c r="A8" s="43"/>
      <c r="B8" s="43" t="s">
        <v>33</v>
      </c>
      <c r="D8" s="43">
        <v>89107</v>
      </c>
      <c r="E8" s="43">
        <v>0</v>
      </c>
      <c r="F8" s="47"/>
      <c r="G8" s="43">
        <f>D8+E8</f>
        <v>89107</v>
      </c>
      <c r="H8" s="48"/>
      <c r="I8" s="43"/>
      <c r="J8" s="43"/>
      <c r="K8" s="43"/>
    </row>
    <row r="9" spans="1:12" ht="16.5" x14ac:dyDescent="0.45">
      <c r="A9" s="43"/>
      <c r="B9" s="43" t="s">
        <v>233</v>
      </c>
      <c r="D9" s="65">
        <v>33943</v>
      </c>
      <c r="E9" s="65">
        <v>0</v>
      </c>
      <c r="F9" s="47"/>
      <c r="G9" s="65">
        <f>D9+E9</f>
        <v>33943</v>
      </c>
      <c r="H9" s="48"/>
      <c r="J9" s="43"/>
      <c r="K9" s="43"/>
    </row>
    <row r="10" spans="1:12" x14ac:dyDescent="0.45">
      <c r="A10" s="50" t="s">
        <v>15</v>
      </c>
      <c r="B10" s="43"/>
      <c r="C10" s="43"/>
      <c r="D10" s="43">
        <f>SUM(D6:D9)</f>
        <v>3494967</v>
      </c>
      <c r="E10" s="43">
        <f>SUM(E6:E9)</f>
        <v>-158990.26077999966</v>
      </c>
      <c r="F10" s="47"/>
      <c r="G10" s="43">
        <f>SUM(G6:G9)</f>
        <v>3335976.7392200003</v>
      </c>
      <c r="H10" s="49"/>
      <c r="J10" s="43"/>
      <c r="K10" s="43"/>
    </row>
    <row r="11" spans="1:12" x14ac:dyDescent="0.45">
      <c r="A11" s="43"/>
      <c r="B11" s="43"/>
      <c r="C11" s="43"/>
      <c r="D11" s="43"/>
      <c r="E11" s="43"/>
      <c r="F11" s="47"/>
      <c r="G11" s="43"/>
      <c r="H11" s="49"/>
      <c r="I11" s="43"/>
      <c r="J11" s="43"/>
      <c r="K11" s="43"/>
    </row>
    <row r="12" spans="1:12" x14ac:dyDescent="0.45">
      <c r="A12" s="46" t="s">
        <v>16</v>
      </c>
      <c r="B12" s="43"/>
      <c r="C12" s="43"/>
      <c r="D12" s="43"/>
      <c r="E12" s="43"/>
      <c r="F12" s="47"/>
      <c r="G12" s="43"/>
      <c r="H12" s="49"/>
      <c r="I12" s="43"/>
      <c r="J12" s="43"/>
      <c r="K12" s="43"/>
    </row>
    <row r="13" spans="1:12" x14ac:dyDescent="0.45">
      <c r="A13" s="43"/>
      <c r="B13" s="43" t="s">
        <v>28</v>
      </c>
      <c r="C13" s="43"/>
      <c r="D13" s="43"/>
      <c r="E13" s="43"/>
      <c r="F13" s="47"/>
      <c r="G13" s="43"/>
      <c r="H13" s="49"/>
      <c r="I13" s="43"/>
      <c r="J13" s="43"/>
      <c r="K13" s="43"/>
    </row>
    <row r="14" spans="1:12" x14ac:dyDescent="0.45">
      <c r="A14" s="43"/>
      <c r="B14" s="43"/>
      <c r="C14" s="43" t="s">
        <v>2</v>
      </c>
      <c r="D14" s="43">
        <v>739852</v>
      </c>
      <c r="E14" s="118">
        <v>0</v>
      </c>
      <c r="F14" s="51"/>
      <c r="G14" s="43">
        <f>SUM(D14:E14)</f>
        <v>739852</v>
      </c>
      <c r="H14" s="48"/>
      <c r="I14" s="43"/>
      <c r="J14" s="43"/>
      <c r="K14" s="43"/>
    </row>
    <row r="15" spans="1:12" x14ac:dyDescent="0.45">
      <c r="A15" s="43"/>
      <c r="B15" s="43"/>
      <c r="C15" s="43" t="s">
        <v>3</v>
      </c>
      <c r="D15" s="43">
        <v>18000</v>
      </c>
      <c r="E15" s="118">
        <v>0</v>
      </c>
      <c r="F15" s="47"/>
      <c r="G15" s="43">
        <f t="shared" ref="G15:G33" si="0">D15+E15</f>
        <v>18000</v>
      </c>
      <c r="H15" s="48"/>
    </row>
    <row r="16" spans="1:12" x14ac:dyDescent="0.45">
      <c r="A16" s="43"/>
      <c r="B16" s="43"/>
      <c r="C16" s="43" t="s">
        <v>4</v>
      </c>
      <c r="D16" s="43">
        <v>201573</v>
      </c>
      <c r="E16" s="118">
        <v>0</v>
      </c>
      <c r="F16" s="51"/>
      <c r="G16" s="43">
        <f>D16+E16</f>
        <v>201573</v>
      </c>
      <c r="H16" s="48"/>
      <c r="I16" s="43"/>
      <c r="J16" s="43"/>
      <c r="K16" s="43"/>
    </row>
    <row r="17" spans="1:11" x14ac:dyDescent="0.45">
      <c r="A17" s="43"/>
      <c r="B17" s="43"/>
      <c r="C17" s="43" t="s">
        <v>5</v>
      </c>
      <c r="D17" s="43">
        <v>401919</v>
      </c>
      <c r="E17" s="118">
        <f>-'Purchased Water'!D32</f>
        <v>-167558.64517241376</v>
      </c>
      <c r="F17" s="51" t="s">
        <v>200</v>
      </c>
      <c r="G17" s="6">
        <f>D17+E17</f>
        <v>234360.35482758624</v>
      </c>
      <c r="H17" s="52"/>
      <c r="I17" s="6" t="s">
        <v>249</v>
      </c>
    </row>
    <row r="18" spans="1:11" x14ac:dyDescent="0.45">
      <c r="A18" s="43"/>
      <c r="B18" s="43"/>
      <c r="C18" s="43" t="s">
        <v>6</v>
      </c>
      <c r="D18" s="43">
        <v>406768</v>
      </c>
      <c r="E18" s="118">
        <f>-'Purchased Water'!D33</f>
        <v>-169580.17655172411</v>
      </c>
      <c r="F18" s="51" t="s">
        <v>200</v>
      </c>
      <c r="G18" s="43">
        <f t="shared" si="0"/>
        <v>237187.82344827589</v>
      </c>
      <c r="H18" s="53"/>
      <c r="I18" s="6" t="s">
        <v>250</v>
      </c>
      <c r="J18" s="43"/>
      <c r="K18" s="43"/>
    </row>
    <row r="19" spans="1:11" x14ac:dyDescent="0.45">
      <c r="A19" s="43"/>
      <c r="B19" s="43"/>
      <c r="C19" s="43" t="s">
        <v>215</v>
      </c>
      <c r="D19" s="43">
        <v>263427</v>
      </c>
      <c r="E19" s="118">
        <f>-'Purchased Water'!D34</f>
        <v>-109821.80793103446</v>
      </c>
      <c r="F19" s="51" t="s">
        <v>200</v>
      </c>
      <c r="G19" s="43">
        <f t="shared" si="0"/>
        <v>153605.19206896552</v>
      </c>
      <c r="H19" s="53"/>
      <c r="I19" s="6" t="s">
        <v>251</v>
      </c>
      <c r="J19" s="43"/>
      <c r="K19" s="43"/>
    </row>
    <row r="20" spans="1:11" x14ac:dyDescent="0.45">
      <c r="A20" s="43"/>
      <c r="B20" s="43"/>
      <c r="C20" s="43" t="s">
        <v>7</v>
      </c>
      <c r="D20" s="43">
        <v>274202</v>
      </c>
      <c r="E20" s="43">
        <v>0</v>
      </c>
      <c r="F20" s="51"/>
      <c r="G20" s="43">
        <f t="shared" si="0"/>
        <v>274202</v>
      </c>
      <c r="H20" s="48"/>
      <c r="I20" s="43"/>
      <c r="J20" s="43"/>
      <c r="K20" s="43"/>
    </row>
    <row r="21" spans="1:11" x14ac:dyDescent="0.45">
      <c r="A21" s="43"/>
      <c r="B21" s="43"/>
      <c r="C21" s="43" t="s">
        <v>225</v>
      </c>
      <c r="D21" s="43">
        <v>33317</v>
      </c>
      <c r="E21" s="43">
        <v>0</v>
      </c>
      <c r="F21" s="51"/>
      <c r="G21" s="43">
        <f t="shared" si="0"/>
        <v>33317</v>
      </c>
      <c r="H21" s="48"/>
      <c r="I21" s="43"/>
      <c r="J21" s="43"/>
      <c r="K21" s="43"/>
    </row>
    <row r="22" spans="1:11" x14ac:dyDescent="0.45">
      <c r="A22" s="43"/>
      <c r="B22" s="43"/>
      <c r="C22" s="43" t="s">
        <v>226</v>
      </c>
      <c r="D22" s="43">
        <v>23059</v>
      </c>
      <c r="E22" s="43">
        <v>0</v>
      </c>
      <c r="F22" s="51"/>
      <c r="G22" s="43">
        <f t="shared" si="0"/>
        <v>23059</v>
      </c>
      <c r="H22" s="48"/>
      <c r="I22" s="43"/>
      <c r="J22" s="43"/>
      <c r="K22" s="43"/>
    </row>
    <row r="23" spans="1:11" x14ac:dyDescent="0.45">
      <c r="A23" s="43"/>
      <c r="B23" s="43"/>
      <c r="C23" s="43" t="s">
        <v>227</v>
      </c>
      <c r="D23" s="43">
        <v>229148</v>
      </c>
      <c r="E23" s="43">
        <v>0</v>
      </c>
      <c r="F23" s="51"/>
      <c r="G23" s="43">
        <f t="shared" si="0"/>
        <v>229148</v>
      </c>
      <c r="H23" s="48"/>
      <c r="I23" s="43"/>
      <c r="J23" s="43"/>
      <c r="K23" s="43"/>
    </row>
    <row r="24" spans="1:11" x14ac:dyDescent="0.45">
      <c r="A24" s="43"/>
      <c r="B24" s="43"/>
      <c r="C24" s="43" t="s">
        <v>228</v>
      </c>
      <c r="D24" s="43">
        <v>9865</v>
      </c>
      <c r="E24" s="43">
        <v>0</v>
      </c>
      <c r="F24" s="51"/>
      <c r="G24" s="43">
        <f t="shared" si="0"/>
        <v>9865</v>
      </c>
      <c r="H24" s="48"/>
      <c r="I24" s="43"/>
      <c r="J24" s="43"/>
      <c r="K24" s="43"/>
    </row>
    <row r="25" spans="1:11" x14ac:dyDescent="0.45">
      <c r="A25" s="43"/>
      <c r="B25" s="43"/>
      <c r="C25" s="43" t="s">
        <v>229</v>
      </c>
      <c r="D25" s="43">
        <v>98105</v>
      </c>
      <c r="E25" s="43">
        <v>0</v>
      </c>
      <c r="F25" s="51"/>
      <c r="G25" s="43">
        <f t="shared" si="0"/>
        <v>98105</v>
      </c>
      <c r="H25" s="48"/>
      <c r="I25" s="43"/>
      <c r="J25" s="43"/>
      <c r="K25" s="43"/>
    </row>
    <row r="26" spans="1:11" x14ac:dyDescent="0.45">
      <c r="A26" s="43"/>
      <c r="B26" s="43"/>
      <c r="C26" s="43" t="s">
        <v>230</v>
      </c>
      <c r="D26" s="43">
        <v>8428</v>
      </c>
      <c r="E26" s="43">
        <v>0</v>
      </c>
      <c r="F26" s="51"/>
      <c r="G26" s="43">
        <f t="shared" si="0"/>
        <v>8428</v>
      </c>
      <c r="H26" s="48"/>
      <c r="I26" s="43"/>
      <c r="J26" s="43"/>
      <c r="K26" s="43"/>
    </row>
    <row r="27" spans="1:11" x14ac:dyDescent="0.45">
      <c r="A27" s="43"/>
      <c r="B27" s="43"/>
      <c r="C27" s="43" t="s">
        <v>9</v>
      </c>
      <c r="D27" s="43">
        <v>106424</v>
      </c>
      <c r="E27" s="43">
        <v>0</v>
      </c>
      <c r="F27" s="51"/>
      <c r="G27" s="43">
        <f t="shared" si="0"/>
        <v>106424</v>
      </c>
      <c r="H27" s="49"/>
      <c r="I27" s="43"/>
      <c r="J27" s="43"/>
      <c r="K27" s="43"/>
    </row>
    <row r="28" spans="1:11" x14ac:dyDescent="0.45">
      <c r="A28" s="43"/>
      <c r="B28" s="43"/>
      <c r="C28" s="43" t="s">
        <v>231</v>
      </c>
      <c r="D28" s="43">
        <v>74535</v>
      </c>
      <c r="E28" s="43">
        <v>0</v>
      </c>
      <c r="F28" s="51"/>
      <c r="G28" s="43">
        <f t="shared" si="0"/>
        <v>74535</v>
      </c>
      <c r="H28" s="49"/>
      <c r="I28" s="43"/>
      <c r="J28" s="43"/>
      <c r="K28" s="43"/>
    </row>
    <row r="29" spans="1:11" x14ac:dyDescent="0.45">
      <c r="A29" s="43"/>
      <c r="B29" s="43"/>
      <c r="C29" s="43" t="s">
        <v>232</v>
      </c>
      <c r="D29" s="43">
        <v>24916</v>
      </c>
      <c r="E29" s="43">
        <v>0</v>
      </c>
      <c r="F29" s="51"/>
      <c r="G29" s="43">
        <f t="shared" si="0"/>
        <v>24916</v>
      </c>
      <c r="H29" s="49"/>
      <c r="I29" s="43"/>
      <c r="J29" s="43"/>
      <c r="K29" s="43"/>
    </row>
    <row r="30" spans="1:11" x14ac:dyDescent="0.45">
      <c r="A30" s="43"/>
      <c r="B30" s="43"/>
      <c r="C30" s="43" t="s">
        <v>42</v>
      </c>
      <c r="D30" s="43">
        <v>891</v>
      </c>
      <c r="E30" s="43">
        <v>0</v>
      </c>
      <c r="F30" s="51"/>
      <c r="G30" s="43">
        <f t="shared" si="0"/>
        <v>891</v>
      </c>
      <c r="H30" s="49"/>
      <c r="I30" s="43"/>
      <c r="J30" s="43"/>
      <c r="K30" s="43"/>
    </row>
    <row r="31" spans="1:11" x14ac:dyDescent="0.45">
      <c r="A31" s="43"/>
      <c r="B31" s="43"/>
      <c r="C31" s="43" t="s">
        <v>100</v>
      </c>
      <c r="D31" s="43">
        <v>5645</v>
      </c>
      <c r="E31" s="43">
        <v>0</v>
      </c>
      <c r="F31" s="51"/>
      <c r="G31" s="43">
        <f>SUM(D31:E31)</f>
        <v>5645</v>
      </c>
      <c r="H31" s="49"/>
      <c r="I31" s="43"/>
      <c r="J31" s="43"/>
      <c r="K31" s="43"/>
    </row>
    <row r="32" spans="1:11" x14ac:dyDescent="0.45">
      <c r="A32" s="43"/>
      <c r="B32" s="43"/>
      <c r="C32" s="43" t="s">
        <v>43</v>
      </c>
      <c r="D32" s="43">
        <v>1142457</v>
      </c>
      <c r="E32" s="43">
        <v>-989985</v>
      </c>
      <c r="F32" s="47" t="s">
        <v>236</v>
      </c>
      <c r="G32" s="43">
        <f t="shared" si="0"/>
        <v>152472</v>
      </c>
      <c r="H32" s="49"/>
      <c r="I32" s="43" t="s">
        <v>252</v>
      </c>
      <c r="J32" s="43"/>
      <c r="K32" s="43"/>
    </row>
    <row r="33" spans="1:11" ht="16.5" x14ac:dyDescent="0.45">
      <c r="A33" s="43"/>
      <c r="B33" s="43"/>
      <c r="C33" s="43" t="s">
        <v>8</v>
      </c>
      <c r="D33" s="63">
        <v>25595</v>
      </c>
      <c r="E33" s="63">
        <v>0</v>
      </c>
      <c r="F33" s="51"/>
      <c r="G33" s="63">
        <f t="shared" si="0"/>
        <v>25595</v>
      </c>
      <c r="H33" s="49"/>
      <c r="I33" s="43"/>
      <c r="J33" s="43"/>
      <c r="K33" s="43"/>
    </row>
    <row r="34" spans="1:11" x14ac:dyDescent="0.45">
      <c r="A34" s="43"/>
      <c r="B34" s="43" t="s">
        <v>29</v>
      </c>
      <c r="C34" s="43"/>
      <c r="D34" s="43">
        <f>SUM(D14:D33)</f>
        <v>4088126</v>
      </c>
      <c r="E34" s="43">
        <f>SUM(E14:E33)</f>
        <v>-1436945.6296551723</v>
      </c>
      <c r="F34" s="47"/>
      <c r="G34" s="43">
        <f>SUM(G14:G33)</f>
        <v>2651180.3703448279</v>
      </c>
      <c r="H34" s="49"/>
      <c r="I34" s="43"/>
      <c r="J34" s="43"/>
      <c r="K34" s="43"/>
    </row>
    <row r="35" spans="1:11" ht="4.1500000000000004" customHeight="1" x14ac:dyDescent="0.45">
      <c r="A35" s="43"/>
      <c r="B35" s="43"/>
      <c r="C35" s="43"/>
      <c r="D35" s="43"/>
      <c r="E35" s="43"/>
      <c r="F35" s="47"/>
      <c r="G35" s="43"/>
      <c r="H35" s="49"/>
      <c r="I35" s="43"/>
      <c r="J35" s="43"/>
      <c r="K35" s="43"/>
    </row>
    <row r="36" spans="1:11" x14ac:dyDescent="0.45">
      <c r="A36" s="43"/>
      <c r="B36" s="43" t="s">
        <v>17</v>
      </c>
      <c r="C36" s="43"/>
      <c r="D36" s="43">
        <v>864145</v>
      </c>
      <c r="E36" s="43">
        <f>Depreciation!L101</f>
        <v>-45487.059004689741</v>
      </c>
      <c r="F36" s="47" t="s">
        <v>201</v>
      </c>
      <c r="G36" s="43">
        <f>D36+E36</f>
        <v>818657.9409953102</v>
      </c>
      <c r="H36" s="49"/>
      <c r="I36" s="43" t="s">
        <v>253</v>
      </c>
      <c r="J36" s="43"/>
    </row>
    <row r="37" spans="1:11" x14ac:dyDescent="0.45">
      <c r="A37" s="43"/>
      <c r="B37" s="43" t="s">
        <v>113</v>
      </c>
      <c r="C37" s="43"/>
      <c r="D37" s="43">
        <v>2460</v>
      </c>
      <c r="E37" s="43">
        <v>0</v>
      </c>
      <c r="F37" s="47"/>
      <c r="G37" s="43">
        <f>SUM(D37:E37)</f>
        <v>2460</v>
      </c>
      <c r="H37" s="49"/>
      <c r="I37" s="43"/>
      <c r="J37" s="43"/>
    </row>
    <row r="38" spans="1:11" ht="16.5" x14ac:dyDescent="0.45">
      <c r="A38" s="43"/>
      <c r="B38" s="43" t="s">
        <v>1</v>
      </c>
      <c r="C38" s="43"/>
      <c r="D38" s="63">
        <v>60354</v>
      </c>
      <c r="E38" s="63">
        <v>0</v>
      </c>
      <c r="F38" s="64"/>
      <c r="G38" s="63">
        <f>D38+E38</f>
        <v>60354</v>
      </c>
      <c r="H38" s="49"/>
      <c r="I38" s="43"/>
      <c r="J38" s="43"/>
    </row>
    <row r="39" spans="1:11" ht="16.5" x14ac:dyDescent="0.45">
      <c r="A39" s="50" t="s">
        <v>0</v>
      </c>
      <c r="B39" s="43"/>
      <c r="C39" s="43"/>
      <c r="D39" s="63">
        <f>SUM(D34:D38)</f>
        <v>5015085</v>
      </c>
      <c r="E39" s="63">
        <f>SUM(E34:E38)</f>
        <v>-1482432.6886598621</v>
      </c>
      <c r="F39" s="64"/>
      <c r="G39" s="63">
        <f>SUM(G34:G38)</f>
        <v>3532652.3113401383</v>
      </c>
      <c r="H39" s="49"/>
      <c r="I39" s="43"/>
      <c r="J39" s="43"/>
      <c r="K39" s="43"/>
    </row>
    <row r="40" spans="1:11" ht="4.1500000000000004" customHeight="1" x14ac:dyDescent="0.45">
      <c r="A40" s="50"/>
      <c r="B40" s="43"/>
      <c r="C40" s="43"/>
      <c r="D40" s="65"/>
      <c r="E40" s="43"/>
      <c r="F40" s="47"/>
      <c r="G40" s="43"/>
      <c r="H40" s="43"/>
      <c r="I40" s="43"/>
      <c r="J40" s="43"/>
      <c r="K40" s="43"/>
    </row>
    <row r="41" spans="1:11" x14ac:dyDescent="0.45">
      <c r="A41" s="50" t="s">
        <v>30</v>
      </c>
      <c r="B41" s="43"/>
      <c r="C41" s="43"/>
      <c r="D41" s="43">
        <f>D10-D39</f>
        <v>-1520118</v>
      </c>
      <c r="E41" s="43">
        <f>E10-E39</f>
        <v>1323442.4278798625</v>
      </c>
      <c r="F41" s="47"/>
      <c r="G41" s="43">
        <f>G10-G39</f>
        <v>-196675.57212013798</v>
      </c>
      <c r="H41" s="43"/>
      <c r="I41" s="43"/>
      <c r="K41" s="43"/>
    </row>
    <row r="42" spans="1:11" x14ac:dyDescent="0.45">
      <c r="A42" s="43"/>
      <c r="B42" s="43"/>
      <c r="C42" s="43"/>
      <c r="D42" s="43"/>
      <c r="E42" s="43"/>
      <c r="F42" s="47"/>
      <c r="G42" s="43"/>
      <c r="H42" s="43"/>
      <c r="I42" s="43"/>
      <c r="J42" s="43"/>
      <c r="K42" s="43"/>
    </row>
    <row r="43" spans="1:11" ht="18" x14ac:dyDescent="0.45">
      <c r="A43" s="220" t="s">
        <v>18</v>
      </c>
      <c r="B43" s="220"/>
      <c r="C43" s="220"/>
      <c r="D43" s="220"/>
      <c r="E43" s="220"/>
      <c r="F43" s="220"/>
      <c r="G43" s="220"/>
      <c r="H43" s="43"/>
      <c r="I43" s="54"/>
      <c r="J43" s="55"/>
      <c r="K43" s="43"/>
    </row>
    <row r="44" spans="1:11" x14ac:dyDescent="0.45">
      <c r="A44" s="50" t="s">
        <v>31</v>
      </c>
      <c r="B44" s="43"/>
      <c r="C44" s="43"/>
      <c r="D44" s="56"/>
      <c r="E44" s="43"/>
      <c r="F44" s="51"/>
      <c r="G44" s="6">
        <f>G39</f>
        <v>3532652.3113401383</v>
      </c>
      <c r="H44" s="43"/>
      <c r="J44" s="43"/>
      <c r="K44" s="43"/>
    </row>
    <row r="45" spans="1:11" x14ac:dyDescent="0.45">
      <c r="A45" s="43" t="s">
        <v>19</v>
      </c>
      <c r="B45" s="43"/>
      <c r="C45" s="43" t="s">
        <v>57</v>
      </c>
      <c r="D45" s="56"/>
      <c r="E45" s="43"/>
      <c r="F45" s="51"/>
      <c r="G45" s="6">
        <f>'Debt Service'!M23</f>
        <v>261384.37719999999</v>
      </c>
      <c r="H45" s="43"/>
      <c r="I45" s="6" t="s">
        <v>254</v>
      </c>
      <c r="J45" s="43"/>
      <c r="K45" s="43"/>
    </row>
    <row r="46" spans="1:11" ht="16.5" x14ac:dyDescent="0.75">
      <c r="A46" s="43"/>
      <c r="B46" s="43"/>
      <c r="C46" s="43" t="s">
        <v>58</v>
      </c>
      <c r="D46" s="56"/>
      <c r="E46" s="43"/>
      <c r="F46" s="51"/>
      <c r="G46" s="24">
        <f>'Debt Service'!M25</f>
        <v>52276.875440000003</v>
      </c>
      <c r="H46" s="43"/>
      <c r="I46" s="6" t="s">
        <v>255</v>
      </c>
      <c r="J46" s="43"/>
      <c r="K46" s="43"/>
    </row>
    <row r="47" spans="1:11" x14ac:dyDescent="0.45">
      <c r="A47" s="50" t="s">
        <v>46</v>
      </c>
      <c r="B47" s="43"/>
      <c r="C47" s="43"/>
      <c r="D47" s="56"/>
      <c r="E47" s="43"/>
      <c r="F47" s="51"/>
      <c r="G47" s="6">
        <f>G44+G45+G46</f>
        <v>3846313.5639801384</v>
      </c>
      <c r="H47" s="43"/>
      <c r="J47" s="43"/>
      <c r="K47" s="43"/>
    </row>
    <row r="48" spans="1:11" x14ac:dyDescent="0.45">
      <c r="A48" s="43" t="s">
        <v>20</v>
      </c>
      <c r="B48" s="43"/>
      <c r="C48" s="43" t="s">
        <v>33</v>
      </c>
      <c r="D48" s="56"/>
      <c r="E48" s="43"/>
      <c r="F48" s="51"/>
      <c r="G48" s="6">
        <f>G8</f>
        <v>89107</v>
      </c>
      <c r="H48" s="43"/>
      <c r="J48" s="43"/>
      <c r="K48" s="43"/>
    </row>
    <row r="49" spans="1:11" x14ac:dyDescent="0.45">
      <c r="A49" s="43"/>
      <c r="B49" s="43"/>
      <c r="C49" s="43" t="s">
        <v>233</v>
      </c>
      <c r="D49" s="56"/>
      <c r="E49" s="43"/>
      <c r="F49" s="51"/>
      <c r="G49" s="6">
        <f>G9</f>
        <v>33943</v>
      </c>
      <c r="H49" s="43"/>
      <c r="J49" s="43"/>
      <c r="K49" s="43"/>
    </row>
    <row r="50" spans="1:11" x14ac:dyDescent="0.45">
      <c r="A50" s="43"/>
      <c r="B50" s="43"/>
      <c r="C50" s="43" t="s">
        <v>11</v>
      </c>
      <c r="D50" s="56"/>
      <c r="E50" s="43"/>
      <c r="F50" s="51"/>
      <c r="G50" s="6">
        <v>6540</v>
      </c>
      <c r="H50" s="43"/>
      <c r="I50" s="27"/>
      <c r="J50" s="43"/>
      <c r="K50" s="43"/>
    </row>
    <row r="51" spans="1:11" x14ac:dyDescent="0.45">
      <c r="A51" s="43"/>
      <c r="B51" s="43"/>
      <c r="C51" s="43" t="s">
        <v>234</v>
      </c>
      <c r="D51" s="56"/>
      <c r="E51" s="43"/>
      <c r="F51" s="51"/>
      <c r="G51" s="27">
        <v>14373</v>
      </c>
      <c r="H51" s="43"/>
      <c r="I51" s="27"/>
      <c r="J51" s="43"/>
      <c r="K51" s="43"/>
    </row>
    <row r="52" spans="1:11" x14ac:dyDescent="0.45">
      <c r="A52" s="50" t="s">
        <v>44</v>
      </c>
      <c r="B52" s="43"/>
      <c r="C52" s="43"/>
      <c r="D52" s="56"/>
      <c r="E52" s="43"/>
      <c r="F52" s="51"/>
      <c r="G52" s="6">
        <f>G47-G48-G49-G50-G51</f>
        <v>3702350.5639801384</v>
      </c>
      <c r="H52" s="43"/>
      <c r="J52" s="43"/>
      <c r="K52" s="43"/>
    </row>
    <row r="53" spans="1:11" ht="16.5" x14ac:dyDescent="0.75">
      <c r="A53" s="43" t="s">
        <v>20</v>
      </c>
      <c r="B53" s="43"/>
      <c r="C53" s="43" t="s">
        <v>45</v>
      </c>
      <c r="D53" s="56"/>
      <c r="E53" s="43"/>
      <c r="F53" s="51"/>
      <c r="G53" s="24">
        <f>G6+G7</f>
        <v>3212926.7392200003</v>
      </c>
      <c r="H53" s="43"/>
      <c r="I53" s="27"/>
      <c r="J53" s="43"/>
      <c r="K53" s="43"/>
    </row>
    <row r="54" spans="1:11" x14ac:dyDescent="0.45">
      <c r="A54" s="50" t="s">
        <v>47</v>
      </c>
      <c r="B54" s="43"/>
      <c r="C54" s="43"/>
      <c r="D54" s="56"/>
      <c r="E54" s="43"/>
      <c r="F54" s="51"/>
      <c r="G54" s="43">
        <f>G52-G53</f>
        <v>489423.82476013806</v>
      </c>
      <c r="H54" s="43"/>
      <c r="I54" s="43"/>
      <c r="J54" s="43"/>
      <c r="K54" s="43"/>
    </row>
    <row r="55" spans="1:11" x14ac:dyDescent="0.45">
      <c r="A55" s="50" t="s">
        <v>48</v>
      </c>
      <c r="B55" s="43"/>
      <c r="C55" s="43"/>
      <c r="D55" s="56"/>
      <c r="E55" s="43"/>
      <c r="F55" s="51"/>
      <c r="G55" s="58">
        <f>IF(G54&lt;0,0,G54/G53)</f>
        <v>0.15232959369591947</v>
      </c>
      <c r="H55" s="43"/>
      <c r="I55" s="43"/>
      <c r="J55" s="43"/>
      <c r="K55" s="43"/>
    </row>
    <row r="58" spans="1:11" x14ac:dyDescent="0.45">
      <c r="A58" s="50"/>
      <c r="B58" s="43"/>
      <c r="C58" s="43"/>
      <c r="D58" s="56"/>
      <c r="E58" s="43"/>
      <c r="F58" s="51"/>
      <c r="G58" s="43"/>
    </row>
    <row r="59" spans="1:11" x14ac:dyDescent="0.45">
      <c r="A59" s="43"/>
      <c r="B59" s="43"/>
      <c r="C59" s="43"/>
      <c r="D59" s="56"/>
      <c r="E59" s="43"/>
      <c r="F59" s="51"/>
      <c r="G59" s="43"/>
    </row>
    <row r="60" spans="1:11" x14ac:dyDescent="0.45">
      <c r="A60" s="50"/>
      <c r="B60" s="43"/>
      <c r="C60" s="43"/>
      <c r="D60" s="56"/>
      <c r="E60" s="43"/>
      <c r="F60" s="51"/>
      <c r="G60" s="43"/>
    </row>
  </sheetData>
  <mergeCells count="2">
    <mergeCell ref="A43:G43"/>
    <mergeCell ref="A1:G1"/>
  </mergeCells>
  <printOptions horizontalCentered="1"/>
  <pageMargins left="0.45" right="0.25" top="0.5" bottom="0.5" header="0.3" footer="0.3"/>
  <pageSetup scale="93" orientation="portrait" horizontalDpi="4294967293" r:id="rId1"/>
  <rowBreaks count="2" manualBreakCount="2">
    <brk id="41" max="16383" man="1"/>
    <brk id="42" max="16383" man="1"/>
  </rowBreaks>
  <ignoredErrors>
    <ignoredError sqref="G31 G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75B94-50D6-4061-90BD-D75F1B60547A}">
  <sheetPr>
    <pageSetUpPr fitToPage="1"/>
  </sheetPr>
  <dimension ref="A1:IH116"/>
  <sheetViews>
    <sheetView showGridLines="0" tabSelected="1" topLeftCell="A99" workbookViewId="0">
      <selection activeCell="D118" sqref="D118"/>
    </sheetView>
  </sheetViews>
  <sheetFormatPr defaultColWidth="8.88671875" defaultRowHeight="14.25" x14ac:dyDescent="0.45"/>
  <cols>
    <col min="1" max="1" width="1.88671875" style="157" customWidth="1"/>
    <col min="2" max="2" width="1.77734375" style="157" customWidth="1"/>
    <col min="3" max="3" width="1.6640625" style="157" customWidth="1"/>
    <col min="4" max="4" width="9.609375" style="241" customWidth="1"/>
    <col min="5" max="5" width="25" style="157" customWidth="1"/>
    <col min="6" max="6" width="10.609375" style="157" customWidth="1"/>
    <col min="7" max="7" width="10.21875" style="157" customWidth="1"/>
    <col min="8" max="8" width="5.33203125" style="157" customWidth="1"/>
    <col min="9" max="9" width="8.21875" style="157" customWidth="1"/>
    <col min="10" max="10" width="5.33203125" style="157" customWidth="1"/>
    <col min="11" max="11" width="8.21875" style="157" customWidth="1"/>
    <col min="12" max="12" width="10.44140625" style="157" customWidth="1"/>
    <col min="13" max="13" width="1.77734375" style="157" customWidth="1"/>
    <col min="14" max="14" width="2.33203125" style="157" customWidth="1"/>
    <col min="15" max="242" width="9.6640625" style="157" customWidth="1"/>
    <col min="243" max="16384" width="8.88671875" style="1"/>
  </cols>
  <sheetData>
    <row r="1" spans="1:14" x14ac:dyDescent="0.45">
      <c r="A1" s="16"/>
      <c r="B1" s="16"/>
      <c r="C1" s="156"/>
      <c r="D1" s="24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45">
      <c r="A2" s="16"/>
      <c r="B2" s="66"/>
      <c r="C2" s="67"/>
      <c r="D2" s="243"/>
      <c r="E2" s="67"/>
      <c r="F2" s="67"/>
      <c r="G2" s="67"/>
      <c r="H2" s="67"/>
      <c r="I2" s="67"/>
      <c r="J2" s="67"/>
      <c r="K2" s="67"/>
      <c r="L2" s="67"/>
      <c r="M2" s="68"/>
      <c r="N2" s="22"/>
    </row>
    <row r="3" spans="1:14" ht="18" x14ac:dyDescent="0.55000000000000004">
      <c r="A3" s="16"/>
      <c r="B3" s="18"/>
      <c r="C3" s="221" t="s">
        <v>23</v>
      </c>
      <c r="D3" s="221"/>
      <c r="E3" s="221"/>
      <c r="F3" s="221"/>
      <c r="G3" s="221"/>
      <c r="H3" s="221"/>
      <c r="I3" s="221"/>
      <c r="J3" s="221"/>
      <c r="K3" s="221"/>
      <c r="L3" s="221"/>
      <c r="M3" s="158"/>
      <c r="N3" s="22"/>
    </row>
    <row r="4" spans="1:14" ht="18" x14ac:dyDescent="0.55000000000000004">
      <c r="A4" s="16"/>
      <c r="B4" s="18"/>
      <c r="C4" s="222" t="s">
        <v>123</v>
      </c>
      <c r="D4" s="222"/>
      <c r="E4" s="222"/>
      <c r="F4" s="222"/>
      <c r="G4" s="222"/>
      <c r="H4" s="222"/>
      <c r="I4" s="222"/>
      <c r="J4" s="222"/>
      <c r="K4" s="222"/>
      <c r="L4" s="222"/>
      <c r="M4" s="158"/>
      <c r="N4" s="22"/>
    </row>
    <row r="5" spans="1:14" x14ac:dyDescent="0.45">
      <c r="A5" s="16"/>
      <c r="B5" s="18"/>
      <c r="C5" s="159"/>
      <c r="D5" s="244"/>
      <c r="E5" s="159"/>
      <c r="F5" s="159"/>
      <c r="G5" s="159"/>
      <c r="H5" s="159"/>
      <c r="I5" s="159"/>
      <c r="J5" s="159"/>
      <c r="K5" s="159"/>
      <c r="L5" s="160" t="s">
        <v>124</v>
      </c>
      <c r="M5" s="158"/>
      <c r="N5" s="22"/>
    </row>
    <row r="6" spans="1:14" ht="16.5" x14ac:dyDescent="0.75">
      <c r="A6" s="16"/>
      <c r="B6" s="18"/>
      <c r="C6" s="161"/>
      <c r="D6" s="223" t="s">
        <v>125</v>
      </c>
      <c r="E6" s="223"/>
      <c r="F6" s="161" t="s">
        <v>126</v>
      </c>
      <c r="G6" s="161" t="s">
        <v>127</v>
      </c>
      <c r="H6" s="162" t="s">
        <v>128</v>
      </c>
      <c r="I6" s="162"/>
      <c r="J6" s="162" t="s">
        <v>27</v>
      </c>
      <c r="K6" s="162"/>
      <c r="L6" s="160" t="s">
        <v>129</v>
      </c>
      <c r="M6" s="158"/>
      <c r="N6" s="22"/>
    </row>
    <row r="7" spans="1:14" ht="16.5" x14ac:dyDescent="0.75">
      <c r="A7" s="16"/>
      <c r="B7" s="18"/>
      <c r="C7" s="160"/>
      <c r="D7" s="245" t="s">
        <v>130</v>
      </c>
      <c r="E7" s="163" t="s">
        <v>131</v>
      </c>
      <c r="F7" s="163" t="s">
        <v>132</v>
      </c>
      <c r="G7" s="163" t="s">
        <v>133</v>
      </c>
      <c r="H7" s="163" t="s">
        <v>134</v>
      </c>
      <c r="I7" s="163" t="s">
        <v>135</v>
      </c>
      <c r="J7" s="163" t="s">
        <v>134</v>
      </c>
      <c r="K7" s="163" t="s">
        <v>135</v>
      </c>
      <c r="L7" s="163" t="s">
        <v>32</v>
      </c>
      <c r="M7" s="158"/>
      <c r="N7" s="22"/>
    </row>
    <row r="8" spans="1:14" x14ac:dyDescent="0.45">
      <c r="A8" s="16"/>
      <c r="B8" s="18"/>
      <c r="C8" s="160"/>
      <c r="D8" s="246"/>
      <c r="E8" s="160"/>
      <c r="F8" s="160"/>
      <c r="G8" s="160"/>
      <c r="H8" s="160"/>
      <c r="I8" s="160"/>
      <c r="J8" s="160"/>
      <c r="K8" s="160"/>
      <c r="L8" s="160"/>
      <c r="M8" s="158"/>
      <c r="N8" s="22"/>
    </row>
    <row r="9" spans="1:14" ht="18" x14ac:dyDescent="0.55000000000000004">
      <c r="A9" s="16"/>
      <c r="B9" s="18"/>
      <c r="C9" s="164" t="s">
        <v>136</v>
      </c>
      <c r="D9" s="246"/>
      <c r="E9" s="160"/>
      <c r="F9" s="160"/>
      <c r="G9" s="160"/>
      <c r="H9" s="160"/>
      <c r="I9" s="160"/>
      <c r="J9" s="160"/>
      <c r="K9" s="160"/>
      <c r="L9" s="160"/>
      <c r="M9" s="158"/>
      <c r="N9" s="22"/>
    </row>
    <row r="10" spans="1:14" x14ac:dyDescent="0.45">
      <c r="A10" s="16"/>
      <c r="B10" s="18"/>
      <c r="C10" s="165" t="s">
        <v>239</v>
      </c>
      <c r="D10" s="246"/>
      <c r="E10" s="160"/>
      <c r="F10" s="160"/>
      <c r="G10" s="160"/>
      <c r="H10" s="160"/>
      <c r="I10" s="160"/>
      <c r="J10" s="160"/>
      <c r="K10" s="160"/>
      <c r="L10" s="160"/>
      <c r="M10" s="158"/>
      <c r="N10" s="22"/>
    </row>
    <row r="11" spans="1:14" ht="18" x14ac:dyDescent="0.55000000000000004">
      <c r="A11" s="16"/>
      <c r="B11" s="18"/>
      <c r="C11" s="164"/>
      <c r="D11" s="247">
        <v>424</v>
      </c>
      <c r="E11" s="199" t="s">
        <v>240</v>
      </c>
      <c r="F11" s="200">
        <v>45036</v>
      </c>
      <c r="G11" s="155">
        <v>701.04</v>
      </c>
      <c r="H11" s="155">
        <v>5</v>
      </c>
      <c r="I11" s="155">
        <v>98</v>
      </c>
      <c r="J11" s="155">
        <v>0</v>
      </c>
      <c r="K11" s="155">
        <v>0</v>
      </c>
      <c r="L11" s="159">
        <f t="shared" ref="L11" si="0">K11-I11</f>
        <v>-98</v>
      </c>
      <c r="M11" s="158"/>
      <c r="N11" s="22"/>
    </row>
    <row r="12" spans="1:14" x14ac:dyDescent="0.45">
      <c r="A12" s="16"/>
      <c r="B12" s="18"/>
      <c r="C12" s="160"/>
      <c r="D12" s="246"/>
      <c r="E12" s="160"/>
      <c r="F12" s="160"/>
      <c r="G12" s="160"/>
      <c r="H12" s="160"/>
      <c r="I12" s="160"/>
      <c r="J12" s="160"/>
      <c r="K12" s="160"/>
      <c r="L12" s="160"/>
      <c r="M12" s="158"/>
      <c r="N12" s="22"/>
    </row>
    <row r="13" spans="1:14" x14ac:dyDescent="0.45">
      <c r="A13" s="16"/>
      <c r="B13" s="18"/>
      <c r="C13" s="165" t="s">
        <v>137</v>
      </c>
      <c r="D13" s="244"/>
      <c r="E13" s="159"/>
      <c r="F13" s="167"/>
      <c r="G13" s="159"/>
      <c r="H13" s="159"/>
      <c r="I13" s="159"/>
      <c r="J13" s="166"/>
      <c r="K13" s="159"/>
      <c r="L13" s="159"/>
      <c r="M13" s="158"/>
      <c r="N13" s="156"/>
    </row>
    <row r="14" spans="1:14" x14ac:dyDescent="0.45">
      <c r="A14" s="16"/>
      <c r="B14" s="18"/>
      <c r="C14" s="159"/>
      <c r="D14" s="244">
        <v>128</v>
      </c>
      <c r="E14" s="159" t="s">
        <v>138</v>
      </c>
      <c r="F14" s="167">
        <v>34608</v>
      </c>
      <c r="G14" s="159">
        <f>2893361</f>
        <v>2893361</v>
      </c>
      <c r="H14" s="159">
        <v>45</v>
      </c>
      <c r="I14" s="159">
        <f>G14/H14</f>
        <v>64296.911111111112</v>
      </c>
      <c r="J14" s="166">
        <v>35</v>
      </c>
      <c r="K14" s="159">
        <f t="shared" ref="K14:K39" si="1">G14/J14</f>
        <v>82667.457142857136</v>
      </c>
      <c r="L14" s="159">
        <f t="shared" ref="L14:L39" si="2">K14-I14</f>
        <v>18370.546031746024</v>
      </c>
      <c r="M14" s="158"/>
      <c r="N14" s="156"/>
    </row>
    <row r="15" spans="1:14" x14ac:dyDescent="0.45">
      <c r="A15" s="16"/>
      <c r="B15" s="18"/>
      <c r="C15" s="159"/>
      <c r="D15" s="244">
        <v>155</v>
      </c>
      <c r="E15" s="159" t="s">
        <v>139</v>
      </c>
      <c r="F15" s="167">
        <v>35976</v>
      </c>
      <c r="G15" s="22">
        <v>995</v>
      </c>
      <c r="H15" s="159">
        <v>45</v>
      </c>
      <c r="I15" s="159">
        <f t="shared" ref="I15:I32" si="3">G15/H15</f>
        <v>22.111111111111111</v>
      </c>
      <c r="J15" s="166">
        <v>37.5</v>
      </c>
      <c r="K15" s="159">
        <f t="shared" si="1"/>
        <v>26.533333333333335</v>
      </c>
      <c r="L15" s="159">
        <f t="shared" si="2"/>
        <v>4.4222222222222243</v>
      </c>
      <c r="M15" s="158"/>
      <c r="N15" s="156"/>
    </row>
    <row r="16" spans="1:14" x14ac:dyDescent="0.45">
      <c r="A16" s="16"/>
      <c r="B16" s="18"/>
      <c r="C16" s="159"/>
      <c r="D16" s="244">
        <v>156</v>
      </c>
      <c r="E16" s="159" t="s">
        <v>140</v>
      </c>
      <c r="F16" s="167">
        <v>35976</v>
      </c>
      <c r="G16" s="22">
        <v>4380</v>
      </c>
      <c r="H16" s="159">
        <v>45</v>
      </c>
      <c r="I16" s="159">
        <f t="shared" si="3"/>
        <v>97.333333333333329</v>
      </c>
      <c r="J16" s="166">
        <v>10</v>
      </c>
      <c r="K16" s="159">
        <v>0</v>
      </c>
      <c r="L16" s="159">
        <f t="shared" si="2"/>
        <v>-97.333333333333329</v>
      </c>
      <c r="M16" s="158"/>
      <c r="N16" s="156"/>
    </row>
    <row r="17" spans="1:14" x14ac:dyDescent="0.45">
      <c r="A17" s="16"/>
      <c r="B17" s="18"/>
      <c r="C17" s="159"/>
      <c r="D17" s="244">
        <v>157</v>
      </c>
      <c r="E17" s="159" t="s">
        <v>141</v>
      </c>
      <c r="F17" s="167">
        <v>35976</v>
      </c>
      <c r="G17" s="22">
        <v>36500</v>
      </c>
      <c r="H17" s="159">
        <v>40</v>
      </c>
      <c r="I17" s="159">
        <v>900</v>
      </c>
      <c r="J17" s="166">
        <v>37.5</v>
      </c>
      <c r="K17" s="159">
        <f t="shared" si="1"/>
        <v>973.33333333333337</v>
      </c>
      <c r="L17" s="159">
        <f t="shared" si="2"/>
        <v>73.333333333333371</v>
      </c>
      <c r="M17" s="158"/>
      <c r="N17" s="156"/>
    </row>
    <row r="18" spans="1:14" x14ac:dyDescent="0.45">
      <c r="A18" s="16"/>
      <c r="B18" s="18"/>
      <c r="C18" s="159"/>
      <c r="D18" s="244">
        <v>171</v>
      </c>
      <c r="E18" s="159" t="s">
        <v>142</v>
      </c>
      <c r="F18" s="167">
        <v>36161</v>
      </c>
      <c r="G18" s="22">
        <v>778722</v>
      </c>
      <c r="H18" s="159">
        <v>40</v>
      </c>
      <c r="I18" s="159">
        <f t="shared" si="3"/>
        <v>19468.05</v>
      </c>
      <c r="J18" s="166">
        <v>45</v>
      </c>
      <c r="K18" s="159">
        <f t="shared" si="1"/>
        <v>17304.933333333334</v>
      </c>
      <c r="L18" s="159">
        <f t="shared" si="2"/>
        <v>-2163.116666666665</v>
      </c>
      <c r="M18" s="158"/>
      <c r="N18" s="156"/>
    </row>
    <row r="19" spans="1:14" x14ac:dyDescent="0.45">
      <c r="A19" s="16"/>
      <c r="B19" s="18"/>
      <c r="C19" s="159"/>
      <c r="D19" s="244">
        <v>181</v>
      </c>
      <c r="E19" s="159" t="s">
        <v>143</v>
      </c>
      <c r="F19" s="167">
        <v>36707</v>
      </c>
      <c r="G19" s="22">
        <v>26403</v>
      </c>
      <c r="H19" s="159">
        <v>45</v>
      </c>
      <c r="I19" s="159">
        <f t="shared" si="3"/>
        <v>586.73333333333335</v>
      </c>
      <c r="J19" s="166">
        <v>10</v>
      </c>
      <c r="K19" s="159">
        <v>0</v>
      </c>
      <c r="L19" s="159">
        <f t="shared" si="2"/>
        <v>-586.73333333333335</v>
      </c>
      <c r="M19" s="158"/>
      <c r="N19" s="156"/>
    </row>
    <row r="20" spans="1:14" x14ac:dyDescent="0.45">
      <c r="A20" s="16"/>
      <c r="B20" s="18"/>
      <c r="C20" s="159"/>
      <c r="D20" s="244">
        <v>189</v>
      </c>
      <c r="E20" s="159" t="s">
        <v>144</v>
      </c>
      <c r="F20" s="167">
        <v>37072</v>
      </c>
      <c r="G20" s="22">
        <v>1185270</v>
      </c>
      <c r="H20" s="159">
        <v>45</v>
      </c>
      <c r="I20" s="159">
        <f t="shared" si="3"/>
        <v>26339.333333333332</v>
      </c>
      <c r="J20" s="166">
        <v>45</v>
      </c>
      <c r="K20" s="159">
        <f t="shared" si="1"/>
        <v>26339.333333333332</v>
      </c>
      <c r="L20" s="159">
        <f t="shared" si="2"/>
        <v>0</v>
      </c>
      <c r="M20" s="158"/>
      <c r="N20" s="156"/>
    </row>
    <row r="21" spans="1:14" x14ac:dyDescent="0.45">
      <c r="A21" s="16"/>
      <c r="B21" s="18"/>
      <c r="C21" s="159"/>
      <c r="D21" s="244">
        <v>192</v>
      </c>
      <c r="E21" s="159" t="s">
        <v>145</v>
      </c>
      <c r="F21" s="167">
        <v>37072</v>
      </c>
      <c r="G21" s="22">
        <v>37351</v>
      </c>
      <c r="H21" s="159">
        <v>45</v>
      </c>
      <c r="I21" s="159">
        <f t="shared" si="3"/>
        <v>830.02222222222224</v>
      </c>
      <c r="J21" s="166">
        <v>10</v>
      </c>
      <c r="K21" s="159">
        <v>0</v>
      </c>
      <c r="L21" s="159">
        <f t="shared" si="2"/>
        <v>-830.02222222222224</v>
      </c>
      <c r="M21" s="158"/>
      <c r="N21" s="156"/>
    </row>
    <row r="22" spans="1:14" x14ac:dyDescent="0.45">
      <c r="A22" s="16"/>
      <c r="B22" s="18"/>
      <c r="C22" s="159"/>
      <c r="D22" s="244">
        <v>201</v>
      </c>
      <c r="E22" s="159" t="s">
        <v>146</v>
      </c>
      <c r="F22" s="167">
        <v>37802</v>
      </c>
      <c r="G22" s="22">
        <v>166000</v>
      </c>
      <c r="H22" s="159">
        <v>40</v>
      </c>
      <c r="I22" s="159">
        <f t="shared" si="3"/>
        <v>4150</v>
      </c>
      <c r="J22" s="166">
        <v>45</v>
      </c>
      <c r="K22" s="159">
        <f t="shared" si="1"/>
        <v>3688.8888888888887</v>
      </c>
      <c r="L22" s="159">
        <f t="shared" si="2"/>
        <v>-461.11111111111131</v>
      </c>
      <c r="M22" s="158"/>
      <c r="N22" s="156"/>
    </row>
    <row r="23" spans="1:14" x14ac:dyDescent="0.45">
      <c r="A23" s="16"/>
      <c r="B23" s="18"/>
      <c r="C23" s="159"/>
      <c r="D23" s="244">
        <v>216</v>
      </c>
      <c r="E23" s="159" t="s">
        <v>147</v>
      </c>
      <c r="F23" s="167">
        <v>38168</v>
      </c>
      <c r="G23" s="22">
        <v>1292040</v>
      </c>
      <c r="H23" s="159">
        <v>45</v>
      </c>
      <c r="I23" s="159">
        <f t="shared" si="3"/>
        <v>28712</v>
      </c>
      <c r="J23" s="166">
        <v>45</v>
      </c>
      <c r="K23" s="159">
        <f t="shared" si="1"/>
        <v>28712</v>
      </c>
      <c r="L23" s="159">
        <f t="shared" si="2"/>
        <v>0</v>
      </c>
      <c r="M23" s="158"/>
      <c r="N23" s="156"/>
    </row>
    <row r="24" spans="1:14" x14ac:dyDescent="0.45">
      <c r="A24" s="16"/>
      <c r="B24" s="18"/>
      <c r="C24" s="159"/>
      <c r="D24" s="244">
        <v>235</v>
      </c>
      <c r="E24" s="159" t="s">
        <v>148</v>
      </c>
      <c r="F24" s="167">
        <v>39233</v>
      </c>
      <c r="G24" s="22">
        <v>167940</v>
      </c>
      <c r="H24" s="159">
        <v>50</v>
      </c>
      <c r="I24" s="159">
        <f t="shared" si="3"/>
        <v>3358.8</v>
      </c>
      <c r="J24" s="166">
        <v>37.5</v>
      </c>
      <c r="K24" s="159">
        <f t="shared" si="1"/>
        <v>4478.3999999999996</v>
      </c>
      <c r="L24" s="159">
        <f t="shared" si="2"/>
        <v>1119.5999999999995</v>
      </c>
      <c r="M24" s="158"/>
      <c r="N24" s="156"/>
    </row>
    <row r="25" spans="1:14" x14ac:dyDescent="0.45">
      <c r="A25" s="16"/>
      <c r="B25" s="18"/>
      <c r="C25" s="159"/>
      <c r="D25" s="244">
        <v>244</v>
      </c>
      <c r="E25" s="159" t="s">
        <v>149</v>
      </c>
      <c r="F25" s="167">
        <v>42916</v>
      </c>
      <c r="G25" s="22">
        <v>10450</v>
      </c>
      <c r="H25" s="159">
        <v>45</v>
      </c>
      <c r="I25" s="159">
        <f t="shared" si="3"/>
        <v>232.22222222222223</v>
      </c>
      <c r="J25" s="166">
        <v>10</v>
      </c>
      <c r="K25" s="159">
        <f t="shared" si="1"/>
        <v>1045</v>
      </c>
      <c r="L25" s="159">
        <f t="shared" si="2"/>
        <v>812.77777777777783</v>
      </c>
      <c r="M25" s="158"/>
      <c r="N25" s="156"/>
    </row>
    <row r="26" spans="1:14" x14ac:dyDescent="0.45">
      <c r="A26" s="16"/>
      <c r="B26" s="18"/>
      <c r="C26" s="159"/>
      <c r="D26" s="244">
        <v>248</v>
      </c>
      <c r="E26" s="159" t="s">
        <v>150</v>
      </c>
      <c r="F26" s="167">
        <v>39263</v>
      </c>
      <c r="G26" s="22">
        <v>99659</v>
      </c>
      <c r="H26" s="159">
        <v>45</v>
      </c>
      <c r="I26" s="159">
        <f t="shared" si="3"/>
        <v>2214.6444444444446</v>
      </c>
      <c r="J26" s="166">
        <v>45</v>
      </c>
      <c r="K26" s="159">
        <f t="shared" si="1"/>
        <v>2214.6444444444446</v>
      </c>
      <c r="L26" s="159">
        <f t="shared" si="2"/>
        <v>0</v>
      </c>
      <c r="M26" s="158"/>
      <c r="N26" s="156"/>
    </row>
    <row r="27" spans="1:14" x14ac:dyDescent="0.45">
      <c r="A27" s="16"/>
      <c r="B27" s="18"/>
      <c r="C27" s="159"/>
      <c r="D27" s="244">
        <v>273</v>
      </c>
      <c r="E27" s="159" t="s">
        <v>151</v>
      </c>
      <c r="F27" s="167">
        <v>40451</v>
      </c>
      <c r="G27" s="22">
        <v>5012</v>
      </c>
      <c r="H27" s="159">
        <v>50</v>
      </c>
      <c r="I27" s="159">
        <f t="shared" si="3"/>
        <v>100.24</v>
      </c>
      <c r="J27" s="166">
        <v>10</v>
      </c>
      <c r="K27" s="159">
        <v>0</v>
      </c>
      <c r="L27" s="159">
        <f t="shared" si="2"/>
        <v>-100.24</v>
      </c>
      <c r="M27" s="158"/>
      <c r="N27" s="156"/>
    </row>
    <row r="28" spans="1:14" x14ac:dyDescent="0.45">
      <c r="A28" s="16"/>
      <c r="B28" s="18"/>
      <c r="C28" s="159"/>
      <c r="D28" s="244">
        <v>274</v>
      </c>
      <c r="E28" s="159" t="s">
        <v>152</v>
      </c>
      <c r="F28" s="167">
        <v>40477</v>
      </c>
      <c r="G28" s="22">
        <v>13500</v>
      </c>
      <c r="H28" s="159">
        <v>50</v>
      </c>
      <c r="I28" s="159">
        <f t="shared" si="3"/>
        <v>270</v>
      </c>
      <c r="J28" s="166">
        <v>20</v>
      </c>
      <c r="K28" s="159">
        <f t="shared" si="1"/>
        <v>675</v>
      </c>
      <c r="L28" s="159">
        <f t="shared" si="2"/>
        <v>405</v>
      </c>
      <c r="M28" s="158"/>
      <c r="N28" s="156"/>
    </row>
    <row r="29" spans="1:14" x14ac:dyDescent="0.45">
      <c r="A29" s="16"/>
      <c r="B29" s="18"/>
      <c r="C29" s="159"/>
      <c r="D29" s="244">
        <v>275</v>
      </c>
      <c r="E29" s="159" t="s">
        <v>153</v>
      </c>
      <c r="F29" s="167">
        <v>40486</v>
      </c>
      <c r="G29" s="22">
        <v>413530</v>
      </c>
      <c r="H29" s="159">
        <v>50</v>
      </c>
      <c r="I29" s="159">
        <f t="shared" si="3"/>
        <v>8270.6</v>
      </c>
      <c r="J29" s="166">
        <v>45</v>
      </c>
      <c r="K29" s="159">
        <f t="shared" si="1"/>
        <v>9189.5555555555547</v>
      </c>
      <c r="L29" s="159">
        <f t="shared" si="2"/>
        <v>918.95555555555438</v>
      </c>
      <c r="M29" s="158"/>
      <c r="N29" s="156"/>
    </row>
    <row r="30" spans="1:14" x14ac:dyDescent="0.45">
      <c r="A30" s="16"/>
      <c r="B30" s="18"/>
      <c r="C30" s="159"/>
      <c r="D30" s="244">
        <v>294</v>
      </c>
      <c r="E30" s="159" t="s">
        <v>154</v>
      </c>
      <c r="F30" s="167">
        <v>41202</v>
      </c>
      <c r="G30" s="22">
        <v>47000</v>
      </c>
      <c r="H30" s="159">
        <v>45</v>
      </c>
      <c r="I30" s="159">
        <f t="shared" si="3"/>
        <v>1044.4444444444443</v>
      </c>
      <c r="J30" s="166">
        <v>37.5</v>
      </c>
      <c r="K30" s="159">
        <f t="shared" si="1"/>
        <v>1253.3333333333333</v>
      </c>
      <c r="L30" s="159">
        <f t="shared" si="2"/>
        <v>208.88888888888891</v>
      </c>
      <c r="M30" s="158"/>
      <c r="N30" s="156"/>
    </row>
    <row r="31" spans="1:14" x14ac:dyDescent="0.45">
      <c r="A31" s="16"/>
      <c r="B31" s="18"/>
      <c r="C31" s="159"/>
      <c r="D31" s="244">
        <v>306</v>
      </c>
      <c r="E31" s="159" t="s">
        <v>155</v>
      </c>
      <c r="F31" s="167">
        <v>41486</v>
      </c>
      <c r="G31" s="159">
        <v>10500</v>
      </c>
      <c r="H31" s="159">
        <v>50</v>
      </c>
      <c r="I31" s="159">
        <f t="shared" si="3"/>
        <v>210</v>
      </c>
      <c r="J31" s="166">
        <v>37.5</v>
      </c>
      <c r="K31" s="159">
        <f t="shared" si="1"/>
        <v>280</v>
      </c>
      <c r="L31" s="159">
        <f t="shared" si="2"/>
        <v>70</v>
      </c>
      <c r="M31" s="158"/>
      <c r="N31" s="156"/>
    </row>
    <row r="32" spans="1:14" x14ac:dyDescent="0.45">
      <c r="A32" s="16"/>
      <c r="B32" s="18"/>
      <c r="C32" s="159"/>
      <c r="D32" s="244">
        <v>358</v>
      </c>
      <c r="E32" s="159" t="s">
        <v>156</v>
      </c>
      <c r="F32" s="167">
        <v>42948</v>
      </c>
      <c r="G32" s="159">
        <v>16246</v>
      </c>
      <c r="H32" s="159">
        <v>50</v>
      </c>
      <c r="I32" s="159">
        <f t="shared" si="3"/>
        <v>324.92</v>
      </c>
      <c r="J32" s="166">
        <v>37.5</v>
      </c>
      <c r="K32" s="159">
        <f t="shared" si="1"/>
        <v>433.22666666666669</v>
      </c>
      <c r="L32" s="159">
        <f t="shared" si="2"/>
        <v>108.30666666666667</v>
      </c>
      <c r="M32" s="158"/>
      <c r="N32" s="156"/>
    </row>
    <row r="33" spans="1:14" x14ac:dyDescent="0.45">
      <c r="A33" s="16"/>
      <c r="B33" s="18"/>
      <c r="C33" s="159"/>
      <c r="D33" s="244">
        <v>363</v>
      </c>
      <c r="E33" s="159" t="s">
        <v>157</v>
      </c>
      <c r="F33" s="167">
        <v>43164</v>
      </c>
      <c r="G33" s="159">
        <v>343599</v>
      </c>
      <c r="H33" s="159">
        <v>50</v>
      </c>
      <c r="I33" s="159">
        <v>6872</v>
      </c>
      <c r="J33" s="166">
        <v>45</v>
      </c>
      <c r="K33" s="159">
        <f t="shared" si="1"/>
        <v>7635.5333333333338</v>
      </c>
      <c r="L33" s="159">
        <f t="shared" si="2"/>
        <v>763.53333333333376</v>
      </c>
      <c r="M33" s="158"/>
      <c r="N33" s="156"/>
    </row>
    <row r="34" spans="1:14" x14ac:dyDescent="0.45">
      <c r="A34" s="16"/>
      <c r="B34" s="18"/>
      <c r="C34" s="159"/>
      <c r="D34" s="244">
        <v>372</v>
      </c>
      <c r="E34" s="159" t="s">
        <v>158</v>
      </c>
      <c r="F34" s="167">
        <v>43978</v>
      </c>
      <c r="G34" s="159">
        <v>2724.4</v>
      </c>
      <c r="H34" s="159">
        <v>10</v>
      </c>
      <c r="I34" s="159">
        <v>272</v>
      </c>
      <c r="J34" s="166">
        <v>20</v>
      </c>
      <c r="K34" s="159">
        <f t="shared" si="1"/>
        <v>136.22</v>
      </c>
      <c r="L34" s="159">
        <f t="shared" si="2"/>
        <v>-135.78</v>
      </c>
      <c r="M34" s="158"/>
      <c r="N34" s="156"/>
    </row>
    <row r="35" spans="1:14" x14ac:dyDescent="0.45">
      <c r="A35" s="16"/>
      <c r="B35" s="18"/>
      <c r="C35" s="159"/>
      <c r="D35" s="244">
        <v>380</v>
      </c>
      <c r="E35" s="159" t="s">
        <v>159</v>
      </c>
      <c r="F35" s="167">
        <v>44088</v>
      </c>
      <c r="G35" s="159">
        <v>18821.75</v>
      </c>
      <c r="H35" s="159">
        <v>50</v>
      </c>
      <c r="I35" s="159">
        <v>376</v>
      </c>
      <c r="J35" s="166">
        <v>10</v>
      </c>
      <c r="K35" s="159">
        <f t="shared" si="1"/>
        <v>1882.175</v>
      </c>
      <c r="L35" s="159">
        <f t="shared" si="2"/>
        <v>1506.175</v>
      </c>
      <c r="M35" s="158"/>
      <c r="N35" s="156"/>
    </row>
    <row r="36" spans="1:14" x14ac:dyDescent="0.45">
      <c r="A36" s="16"/>
      <c r="B36" s="18"/>
      <c r="C36" s="159"/>
      <c r="D36" s="244">
        <v>399</v>
      </c>
      <c r="E36" s="159" t="s">
        <v>160</v>
      </c>
      <c r="F36" s="167">
        <v>44561</v>
      </c>
      <c r="G36" s="159">
        <v>604935.74</v>
      </c>
      <c r="H36" s="159">
        <v>50</v>
      </c>
      <c r="I36" s="159">
        <v>12099</v>
      </c>
      <c r="J36" s="166">
        <v>45</v>
      </c>
      <c r="K36" s="159">
        <f t="shared" si="1"/>
        <v>13443.016444444444</v>
      </c>
      <c r="L36" s="159">
        <f t="shared" si="2"/>
        <v>1344.0164444444436</v>
      </c>
      <c r="M36" s="158"/>
      <c r="N36" s="156"/>
    </row>
    <row r="37" spans="1:14" x14ac:dyDescent="0.45">
      <c r="A37" s="16"/>
      <c r="B37" s="18"/>
      <c r="C37" s="159"/>
      <c r="D37" s="244">
        <v>415</v>
      </c>
      <c r="E37" s="159" t="s">
        <v>139</v>
      </c>
      <c r="F37" s="167">
        <v>44887</v>
      </c>
      <c r="G37" s="159">
        <v>30554</v>
      </c>
      <c r="H37" s="159">
        <v>50</v>
      </c>
      <c r="I37" s="159">
        <v>611</v>
      </c>
      <c r="J37" s="166">
        <v>37.5</v>
      </c>
      <c r="K37" s="159">
        <f t="shared" si="1"/>
        <v>814.77333333333331</v>
      </c>
      <c r="L37" s="159">
        <f t="shared" si="2"/>
        <v>203.77333333333331</v>
      </c>
      <c r="M37" s="158"/>
      <c r="N37" s="156"/>
    </row>
    <row r="38" spans="1:14" x14ac:dyDescent="0.45">
      <c r="A38" s="16"/>
      <c r="B38" s="18"/>
      <c r="C38" s="159"/>
      <c r="D38" s="244">
        <v>416</v>
      </c>
      <c r="E38" s="159" t="s">
        <v>197</v>
      </c>
      <c r="F38" s="167">
        <v>44900</v>
      </c>
      <c r="G38" s="159">
        <v>2800</v>
      </c>
      <c r="H38" s="159">
        <v>20</v>
      </c>
      <c r="I38" s="159">
        <v>140</v>
      </c>
      <c r="J38" s="166">
        <v>37.5</v>
      </c>
      <c r="K38" s="159">
        <f t="shared" si="1"/>
        <v>74.666666666666671</v>
      </c>
      <c r="L38" s="159">
        <f t="shared" si="2"/>
        <v>-65.333333333333329</v>
      </c>
      <c r="M38" s="158"/>
      <c r="N38" s="156"/>
    </row>
    <row r="39" spans="1:14" x14ac:dyDescent="0.45">
      <c r="A39" s="16"/>
      <c r="B39" s="18"/>
      <c r="C39" s="159"/>
      <c r="D39" s="244">
        <v>427</v>
      </c>
      <c r="E39" s="159" t="s">
        <v>218</v>
      </c>
      <c r="F39" s="167">
        <v>44943</v>
      </c>
      <c r="G39" s="159">
        <v>20554</v>
      </c>
      <c r="H39" s="159">
        <v>50</v>
      </c>
      <c r="I39" s="159">
        <v>393</v>
      </c>
      <c r="J39" s="166">
        <v>37.5</v>
      </c>
      <c r="K39" s="159">
        <f t="shared" si="1"/>
        <v>548.10666666666668</v>
      </c>
      <c r="L39" s="159">
        <f t="shared" si="2"/>
        <v>155.10666666666668</v>
      </c>
      <c r="M39" s="158"/>
      <c r="N39" s="156"/>
    </row>
    <row r="40" spans="1:14" x14ac:dyDescent="0.45">
      <c r="A40" s="16"/>
      <c r="B40" s="18"/>
      <c r="C40" s="165" t="s">
        <v>161</v>
      </c>
      <c r="D40" s="244"/>
      <c r="E40" s="159"/>
      <c r="F40" s="167"/>
      <c r="G40" s="159"/>
      <c r="H40" s="159"/>
      <c r="I40" s="159"/>
      <c r="J40" s="166"/>
      <c r="K40" s="159"/>
      <c r="L40" s="159"/>
      <c r="M40" s="158"/>
      <c r="N40" s="156"/>
    </row>
    <row r="41" spans="1:14" x14ac:dyDescent="0.45">
      <c r="A41" s="16"/>
      <c r="B41" s="18"/>
      <c r="C41" s="159"/>
      <c r="D41" s="244">
        <v>365</v>
      </c>
      <c r="E41" s="159" t="s">
        <v>162</v>
      </c>
      <c r="F41" s="167">
        <v>43109</v>
      </c>
      <c r="G41" s="159">
        <v>2095</v>
      </c>
      <c r="H41" s="159">
        <v>7</v>
      </c>
      <c r="I41" s="159">
        <v>299</v>
      </c>
      <c r="J41" s="166">
        <v>10</v>
      </c>
      <c r="K41" s="159">
        <v>299</v>
      </c>
      <c r="L41" s="159">
        <f t="shared" ref="L41" si="4">K41-I41</f>
        <v>0</v>
      </c>
      <c r="M41" s="158"/>
      <c r="N41" s="156"/>
    </row>
    <row r="42" spans="1:14" x14ac:dyDescent="0.45">
      <c r="A42" s="16"/>
      <c r="B42" s="18"/>
      <c r="C42" s="165" t="s">
        <v>163</v>
      </c>
      <c r="D42" s="244"/>
      <c r="E42" s="159"/>
      <c r="F42" s="167"/>
      <c r="G42" s="159"/>
      <c r="H42" s="159"/>
      <c r="I42" s="159"/>
      <c r="J42" s="166"/>
      <c r="K42" s="159"/>
      <c r="L42" s="159"/>
      <c r="M42" s="158"/>
      <c r="N42" s="156"/>
    </row>
    <row r="43" spans="1:14" x14ac:dyDescent="0.45">
      <c r="A43" s="16"/>
      <c r="B43" s="18"/>
      <c r="C43" s="159"/>
      <c r="D43" s="244">
        <v>5</v>
      </c>
      <c r="E43" s="159" t="s">
        <v>164</v>
      </c>
      <c r="F43" s="167">
        <v>27181</v>
      </c>
      <c r="G43" s="159">
        <v>11996</v>
      </c>
      <c r="H43" s="159">
        <v>50</v>
      </c>
      <c r="I43" s="159">
        <v>240</v>
      </c>
      <c r="J43" s="166">
        <v>50</v>
      </c>
      <c r="K43" s="159">
        <v>240</v>
      </c>
      <c r="L43" s="159">
        <f t="shared" ref="L43" si="5">K43-I43</f>
        <v>0</v>
      </c>
      <c r="M43" s="158"/>
      <c r="N43" s="156"/>
    </row>
    <row r="44" spans="1:14" x14ac:dyDescent="0.45">
      <c r="A44" s="16"/>
      <c r="B44" s="18"/>
      <c r="C44" s="165" t="s">
        <v>165</v>
      </c>
      <c r="D44" s="244"/>
      <c r="E44" s="159"/>
      <c r="F44" s="167"/>
      <c r="G44" s="159"/>
      <c r="H44" s="159"/>
      <c r="I44" s="159"/>
      <c r="J44" s="166"/>
      <c r="K44" s="159"/>
      <c r="L44" s="159"/>
      <c r="M44" s="158"/>
      <c r="N44" s="156"/>
    </row>
    <row r="45" spans="1:14" x14ac:dyDescent="0.45">
      <c r="A45" s="16"/>
      <c r="B45" s="18"/>
      <c r="C45" s="159"/>
      <c r="D45" s="244">
        <v>6</v>
      </c>
      <c r="E45" s="159" t="s">
        <v>166</v>
      </c>
      <c r="F45" s="167">
        <v>27273</v>
      </c>
      <c r="G45" s="159">
        <v>147466</v>
      </c>
      <c r="H45" s="159">
        <v>50</v>
      </c>
      <c r="I45" s="159">
        <v>2949</v>
      </c>
      <c r="J45" s="166">
        <v>62.5</v>
      </c>
      <c r="K45" s="159">
        <f t="shared" ref="K45" si="6">G45/J45</f>
        <v>2359.4560000000001</v>
      </c>
      <c r="L45" s="159">
        <f t="shared" ref="L45" si="7">K45-I45</f>
        <v>-589.54399999999987</v>
      </c>
      <c r="M45" s="158"/>
      <c r="N45" s="156"/>
    </row>
    <row r="46" spans="1:14" x14ac:dyDescent="0.45">
      <c r="A46" s="16"/>
      <c r="B46" s="18"/>
      <c r="C46" s="165" t="s">
        <v>167</v>
      </c>
      <c r="D46" s="244"/>
      <c r="E46" s="159"/>
      <c r="F46" s="167"/>
      <c r="G46" s="159"/>
      <c r="H46" s="159"/>
      <c r="I46" s="159"/>
      <c r="J46" s="166"/>
      <c r="K46" s="159"/>
      <c r="L46" s="159"/>
      <c r="M46" s="158"/>
      <c r="N46" s="156"/>
    </row>
    <row r="47" spans="1:14" x14ac:dyDescent="0.45">
      <c r="A47" s="16"/>
      <c r="B47" s="18"/>
      <c r="C47" s="159"/>
      <c r="D47" s="244">
        <v>61</v>
      </c>
      <c r="E47" s="159" t="s">
        <v>168</v>
      </c>
      <c r="F47" s="167">
        <v>31716</v>
      </c>
      <c r="G47" s="159">
        <v>4373</v>
      </c>
      <c r="H47" s="159">
        <v>50</v>
      </c>
      <c r="I47" s="159">
        <v>87</v>
      </c>
      <c r="J47" s="166">
        <v>37.5</v>
      </c>
      <c r="K47" s="159">
        <f t="shared" ref="K47" si="8">G47/J47</f>
        <v>116.61333333333333</v>
      </c>
      <c r="L47" s="159">
        <f t="shared" ref="L47" si="9">K47-I47</f>
        <v>29.61333333333333</v>
      </c>
      <c r="M47" s="158"/>
      <c r="N47" s="156"/>
    </row>
    <row r="48" spans="1:14" x14ac:dyDescent="0.45">
      <c r="A48" s="16"/>
      <c r="B48" s="18"/>
      <c r="C48" s="165" t="s">
        <v>169</v>
      </c>
      <c r="D48" s="244"/>
      <c r="E48" s="159"/>
      <c r="F48" s="167"/>
      <c r="G48" s="159"/>
      <c r="H48" s="159"/>
      <c r="I48" s="159"/>
      <c r="J48" s="166"/>
      <c r="K48" s="159"/>
      <c r="L48" s="159"/>
      <c r="M48" s="158"/>
      <c r="N48" s="156"/>
    </row>
    <row r="49" spans="1:16" x14ac:dyDescent="0.45">
      <c r="A49" s="16"/>
      <c r="B49" s="18"/>
      <c r="C49" s="165"/>
      <c r="D49" s="244"/>
      <c r="E49" s="159" t="s">
        <v>170</v>
      </c>
      <c r="F49" s="167" t="s">
        <v>171</v>
      </c>
      <c r="G49" s="159">
        <f>75000+191870+59375+176679+32251+45000+14400</f>
        <v>594575</v>
      </c>
      <c r="H49" s="159">
        <v>20</v>
      </c>
      <c r="I49" s="159">
        <f>1849+9593+2969+8834+1613+2250+720</f>
        <v>27828</v>
      </c>
      <c r="J49" s="166">
        <v>37.5</v>
      </c>
      <c r="K49" s="159">
        <f t="shared" ref="K49:K50" si="10">G49/J49</f>
        <v>15855.333333333334</v>
      </c>
      <c r="L49" s="159">
        <f t="shared" ref="L49:L50" si="11">K49-I49</f>
        <v>-11972.666666666666</v>
      </c>
      <c r="M49" s="158"/>
      <c r="N49" s="156"/>
      <c r="P49" s="159"/>
    </row>
    <row r="50" spans="1:16" x14ac:dyDescent="0.45">
      <c r="A50" s="16"/>
      <c r="B50" s="18"/>
      <c r="C50" s="159"/>
      <c r="D50" s="244"/>
      <c r="E50" s="159" t="s">
        <v>172</v>
      </c>
      <c r="F50" s="167" t="s">
        <v>171</v>
      </c>
      <c r="G50" s="159">
        <f>6016+5250+54877+22349+8532+10704+30000+31738+9980+18894+33271+18258+5025+4000+9580+11837+828+6425+6450+36500+8850+4850+8500+8950+15100</f>
        <v>376764</v>
      </c>
      <c r="H50" s="159" t="s">
        <v>173</v>
      </c>
      <c r="I50" s="159">
        <f>301+263+2744+447+171+214+600+634+200+378+665+365+101+80+192+237+17+113+91+484+108+40+43+9+1</f>
        <v>8498</v>
      </c>
      <c r="J50" s="166">
        <v>20</v>
      </c>
      <c r="K50" s="159">
        <f t="shared" si="10"/>
        <v>18838.2</v>
      </c>
      <c r="L50" s="159">
        <f t="shared" si="11"/>
        <v>10340.200000000001</v>
      </c>
      <c r="M50" s="158"/>
      <c r="N50" s="156"/>
    </row>
    <row r="51" spans="1:16" x14ac:dyDescent="0.45">
      <c r="A51" s="16"/>
      <c r="B51" s="18"/>
      <c r="C51" s="165" t="s">
        <v>174</v>
      </c>
      <c r="D51" s="244"/>
      <c r="E51" s="159"/>
      <c r="F51" s="167"/>
      <c r="G51" s="159"/>
      <c r="H51" s="159"/>
      <c r="I51" s="159"/>
      <c r="J51" s="166"/>
      <c r="K51" s="159"/>
      <c r="L51" s="159"/>
      <c r="M51" s="158"/>
      <c r="N51" s="156"/>
    </row>
    <row r="52" spans="1:16" x14ac:dyDescent="0.45">
      <c r="A52" s="16"/>
      <c r="B52" s="18"/>
      <c r="C52" s="159"/>
      <c r="D52" s="244"/>
      <c r="E52" s="159" t="s">
        <v>175</v>
      </c>
      <c r="F52" s="167" t="s">
        <v>171</v>
      </c>
      <c r="G52" s="159">
        <f>132826+25500+325567+411649</f>
        <v>895542</v>
      </c>
      <c r="H52" s="159" t="s">
        <v>173</v>
      </c>
      <c r="I52" s="159">
        <f>3795+729+9302+8233</f>
        <v>22059</v>
      </c>
      <c r="J52" s="166">
        <v>37.5</v>
      </c>
      <c r="K52" s="159">
        <f t="shared" ref="K52:K53" si="12">G52/J52</f>
        <v>23881.119999999999</v>
      </c>
      <c r="L52" s="159">
        <f t="shared" ref="L52:L53" si="13">K52-I52</f>
        <v>1822.119999999999</v>
      </c>
      <c r="M52" s="158"/>
      <c r="N52" s="156"/>
    </row>
    <row r="53" spans="1:16" x14ac:dyDescent="0.45">
      <c r="A53" s="16"/>
      <c r="B53" s="18"/>
      <c r="C53" s="159"/>
      <c r="D53" s="244"/>
      <c r="E53" s="159" t="s">
        <v>172</v>
      </c>
      <c r="F53" s="167" t="s">
        <v>171</v>
      </c>
      <c r="G53" s="159">
        <f>97410+230115+31774</f>
        <v>359299</v>
      </c>
      <c r="H53" s="159">
        <v>35</v>
      </c>
      <c r="I53" s="159">
        <f>33159-I52</f>
        <v>11100</v>
      </c>
      <c r="J53" s="166">
        <v>27.5</v>
      </c>
      <c r="K53" s="159">
        <f t="shared" si="12"/>
        <v>13065.418181818182</v>
      </c>
      <c r="L53" s="159">
        <f t="shared" si="13"/>
        <v>1965.4181818181823</v>
      </c>
      <c r="M53" s="158"/>
      <c r="N53" s="156"/>
    </row>
    <row r="54" spans="1:16" x14ac:dyDescent="0.45">
      <c r="A54" s="16"/>
      <c r="B54" s="18"/>
      <c r="C54" s="165" t="s">
        <v>176</v>
      </c>
      <c r="D54" s="244"/>
      <c r="E54" s="159"/>
      <c r="F54" s="167"/>
      <c r="G54" s="159"/>
      <c r="H54" s="159"/>
      <c r="I54" s="159"/>
      <c r="J54" s="166"/>
      <c r="K54" s="159"/>
      <c r="L54" s="159"/>
      <c r="M54" s="158"/>
      <c r="N54" s="156"/>
    </row>
    <row r="55" spans="1:16" x14ac:dyDescent="0.45">
      <c r="A55" s="16"/>
      <c r="B55" s="18"/>
      <c r="C55" s="159"/>
      <c r="D55" s="244">
        <v>17</v>
      </c>
      <c r="E55" s="159" t="s">
        <v>177</v>
      </c>
      <c r="F55" s="167">
        <v>27181</v>
      </c>
      <c r="G55" s="159">
        <v>178942</v>
      </c>
      <c r="H55" s="159">
        <v>50</v>
      </c>
      <c r="I55" s="159">
        <f>+G55/H55</f>
        <v>3578.84</v>
      </c>
      <c r="J55" s="166">
        <v>62.5</v>
      </c>
      <c r="K55" s="159">
        <f t="shared" ref="K55" si="14">G55/J55</f>
        <v>2863.0720000000001</v>
      </c>
      <c r="L55" s="159">
        <f t="shared" ref="L55" si="15">K55-I55</f>
        <v>-715.76800000000003</v>
      </c>
      <c r="M55" s="158"/>
      <c r="N55" s="156"/>
    </row>
    <row r="56" spans="1:16" x14ac:dyDescent="0.45">
      <c r="A56" s="16"/>
      <c r="B56" s="18"/>
      <c r="C56" s="165" t="s">
        <v>178</v>
      </c>
      <c r="D56" s="244"/>
      <c r="E56" s="159"/>
      <c r="F56" s="167"/>
      <c r="G56" s="159"/>
      <c r="H56" s="159"/>
      <c r="I56" s="159"/>
      <c r="J56" s="166"/>
      <c r="K56" s="159"/>
      <c r="L56" s="159"/>
      <c r="M56" s="158"/>
      <c r="N56" s="156"/>
    </row>
    <row r="57" spans="1:16" x14ac:dyDescent="0.45">
      <c r="A57" s="16"/>
      <c r="B57" s="18"/>
      <c r="C57" s="159"/>
      <c r="D57" s="244"/>
      <c r="E57" s="159" t="s">
        <v>179</v>
      </c>
      <c r="F57" s="167" t="s">
        <v>171</v>
      </c>
      <c r="G57" s="159">
        <f>25568677-10712-1512-5004-27831-4926-2111-18250-475-18250-2421-12250-21580-100358-252527-12298-4085-41901</f>
        <v>25032186</v>
      </c>
      <c r="H57" s="159" t="s">
        <v>173</v>
      </c>
      <c r="I57" s="159">
        <f>510496</f>
        <v>510496</v>
      </c>
      <c r="J57" s="166">
        <v>62.5</v>
      </c>
      <c r="K57" s="159">
        <f t="shared" ref="K57" si="16">G57/J57</f>
        <v>400514.97600000002</v>
      </c>
      <c r="L57" s="159">
        <f t="shared" ref="L57" si="17">K57-I57</f>
        <v>-109981.02399999998</v>
      </c>
      <c r="M57" s="158"/>
      <c r="N57" s="156"/>
    </row>
    <row r="58" spans="1:16" x14ac:dyDescent="0.45">
      <c r="A58" s="16"/>
      <c r="B58" s="18"/>
      <c r="C58" s="165" t="s">
        <v>180</v>
      </c>
      <c r="D58" s="244"/>
      <c r="E58" s="159"/>
      <c r="F58" s="167"/>
      <c r="G58" s="159"/>
      <c r="H58" s="159"/>
      <c r="I58" s="159"/>
      <c r="J58" s="166"/>
      <c r="K58" s="159"/>
      <c r="L58" s="159"/>
      <c r="M58" s="158"/>
      <c r="N58" s="156"/>
    </row>
    <row r="59" spans="1:16" x14ac:dyDescent="0.45">
      <c r="A59" s="16"/>
      <c r="B59" s="18"/>
      <c r="C59" s="159"/>
      <c r="D59" s="244"/>
      <c r="E59" s="159" t="s">
        <v>179</v>
      </c>
      <c r="F59" s="167" t="s">
        <v>171</v>
      </c>
      <c r="G59" s="159">
        <f>474274.79-10022</f>
        <v>464252.79</v>
      </c>
      <c r="H59" s="159">
        <v>50</v>
      </c>
      <c r="I59" s="159">
        <v>9285</v>
      </c>
      <c r="J59" s="166">
        <v>40</v>
      </c>
      <c r="K59" s="159">
        <f t="shared" ref="K59" si="18">G59/J59</f>
        <v>11606.319749999999</v>
      </c>
      <c r="L59" s="159">
        <f t="shared" ref="L59" si="19">K59-I59</f>
        <v>2321.3197499999987</v>
      </c>
      <c r="M59" s="158"/>
      <c r="N59" s="156"/>
    </row>
    <row r="60" spans="1:16" x14ac:dyDescent="0.45">
      <c r="A60" s="16"/>
      <c r="B60" s="18"/>
      <c r="C60" s="168"/>
      <c r="D60" s="248"/>
      <c r="E60" s="168"/>
      <c r="F60" s="169"/>
      <c r="G60" s="168"/>
      <c r="H60" s="168"/>
      <c r="I60" s="168"/>
      <c r="J60" s="170"/>
      <c r="K60" s="168"/>
      <c r="L60" s="168"/>
      <c r="M60" s="158"/>
      <c r="N60" s="156"/>
    </row>
    <row r="61" spans="1:16" x14ac:dyDescent="0.45">
      <c r="A61" s="16"/>
      <c r="B61" s="67"/>
      <c r="C61" s="159"/>
      <c r="D61" s="244"/>
      <c r="E61" s="159"/>
      <c r="F61" s="167"/>
      <c r="G61" s="159"/>
      <c r="H61" s="159"/>
      <c r="I61" s="159"/>
      <c r="J61" s="166"/>
      <c r="K61" s="159"/>
      <c r="L61" s="159"/>
      <c r="M61" s="171"/>
      <c r="N61" s="156"/>
    </row>
    <row r="62" spans="1:16" ht="156.75" x14ac:dyDescent="0.45">
      <c r="A62" s="16"/>
      <c r="B62" s="22"/>
      <c r="C62" s="159"/>
      <c r="D62" s="241" t="s">
        <v>181</v>
      </c>
      <c r="E62" s="159"/>
      <c r="F62" s="167"/>
      <c r="G62" s="159"/>
      <c r="H62" s="159"/>
      <c r="I62" s="159"/>
      <c r="J62" s="166"/>
      <c r="K62" s="159"/>
      <c r="L62" s="159"/>
      <c r="M62" s="159"/>
      <c r="N62" s="156"/>
    </row>
    <row r="63" spans="1:16" x14ac:dyDescent="0.45">
      <c r="A63" s="16"/>
      <c r="B63" s="21"/>
      <c r="C63" s="159"/>
      <c r="D63" s="244"/>
      <c r="E63" s="159"/>
      <c r="F63" s="167"/>
      <c r="G63" s="159"/>
      <c r="H63" s="159"/>
      <c r="I63" s="159"/>
      <c r="J63" s="166"/>
      <c r="K63" s="159"/>
      <c r="L63" s="159"/>
      <c r="M63" s="159"/>
      <c r="N63" s="156"/>
    </row>
    <row r="64" spans="1:16" x14ac:dyDescent="0.45">
      <c r="A64" s="16"/>
      <c r="B64" s="18"/>
      <c r="C64" s="171"/>
      <c r="D64" s="243"/>
      <c r="E64" s="171"/>
      <c r="F64" s="171"/>
      <c r="G64" s="171"/>
      <c r="H64" s="171"/>
      <c r="I64" s="171"/>
      <c r="J64" s="171"/>
      <c r="K64" s="171"/>
      <c r="L64" s="67"/>
      <c r="M64" s="172"/>
      <c r="N64" s="156"/>
    </row>
    <row r="65" spans="1:14" x14ac:dyDescent="0.45">
      <c r="A65" s="16"/>
      <c r="B65" s="18"/>
      <c r="C65" s="159"/>
      <c r="D65" s="244"/>
      <c r="E65" s="159"/>
      <c r="F65" s="159"/>
      <c r="G65" s="159"/>
      <c r="H65" s="159"/>
      <c r="I65" s="159"/>
      <c r="J65" s="159"/>
      <c r="K65" s="159"/>
      <c r="L65" s="160" t="s">
        <v>124</v>
      </c>
      <c r="M65" s="158"/>
      <c r="N65" s="156"/>
    </row>
    <row r="66" spans="1:14" ht="16.5" x14ac:dyDescent="0.75">
      <c r="A66" s="16"/>
      <c r="B66" s="18"/>
      <c r="C66" s="159"/>
      <c r="D66" s="223" t="s">
        <v>125</v>
      </c>
      <c r="E66" s="223"/>
      <c r="F66" s="161" t="s">
        <v>126</v>
      </c>
      <c r="G66" s="161" t="s">
        <v>127</v>
      </c>
      <c r="H66" s="162" t="s">
        <v>128</v>
      </c>
      <c r="I66" s="162"/>
      <c r="J66" s="162" t="s">
        <v>27</v>
      </c>
      <c r="K66" s="162"/>
      <c r="L66" s="160" t="s">
        <v>129</v>
      </c>
      <c r="M66" s="158"/>
      <c r="N66" s="156"/>
    </row>
    <row r="67" spans="1:14" ht="16.5" x14ac:dyDescent="0.75">
      <c r="A67" s="16"/>
      <c r="B67" s="18"/>
      <c r="C67" s="159"/>
      <c r="D67" s="245" t="s">
        <v>130</v>
      </c>
      <c r="E67" s="163" t="s">
        <v>131</v>
      </c>
      <c r="F67" s="163" t="s">
        <v>132</v>
      </c>
      <c r="G67" s="163" t="s">
        <v>133</v>
      </c>
      <c r="H67" s="163" t="s">
        <v>134</v>
      </c>
      <c r="I67" s="163" t="s">
        <v>135</v>
      </c>
      <c r="J67" s="163" t="s">
        <v>134</v>
      </c>
      <c r="K67" s="163" t="s">
        <v>135</v>
      </c>
      <c r="L67" s="163" t="s">
        <v>32</v>
      </c>
      <c r="M67" s="158"/>
      <c r="N67" s="156"/>
    </row>
    <row r="68" spans="1:14" x14ac:dyDescent="0.45">
      <c r="A68" s="16"/>
      <c r="B68" s="18"/>
      <c r="C68" s="159"/>
      <c r="D68" s="246"/>
      <c r="E68" s="160"/>
      <c r="F68" s="160"/>
      <c r="G68" s="160"/>
      <c r="H68" s="160"/>
      <c r="I68" s="160"/>
      <c r="J68" s="160"/>
      <c r="K68" s="160"/>
      <c r="L68" s="160"/>
      <c r="M68" s="158"/>
      <c r="N68" s="156"/>
    </row>
    <row r="69" spans="1:14" x14ac:dyDescent="0.45">
      <c r="A69" s="16"/>
      <c r="B69" s="18"/>
      <c r="C69" s="165" t="s">
        <v>182</v>
      </c>
      <c r="D69" s="244"/>
      <c r="E69" s="159"/>
      <c r="F69" s="167"/>
      <c r="G69" s="159"/>
      <c r="H69" s="159"/>
      <c r="I69" s="159"/>
      <c r="J69" s="166"/>
      <c r="K69" s="159"/>
      <c r="L69" s="159"/>
      <c r="M69" s="158"/>
      <c r="N69" s="156"/>
    </row>
    <row r="70" spans="1:14" x14ac:dyDescent="0.45">
      <c r="A70" s="16"/>
      <c r="B70" s="18"/>
      <c r="C70" s="165"/>
      <c r="D70" s="244"/>
      <c r="E70" s="159" t="s">
        <v>183</v>
      </c>
      <c r="F70" s="167" t="s">
        <v>171</v>
      </c>
      <c r="G70" s="159">
        <f>625+5640+10248+4491+480+9177+1305+6353+1791+825+13536+11721+5038+3854.41+4366.51+1990.72+9450+81704.53+68276+2427+174939+12613</f>
        <v>430851.17</v>
      </c>
      <c r="H70" s="159">
        <v>40</v>
      </c>
      <c r="I70" s="159">
        <f>44411-I71</f>
        <v>10267.309999999998</v>
      </c>
      <c r="J70" s="166">
        <v>40</v>
      </c>
      <c r="K70" s="159">
        <f>I70</f>
        <v>10267.309999999998</v>
      </c>
      <c r="L70" s="159">
        <f t="shared" ref="L70:L71" si="20">K70-I70</f>
        <v>0</v>
      </c>
      <c r="M70" s="158"/>
      <c r="N70" s="156"/>
    </row>
    <row r="71" spans="1:14" x14ac:dyDescent="0.45">
      <c r="A71" s="16"/>
      <c r="B71" s="18"/>
      <c r="C71" s="159"/>
      <c r="D71" s="244"/>
      <c r="E71" s="159" t="s">
        <v>184</v>
      </c>
      <c r="F71" s="167" t="s">
        <v>171</v>
      </c>
      <c r="G71" s="159">
        <f>1354580+3401+7748</f>
        <v>1365729</v>
      </c>
      <c r="H71" s="159">
        <v>40</v>
      </c>
      <c r="I71" s="159">
        <f>33865+85+193.69</f>
        <v>34143.69</v>
      </c>
      <c r="J71" s="166">
        <v>20</v>
      </c>
      <c r="K71" s="159">
        <f t="shared" ref="K71" si="21">G71/J71</f>
        <v>68286.45</v>
      </c>
      <c r="L71" s="159">
        <f t="shared" si="20"/>
        <v>34142.759999999995</v>
      </c>
      <c r="M71" s="158"/>
      <c r="N71" s="156"/>
    </row>
    <row r="72" spans="1:14" x14ac:dyDescent="0.45">
      <c r="A72" s="16"/>
      <c r="B72" s="18"/>
      <c r="C72" s="165" t="s">
        <v>185</v>
      </c>
      <c r="D72" s="244"/>
      <c r="E72" s="159"/>
      <c r="F72" s="167"/>
      <c r="G72" s="159"/>
      <c r="H72" s="159"/>
      <c r="I72" s="159"/>
      <c r="J72" s="166"/>
      <c r="K72" s="159"/>
      <c r="L72" s="159"/>
      <c r="M72" s="158"/>
      <c r="N72" s="156"/>
    </row>
    <row r="73" spans="1:14" x14ac:dyDescent="0.45">
      <c r="A73" s="16"/>
      <c r="B73" s="18"/>
      <c r="C73" s="159"/>
      <c r="D73" s="244"/>
      <c r="E73" s="159" t="s">
        <v>179</v>
      </c>
      <c r="F73" s="167" t="s">
        <v>171</v>
      </c>
      <c r="G73" s="159">
        <v>264887</v>
      </c>
      <c r="H73" s="159">
        <v>50</v>
      </c>
      <c r="I73" s="159">
        <v>5298</v>
      </c>
      <c r="J73" s="166">
        <v>50</v>
      </c>
      <c r="K73" s="159">
        <f t="shared" ref="K73" si="22">G73/J73</f>
        <v>5297.74</v>
      </c>
      <c r="L73" s="159">
        <f t="shared" ref="L73" si="23">K73-I73</f>
        <v>-0.26000000000021828</v>
      </c>
      <c r="M73" s="158"/>
      <c r="N73" s="156"/>
    </row>
    <row r="74" spans="1:14" x14ac:dyDescent="0.45">
      <c r="A74" s="16"/>
      <c r="B74" s="18"/>
      <c r="C74" s="165" t="s">
        <v>186</v>
      </c>
      <c r="D74" s="244"/>
      <c r="E74" s="159"/>
      <c r="F74" s="155"/>
      <c r="G74" s="159"/>
      <c r="H74" s="159"/>
      <c r="I74" s="159"/>
      <c r="J74" s="166"/>
      <c r="K74" s="159"/>
      <c r="L74" s="159"/>
      <c r="M74" s="158"/>
      <c r="N74" s="156"/>
    </row>
    <row r="75" spans="1:14" x14ac:dyDescent="0.45">
      <c r="A75" s="16"/>
      <c r="B75" s="18"/>
      <c r="C75" s="159"/>
      <c r="D75" s="244"/>
      <c r="E75" s="159" t="s">
        <v>187</v>
      </c>
      <c r="F75" s="167">
        <v>42736</v>
      </c>
      <c r="G75" s="159">
        <f>47343+2989</f>
        <v>50332</v>
      </c>
      <c r="H75" s="159">
        <v>7</v>
      </c>
      <c r="I75" s="159">
        <v>7361</v>
      </c>
      <c r="J75" s="166">
        <v>10</v>
      </c>
      <c r="K75" s="159">
        <f t="shared" ref="K75" si="24">G75/J75</f>
        <v>5033.2</v>
      </c>
      <c r="L75" s="159">
        <f t="shared" ref="L75" si="25">K75-I75</f>
        <v>-2327.8000000000002</v>
      </c>
      <c r="M75" s="158"/>
      <c r="N75" s="156"/>
    </row>
    <row r="76" spans="1:14" x14ac:dyDescent="0.45">
      <c r="A76" s="16"/>
      <c r="B76" s="18"/>
      <c r="C76" s="165" t="s">
        <v>188</v>
      </c>
      <c r="D76" s="244"/>
      <c r="E76" s="159"/>
      <c r="F76" s="155"/>
      <c r="G76" s="159"/>
      <c r="H76" s="159"/>
      <c r="I76" s="159"/>
      <c r="J76" s="166"/>
      <c r="K76" s="159"/>
      <c r="L76" s="159"/>
      <c r="M76" s="158"/>
      <c r="N76" s="156"/>
    </row>
    <row r="77" spans="1:14" x14ac:dyDescent="0.45">
      <c r="A77" s="16"/>
      <c r="B77" s="18"/>
      <c r="C77" s="159"/>
      <c r="D77" s="244"/>
      <c r="E77" s="159" t="s">
        <v>179</v>
      </c>
      <c r="F77" s="167" t="s">
        <v>171</v>
      </c>
      <c r="G77" s="159">
        <f>4995+5950+39460+2500+5056+3449</f>
        <v>61410</v>
      </c>
      <c r="H77" s="159" t="s">
        <v>173</v>
      </c>
      <c r="I77" s="159">
        <v>11653</v>
      </c>
      <c r="J77" s="166">
        <v>7</v>
      </c>
      <c r="K77" s="159">
        <f>G77/J77</f>
        <v>8772.8571428571431</v>
      </c>
      <c r="L77" s="159">
        <f t="shared" ref="L77" si="26">K77-I77</f>
        <v>-2880.1428571428569</v>
      </c>
      <c r="M77" s="158"/>
      <c r="N77" s="156"/>
    </row>
    <row r="78" spans="1:14" x14ac:dyDescent="0.45">
      <c r="A78" s="16"/>
      <c r="B78" s="18"/>
      <c r="C78" s="165" t="s">
        <v>189</v>
      </c>
      <c r="D78" s="244"/>
      <c r="E78" s="159"/>
      <c r="F78" s="155"/>
      <c r="G78" s="159"/>
      <c r="H78" s="159"/>
      <c r="I78" s="159"/>
      <c r="J78" s="166"/>
      <c r="K78" s="159"/>
      <c r="L78" s="159"/>
      <c r="M78" s="158"/>
      <c r="N78" s="156"/>
    </row>
    <row r="79" spans="1:14" x14ac:dyDescent="0.45">
      <c r="A79" s="16"/>
      <c r="B79" s="18"/>
      <c r="C79" s="159"/>
      <c r="D79" s="244"/>
      <c r="E79" s="159" t="s">
        <v>179</v>
      </c>
      <c r="F79" s="167" t="s">
        <v>171</v>
      </c>
      <c r="G79" s="159">
        <f>8633+67395+61495+3695</f>
        <v>141218</v>
      </c>
      <c r="H79" s="159" t="s">
        <v>173</v>
      </c>
      <c r="I79" s="159">
        <f>739+1452+844+120</f>
        <v>3155</v>
      </c>
      <c r="J79" s="166">
        <v>12.5</v>
      </c>
      <c r="K79" s="159">
        <f>G79/J79</f>
        <v>11297.44</v>
      </c>
      <c r="L79" s="159">
        <f t="shared" ref="L79" si="27">K79-I79</f>
        <v>8142.4400000000005</v>
      </c>
      <c r="M79" s="158"/>
      <c r="N79" s="156"/>
    </row>
    <row r="80" spans="1:14" x14ac:dyDescent="0.45">
      <c r="A80" s="16"/>
      <c r="B80" s="18"/>
      <c r="C80" s="165" t="s">
        <v>190</v>
      </c>
      <c r="D80" s="244"/>
      <c r="E80" s="159"/>
      <c r="F80" s="155"/>
      <c r="G80" s="159"/>
      <c r="H80" s="159"/>
      <c r="I80" s="159"/>
      <c r="J80" s="166"/>
      <c r="K80" s="159"/>
      <c r="L80" s="159"/>
      <c r="M80" s="158"/>
      <c r="N80" s="156"/>
    </row>
    <row r="81" spans="1:14" x14ac:dyDescent="0.45">
      <c r="A81" s="16"/>
      <c r="B81" s="18"/>
      <c r="C81" s="159"/>
      <c r="D81" s="244">
        <v>367</v>
      </c>
      <c r="E81" s="159" t="s">
        <v>191</v>
      </c>
      <c r="F81" s="167">
        <v>43194</v>
      </c>
      <c r="G81" s="159">
        <v>1400</v>
      </c>
      <c r="H81" s="159">
        <v>7</v>
      </c>
      <c r="I81" s="159">
        <v>200</v>
      </c>
      <c r="J81" s="159">
        <v>10</v>
      </c>
      <c r="K81" s="159">
        <f>G81/J81</f>
        <v>140</v>
      </c>
      <c r="L81" s="159">
        <f t="shared" ref="L81" si="28">K81-I81</f>
        <v>-60</v>
      </c>
      <c r="M81" s="158"/>
      <c r="N81" s="156"/>
    </row>
    <row r="82" spans="1:14" x14ac:dyDescent="0.45">
      <c r="A82" s="16"/>
      <c r="B82" s="18"/>
      <c r="C82" s="159"/>
      <c r="D82" s="244"/>
      <c r="E82" s="159"/>
      <c r="F82" s="159"/>
      <c r="G82" s="159"/>
      <c r="H82" s="159"/>
      <c r="I82" s="159"/>
      <c r="J82" s="166"/>
      <c r="K82" s="159"/>
      <c r="L82" s="159"/>
      <c r="M82" s="158"/>
      <c r="N82" s="156"/>
    </row>
    <row r="83" spans="1:14" x14ac:dyDescent="0.45">
      <c r="A83" s="16"/>
      <c r="B83" s="18"/>
      <c r="C83" s="159"/>
      <c r="D83" s="244"/>
      <c r="E83" s="173" t="s">
        <v>54</v>
      </c>
      <c r="F83" s="173"/>
      <c r="G83" s="173"/>
      <c r="H83" s="173"/>
      <c r="I83" s="174">
        <f>SUM(I13:I81)</f>
        <v>850689.20555555541</v>
      </c>
      <c r="J83" s="174"/>
      <c r="K83" s="174">
        <f>SUM(K13:K81)</f>
        <v>802550.63655086572</v>
      </c>
      <c r="L83" s="174">
        <f>SUM(L13:L81)</f>
        <v>-48138.569004689743</v>
      </c>
      <c r="M83" s="158"/>
      <c r="N83" s="156"/>
    </row>
    <row r="84" spans="1:14" x14ac:dyDescent="0.45">
      <c r="A84" s="16"/>
      <c r="B84" s="18"/>
      <c r="C84" s="159"/>
      <c r="D84" s="244"/>
      <c r="E84" s="173"/>
      <c r="F84" s="173"/>
      <c r="G84" s="173"/>
      <c r="H84" s="173"/>
      <c r="I84" s="174"/>
      <c r="J84" s="174"/>
      <c r="K84" s="174"/>
      <c r="L84" s="174"/>
      <c r="M84" s="158"/>
      <c r="N84" s="156"/>
    </row>
    <row r="85" spans="1:14" ht="18" x14ac:dyDescent="0.55000000000000004">
      <c r="A85" s="16"/>
      <c r="B85" s="18"/>
      <c r="C85" s="164" t="s">
        <v>192</v>
      </c>
      <c r="D85" s="244"/>
      <c r="E85" s="173"/>
      <c r="F85" s="173"/>
      <c r="G85" s="173"/>
      <c r="H85" s="173"/>
      <c r="I85" s="174"/>
      <c r="J85" s="174"/>
      <c r="K85" s="174"/>
      <c r="L85" s="174"/>
      <c r="M85" s="158"/>
      <c r="N85" s="156"/>
    </row>
    <row r="86" spans="1:14" x14ac:dyDescent="0.45">
      <c r="A86" s="16"/>
      <c r="B86" s="18"/>
      <c r="C86" s="159"/>
      <c r="D86" s="244"/>
      <c r="E86" s="159"/>
      <c r="F86" s="159"/>
      <c r="G86" s="159"/>
      <c r="H86" s="159"/>
      <c r="I86" s="159"/>
      <c r="J86" s="159"/>
      <c r="K86" s="159"/>
      <c r="L86" s="160"/>
      <c r="M86" s="158"/>
      <c r="N86" s="156"/>
    </row>
    <row r="87" spans="1:14" x14ac:dyDescent="0.45">
      <c r="A87" s="16"/>
      <c r="B87" s="18"/>
      <c r="C87" s="165" t="s">
        <v>193</v>
      </c>
      <c r="D87" s="244"/>
      <c r="E87" s="159"/>
      <c r="F87" s="167"/>
      <c r="G87" s="159"/>
      <c r="H87" s="159"/>
      <c r="I87" s="159"/>
      <c r="J87" s="166"/>
      <c r="K87" s="159"/>
      <c r="L87" s="159"/>
      <c r="M87" s="158"/>
      <c r="N87" s="156"/>
    </row>
    <row r="88" spans="1:14" x14ac:dyDescent="0.45">
      <c r="A88" s="16"/>
      <c r="B88" s="18"/>
      <c r="C88" s="159"/>
      <c r="D88" s="244"/>
      <c r="E88" s="159" t="s">
        <v>179</v>
      </c>
      <c r="F88" s="167" t="s">
        <v>171</v>
      </c>
      <c r="G88" s="159">
        <f>133789-31403-1909-1243-518</f>
        <v>98716</v>
      </c>
      <c r="H88" s="159">
        <v>50</v>
      </c>
      <c r="I88" s="159">
        <v>1974</v>
      </c>
      <c r="J88" s="166">
        <v>20</v>
      </c>
      <c r="K88" s="159">
        <f t="shared" ref="K88" si="29">G88/J88</f>
        <v>4935.8</v>
      </c>
      <c r="L88" s="159">
        <f t="shared" ref="L88" si="30">K88-I88</f>
        <v>2961.8</v>
      </c>
      <c r="M88" s="158"/>
      <c r="N88" s="156"/>
    </row>
    <row r="89" spans="1:14" x14ac:dyDescent="0.45">
      <c r="A89" s="16"/>
      <c r="B89" s="18"/>
      <c r="C89" s="165" t="s">
        <v>194</v>
      </c>
      <c r="D89" s="244"/>
      <c r="E89" s="159"/>
      <c r="F89" s="167"/>
      <c r="G89" s="159"/>
      <c r="H89" s="159"/>
      <c r="I89" s="159"/>
      <c r="J89" s="166"/>
      <c r="K89" s="159"/>
      <c r="L89" s="159"/>
      <c r="M89" s="158"/>
      <c r="N89" s="156"/>
    </row>
    <row r="90" spans="1:14" x14ac:dyDescent="0.45">
      <c r="A90" s="16"/>
      <c r="B90" s="18"/>
      <c r="C90" s="159"/>
      <c r="D90" s="244"/>
      <c r="E90" s="159" t="s">
        <v>179</v>
      </c>
      <c r="F90" s="167" t="s">
        <v>171</v>
      </c>
      <c r="G90" s="159">
        <f>50046-900</f>
        <v>49146</v>
      </c>
      <c r="H90" s="159">
        <v>45</v>
      </c>
      <c r="I90" s="159">
        <v>1112</v>
      </c>
      <c r="J90" s="166">
        <v>45</v>
      </c>
      <c r="K90" s="159">
        <v>1112</v>
      </c>
      <c r="L90" s="159">
        <f t="shared" ref="L90" si="31">K90-I90</f>
        <v>0</v>
      </c>
      <c r="M90" s="158"/>
      <c r="N90" s="156"/>
    </row>
    <row r="91" spans="1:14" x14ac:dyDescent="0.45">
      <c r="A91" s="16"/>
      <c r="B91" s="18"/>
      <c r="C91" s="165" t="s">
        <v>178</v>
      </c>
      <c r="D91" s="244"/>
      <c r="E91" s="159"/>
      <c r="F91" s="167"/>
      <c r="G91" s="159"/>
      <c r="H91" s="159"/>
      <c r="I91" s="159"/>
      <c r="J91" s="166"/>
      <c r="K91" s="159"/>
      <c r="L91" s="159"/>
      <c r="M91" s="158"/>
      <c r="N91" s="156"/>
    </row>
    <row r="92" spans="1:14" x14ac:dyDescent="0.45">
      <c r="A92" s="16"/>
      <c r="B92" s="18"/>
      <c r="C92" s="159"/>
      <c r="D92" s="244"/>
      <c r="E92" s="159" t="s">
        <v>179</v>
      </c>
      <c r="F92" s="167" t="s">
        <v>171</v>
      </c>
      <c r="G92" s="159">
        <f>1198933-967123</f>
        <v>231810</v>
      </c>
      <c r="H92" s="159">
        <v>50</v>
      </c>
      <c r="I92" s="159">
        <v>4636</v>
      </c>
      <c r="J92" s="166">
        <v>62.5</v>
      </c>
      <c r="K92" s="159">
        <f>G92/J92</f>
        <v>3708.96</v>
      </c>
      <c r="L92" s="159">
        <f t="shared" ref="L92" si="32">K92-I92</f>
        <v>-927.04</v>
      </c>
      <c r="M92" s="158"/>
      <c r="N92" s="156"/>
    </row>
    <row r="93" spans="1:14" x14ac:dyDescent="0.45">
      <c r="A93" s="16"/>
      <c r="B93" s="18"/>
      <c r="C93" s="165" t="s">
        <v>195</v>
      </c>
      <c r="D93" s="244"/>
      <c r="E93" s="159"/>
      <c r="F93" s="167"/>
      <c r="G93" s="159"/>
      <c r="H93" s="159"/>
      <c r="I93" s="159"/>
      <c r="J93" s="166"/>
      <c r="K93" s="159"/>
      <c r="L93" s="159"/>
      <c r="M93" s="158"/>
      <c r="N93" s="156"/>
    </row>
    <row r="94" spans="1:14" x14ac:dyDescent="0.45">
      <c r="A94" s="16"/>
      <c r="B94" s="18"/>
      <c r="C94" s="159"/>
      <c r="D94" s="244"/>
      <c r="E94" s="159" t="s">
        <v>179</v>
      </c>
      <c r="F94" s="167" t="s">
        <v>171</v>
      </c>
      <c r="G94" s="159">
        <v>120550</v>
      </c>
      <c r="H94" s="159">
        <v>50</v>
      </c>
      <c r="I94" s="159">
        <v>2397</v>
      </c>
      <c r="J94" s="166">
        <v>40</v>
      </c>
      <c r="K94" s="159">
        <f t="shared" ref="K94" si="33">G94/J94</f>
        <v>3013.75</v>
      </c>
      <c r="L94" s="159">
        <f t="shared" ref="L94" si="34">K94-I94</f>
        <v>616.75</v>
      </c>
      <c r="M94" s="158"/>
      <c r="N94" s="156"/>
    </row>
    <row r="95" spans="1:14" x14ac:dyDescent="0.45">
      <c r="A95" s="16"/>
      <c r="B95" s="18"/>
      <c r="C95" s="165" t="s">
        <v>182</v>
      </c>
      <c r="D95" s="244"/>
      <c r="E95" s="159"/>
      <c r="F95" s="167"/>
      <c r="G95" s="159"/>
      <c r="H95" s="159"/>
      <c r="I95" s="159"/>
      <c r="J95" s="166"/>
      <c r="K95" s="159"/>
      <c r="L95" s="159"/>
      <c r="M95" s="158"/>
      <c r="N95" s="156"/>
    </row>
    <row r="96" spans="1:14" x14ac:dyDescent="0.45">
      <c r="A96" s="16"/>
      <c r="B96" s="18"/>
      <c r="C96" s="159"/>
      <c r="D96" s="244"/>
      <c r="E96" s="159" t="s">
        <v>179</v>
      </c>
      <c r="F96" s="167" t="s">
        <v>171</v>
      </c>
      <c r="G96" s="159">
        <v>207267</v>
      </c>
      <c r="H96" s="159">
        <v>40</v>
      </c>
      <c r="I96" s="159">
        <v>3238</v>
      </c>
      <c r="J96" s="166">
        <v>40</v>
      </c>
      <c r="K96" s="159">
        <f>I96</f>
        <v>3238</v>
      </c>
      <c r="L96" s="159">
        <f t="shared" ref="L96" si="35">K96-I96</f>
        <v>0</v>
      </c>
      <c r="M96" s="158"/>
      <c r="N96" s="156"/>
    </row>
    <row r="97" spans="1:14" x14ac:dyDescent="0.45">
      <c r="A97" s="16"/>
      <c r="B97" s="18"/>
      <c r="C97" s="159"/>
      <c r="D97" s="244"/>
      <c r="E97" s="159"/>
      <c r="F97" s="159"/>
      <c r="G97" s="159"/>
      <c r="H97" s="159"/>
      <c r="I97" s="159"/>
      <c r="J97" s="166"/>
      <c r="K97" s="159"/>
      <c r="L97" s="159"/>
      <c r="M97" s="158"/>
      <c r="N97" s="156"/>
    </row>
    <row r="98" spans="1:14" x14ac:dyDescent="0.45">
      <c r="A98" s="16"/>
      <c r="B98" s="18"/>
      <c r="C98" s="159"/>
      <c r="D98" s="244"/>
      <c r="E98" s="173" t="s">
        <v>54</v>
      </c>
      <c r="F98" s="173"/>
      <c r="G98" s="173"/>
      <c r="H98" s="173"/>
      <c r="I98" s="174">
        <f>SUM(I87:I96)</f>
        <v>13357</v>
      </c>
      <c r="J98" s="174"/>
      <c r="K98" s="174">
        <f>SUM(K87:K96)</f>
        <v>16008.51</v>
      </c>
      <c r="L98" s="174">
        <f>SUM(L87:L96)</f>
        <v>2651.51</v>
      </c>
      <c r="M98" s="158"/>
      <c r="N98" s="156"/>
    </row>
    <row r="99" spans="1:14" x14ac:dyDescent="0.45">
      <c r="A99" s="16"/>
      <c r="B99" s="18"/>
      <c r="C99" s="159"/>
      <c r="D99" s="244"/>
      <c r="E99" s="173"/>
      <c r="F99" s="173"/>
      <c r="G99" s="173"/>
      <c r="H99" s="173"/>
      <c r="I99" s="174"/>
      <c r="J99" s="174"/>
      <c r="K99" s="174"/>
      <c r="L99" s="174"/>
      <c r="M99" s="158"/>
      <c r="N99" s="156"/>
    </row>
    <row r="100" spans="1:14" x14ac:dyDescent="0.45">
      <c r="A100" s="16"/>
      <c r="B100" s="18"/>
      <c r="C100" s="159"/>
      <c r="D100" s="244"/>
      <c r="E100" s="173"/>
      <c r="F100" s="173"/>
      <c r="G100" s="173"/>
      <c r="H100" s="173"/>
      <c r="I100" s="174"/>
      <c r="J100" s="174"/>
      <c r="K100" s="174"/>
      <c r="L100" s="174"/>
      <c r="M100" s="158"/>
      <c r="N100" s="156"/>
    </row>
    <row r="101" spans="1:14" ht="15.75" x14ac:dyDescent="0.5">
      <c r="A101" s="16"/>
      <c r="B101" s="18"/>
      <c r="C101" s="16"/>
      <c r="D101" s="242"/>
      <c r="E101" s="175" t="s">
        <v>196</v>
      </c>
      <c r="F101" s="173"/>
      <c r="G101" s="173"/>
      <c r="H101" s="173"/>
      <c r="I101" s="174">
        <f>I83+I98</f>
        <v>864046.20555555541</v>
      </c>
      <c r="J101" s="174"/>
      <c r="K101" s="174">
        <f>K83+K98</f>
        <v>818559.14655086573</v>
      </c>
      <c r="L101" s="174">
        <f>L83+L98</f>
        <v>-45487.059004689741</v>
      </c>
      <c r="M101" s="158"/>
      <c r="N101" s="156"/>
    </row>
    <row r="102" spans="1:14" x14ac:dyDescent="0.45">
      <c r="A102" s="16"/>
      <c r="B102" s="176"/>
      <c r="C102" s="168"/>
      <c r="D102" s="248"/>
      <c r="E102" s="168"/>
      <c r="F102" s="168"/>
      <c r="G102" s="168"/>
      <c r="H102" s="168"/>
      <c r="I102" s="168"/>
      <c r="J102" s="170"/>
      <c r="K102" s="168"/>
      <c r="L102" s="168"/>
      <c r="M102" s="177"/>
      <c r="N102" s="156"/>
    </row>
    <row r="103" spans="1:14" x14ac:dyDescent="0.45">
      <c r="A103" s="16"/>
      <c r="B103" s="16"/>
      <c r="C103" s="156"/>
      <c r="D103" s="242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</row>
    <row r="104" spans="1:14" x14ac:dyDescent="0.45">
      <c r="A104" s="16"/>
      <c r="B104" s="16"/>
      <c r="C104" s="156"/>
      <c r="D104" s="249" t="s">
        <v>181</v>
      </c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</row>
    <row r="110" spans="1:14" ht="42.75" x14ac:dyDescent="0.45">
      <c r="D110" s="250"/>
      <c r="E110" s="251" t="s">
        <v>265</v>
      </c>
      <c r="F110" s="252" t="s">
        <v>259</v>
      </c>
      <c r="G110" s="252" t="s">
        <v>260</v>
      </c>
    </row>
    <row r="111" spans="1:14" ht="43.5" customHeight="1" x14ac:dyDescent="0.45">
      <c r="D111" s="250" t="s">
        <v>261</v>
      </c>
      <c r="E111" s="253">
        <v>44306319</v>
      </c>
      <c r="F111" s="253">
        <v>26050979</v>
      </c>
      <c r="G111" s="253">
        <f>E111-F111</f>
        <v>18255340</v>
      </c>
    </row>
    <row r="112" spans="1:14" x14ac:dyDescent="0.45">
      <c r="D112" s="250"/>
      <c r="E112" s="253"/>
      <c r="F112" s="253"/>
      <c r="G112" s="253"/>
    </row>
    <row r="113" spans="4:7" ht="42.75" x14ac:dyDescent="0.45">
      <c r="D113" s="250" t="s">
        <v>262</v>
      </c>
      <c r="E113" s="253"/>
      <c r="F113" s="253"/>
      <c r="G113" s="253"/>
    </row>
    <row r="114" spans="4:7" ht="28.5" x14ac:dyDescent="0.45">
      <c r="D114" s="250" t="s">
        <v>263</v>
      </c>
      <c r="E114" s="253">
        <v>42539978.539999999</v>
      </c>
      <c r="F114" s="253">
        <v>24405754.420000002</v>
      </c>
      <c r="G114" s="253">
        <f>E114-F114</f>
        <v>18134224.119999997</v>
      </c>
    </row>
    <row r="115" spans="4:7" ht="28.5" x14ac:dyDescent="0.45">
      <c r="D115" s="250" t="s">
        <v>264</v>
      </c>
      <c r="E115" s="254">
        <v>1766340.49</v>
      </c>
      <c r="F115" s="254">
        <v>1645224.67</v>
      </c>
      <c r="G115" s="254">
        <f>E115-F115</f>
        <v>121115.82000000007</v>
      </c>
    </row>
    <row r="116" spans="4:7" x14ac:dyDescent="0.45">
      <c r="D116" s="250"/>
      <c r="E116" s="253">
        <f>E114+E115</f>
        <v>44306319.030000001</v>
      </c>
      <c r="F116" s="253">
        <f>F114+F115</f>
        <v>26050979.090000004</v>
      </c>
      <c r="G116" s="253">
        <f>G114+G115</f>
        <v>18255339.939999998</v>
      </c>
    </row>
  </sheetData>
  <mergeCells count="4">
    <mergeCell ref="C3:L3"/>
    <mergeCell ref="C4:L4"/>
    <mergeCell ref="D6:E6"/>
    <mergeCell ref="D66:E66"/>
  </mergeCells>
  <pageMargins left="0.7" right="0.7" top="0.75" bottom="0.75" header="0.3" footer="0.3"/>
  <pageSetup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P26"/>
  <sheetViews>
    <sheetView showGridLines="0" topLeftCell="A3" workbookViewId="0">
      <selection activeCell="M25" sqref="M25"/>
    </sheetView>
  </sheetViews>
  <sheetFormatPr defaultRowHeight="15" x14ac:dyDescent="0.4"/>
  <cols>
    <col min="1" max="1" width="1.77734375" customWidth="1"/>
    <col min="2" max="2" width="17.77734375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16" ht="15.4" x14ac:dyDescent="0.4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2:16" ht="15.4" x14ac:dyDescent="0.45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16"/>
      <c r="P2" s="16"/>
    </row>
    <row r="3" spans="2:16" ht="18" x14ac:dyDescent="0.55000000000000004">
      <c r="B3" s="69" t="s">
        <v>214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61"/>
      <c r="O3" s="16"/>
      <c r="P3" s="16"/>
    </row>
    <row r="4" spans="2:16" ht="18" x14ac:dyDescent="0.55000000000000004">
      <c r="B4" s="71" t="s">
        <v>59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61"/>
      <c r="O4" s="16"/>
      <c r="P4" s="16"/>
    </row>
    <row r="5" spans="2:16" ht="15.75" x14ac:dyDescent="0.45">
      <c r="B5" s="73" t="s">
        <v>114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61"/>
      <c r="O5" s="16"/>
      <c r="P5" s="16"/>
    </row>
    <row r="6" spans="2:16" ht="15.75" x14ac:dyDescent="0.5">
      <c r="B6" s="74" t="s">
        <v>217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61"/>
      <c r="O6" s="16"/>
      <c r="P6" s="16"/>
    </row>
    <row r="7" spans="2:16" ht="15.4" x14ac:dyDescent="0.45">
      <c r="B7" s="76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61"/>
      <c r="O7" s="16"/>
      <c r="P7" s="16"/>
    </row>
    <row r="8" spans="2:16" ht="15.4" x14ac:dyDescent="0.45">
      <c r="B8" s="77"/>
      <c r="C8" s="78"/>
      <c r="D8" s="79"/>
      <c r="E8" s="78"/>
      <c r="F8" s="80"/>
      <c r="G8" s="78"/>
      <c r="H8" s="80"/>
      <c r="I8" s="78"/>
      <c r="J8" s="80"/>
      <c r="K8" s="78"/>
      <c r="L8" s="80"/>
      <c r="M8" s="79"/>
      <c r="N8" s="68"/>
      <c r="O8" s="16"/>
      <c r="P8" s="16"/>
    </row>
    <row r="9" spans="2:16" ht="16.5" x14ac:dyDescent="0.45">
      <c r="B9" s="81"/>
      <c r="C9" s="224" t="s">
        <v>60</v>
      </c>
      <c r="D9" s="225"/>
      <c r="E9" s="224" t="s">
        <v>61</v>
      </c>
      <c r="F9" s="225"/>
      <c r="G9" s="224" t="s">
        <v>99</v>
      </c>
      <c r="H9" s="225"/>
      <c r="I9" s="224" t="s">
        <v>115</v>
      </c>
      <c r="J9" s="225"/>
      <c r="K9" s="224" t="s">
        <v>216</v>
      </c>
      <c r="L9" s="225"/>
      <c r="M9" s="16"/>
      <c r="N9" s="61"/>
      <c r="O9" s="16"/>
      <c r="P9" s="16"/>
    </row>
    <row r="10" spans="2:16" ht="16.5" x14ac:dyDescent="0.45">
      <c r="B10" s="81"/>
      <c r="C10" s="82"/>
      <c r="D10" s="83" t="s">
        <v>62</v>
      </c>
      <c r="E10" s="84"/>
      <c r="F10" s="83" t="s">
        <v>62</v>
      </c>
      <c r="G10" s="84"/>
      <c r="H10" s="83" t="s">
        <v>62</v>
      </c>
      <c r="I10" s="84"/>
      <c r="J10" s="83" t="s">
        <v>62</v>
      </c>
      <c r="K10" s="84"/>
      <c r="L10" s="83" t="s">
        <v>62</v>
      </c>
      <c r="M10" s="16"/>
      <c r="N10" s="61"/>
      <c r="O10" s="16"/>
      <c r="P10" s="16"/>
    </row>
    <row r="11" spans="2:16" ht="16.5" x14ac:dyDescent="0.45">
      <c r="B11" s="81"/>
      <c r="C11" s="82" t="s">
        <v>63</v>
      </c>
      <c r="D11" s="85" t="s">
        <v>64</v>
      </c>
      <c r="E11" s="82" t="s">
        <v>63</v>
      </c>
      <c r="F11" s="85" t="s">
        <v>64</v>
      </c>
      <c r="G11" s="82" t="s">
        <v>63</v>
      </c>
      <c r="H11" s="85" t="s">
        <v>64</v>
      </c>
      <c r="I11" s="82" t="s">
        <v>63</v>
      </c>
      <c r="J11" s="85" t="s">
        <v>64</v>
      </c>
      <c r="K11" s="82" t="s">
        <v>63</v>
      </c>
      <c r="L11" s="85" t="s">
        <v>64</v>
      </c>
      <c r="M11" s="86" t="s">
        <v>54</v>
      </c>
      <c r="N11" s="61"/>
      <c r="O11" s="16"/>
      <c r="P11" s="16"/>
    </row>
    <row r="12" spans="2:16" ht="15.4" x14ac:dyDescent="0.45">
      <c r="B12" s="87" t="s">
        <v>116</v>
      </c>
      <c r="C12" s="88">
        <f>6798.28+6917.31+7319.62+6856.87+7035.86+6895.75+7073.59+6934.84+6954.25+7130.37+6993.67+7168.61</f>
        <v>84079.01999999999</v>
      </c>
      <c r="D12" s="89">
        <f>5043.44+5024.16+4521.88+4985.5+4806.33+4945.13+4768.05+4907.74+4887.45+4712.63+4848.37+4673.19</f>
        <v>58123.869999999995</v>
      </c>
      <c r="E12" s="88">
        <f>7033.31+7052.99+7533.09+7093.81+7265.79+7134+7304.79+7174.41+7194.48+4363.5+7235.22+7403.04</f>
        <v>83788.429999999993</v>
      </c>
      <c r="F12" s="89">
        <f>4810.09+4788.89+4308.82+4748.92+4576.18+4708.28+4538.54+4667.93+4647.64+4479.3+4607.22+4439.18</f>
        <v>55320.990000000005</v>
      </c>
      <c r="G12" s="88">
        <f>7276.19+7296.55+7753.7+7338.68+7503.43+7380.21+7543.73+7421.98+7442.75+7604.43+7484.86+7645.29</f>
        <v>89691.799999999988</v>
      </c>
      <c r="H12" s="89">
        <f>4566.99+4545.73+4089.94+4505.84+4338.97+4462.47+4299.4+4420.77+4399.79+4238.15+4357.99+4198.71</f>
        <v>52424.75</v>
      </c>
      <c r="I12" s="131">
        <f>7527.21+7548.27+7844.26+7591.34+7748.64+7634.28+7790.29+7677.45+7698.93+7853.04+7742.45+7895.28</f>
        <v>92551.439999999988</v>
      </c>
      <c r="J12" s="132">
        <f>4315.72+4294.45+3999.18+4251.92+4094.2+4210.22+4052.61+4165.72+4144.74+3989.98+4100.83+3947.81</f>
        <v>49567.380000000005</v>
      </c>
      <c r="K12" s="131">
        <f>7786.22+7808.01+8216.95+7852.896+8002.42+7897.23+8045.47+7941.85+7964.08+8110.34+8009.06+8154</f>
        <v>95788.525999999983</v>
      </c>
      <c r="L12" s="132">
        <f>4057.13+4036.56+3626.25+3991.05+3840.86+3947.03+3797.88+3901.76+3879.36+3733.13+3836.12+3689.55</f>
        <v>46336.680000000008</v>
      </c>
      <c r="M12" s="90">
        <f>SUM(C12:L12)</f>
        <v>707672.88599999994</v>
      </c>
      <c r="N12" s="61"/>
      <c r="O12" s="16"/>
      <c r="P12" s="16"/>
    </row>
    <row r="13" spans="2:16" ht="15.4" x14ac:dyDescent="0.45">
      <c r="B13" s="87" t="s">
        <v>122</v>
      </c>
      <c r="C13" s="88">
        <f>3963.48+3970.31+3979.13+3984+3990.98</f>
        <v>19887.900000000001</v>
      </c>
      <c r="D13" s="155">
        <f>38.42+31.61+22.79+17.93+11.08</f>
        <v>121.83</v>
      </c>
      <c r="E13" s="88"/>
      <c r="F13" s="155"/>
      <c r="G13" s="88"/>
      <c r="H13" s="155"/>
      <c r="I13" s="131"/>
      <c r="J13" s="132"/>
      <c r="K13" s="131"/>
      <c r="L13" s="132"/>
      <c r="M13" s="90">
        <f>SUM(C13:L13)</f>
        <v>20009.730000000003</v>
      </c>
      <c r="N13" s="61"/>
      <c r="O13" s="16"/>
      <c r="P13" s="16"/>
    </row>
    <row r="14" spans="2:16" ht="15.4" x14ac:dyDescent="0.45">
      <c r="B14" s="87" t="s">
        <v>117</v>
      </c>
      <c r="C14" s="88">
        <f>2034.99+2042.75+2050.53+20558.34+2066.18+2074.05+2081.94</f>
        <v>32908.78</v>
      </c>
      <c r="D14" s="155">
        <f>54.95+47.2+39.42+31.61+23.77+15.9+8</f>
        <v>220.85000000000002</v>
      </c>
      <c r="E14" s="88"/>
      <c r="F14" s="155"/>
      <c r="G14" s="88"/>
      <c r="H14" s="155"/>
      <c r="I14" s="131"/>
      <c r="J14" s="132"/>
      <c r="K14" s="131"/>
      <c r="L14" s="132"/>
      <c r="M14" s="90">
        <f t="shared" ref="M14:M18" si="0">SUM(C14:L14)</f>
        <v>33129.629999999997</v>
      </c>
      <c r="N14" s="61"/>
      <c r="O14" s="16"/>
      <c r="P14" s="16"/>
    </row>
    <row r="15" spans="2:16" ht="15.4" x14ac:dyDescent="0.45">
      <c r="B15" s="87" t="s">
        <v>118</v>
      </c>
      <c r="C15" s="88">
        <f>587.96+590.45+592.95+585.45+597.97+600.5+603.04+605.59+608.15+610.72+603.3+615.89</f>
        <v>7201.9700000000012</v>
      </c>
      <c r="D15" s="155">
        <f>48.87+46.38+43.89+41.38+38.86+36.34+33.8+31.25+28.69+26.12+23.54+20.94+18.34</f>
        <v>438.4</v>
      </c>
      <c r="E15" s="88">
        <f>618.49+621.11+623.73+626.37+629.02+631.68+585.59</f>
        <v>4335.99</v>
      </c>
      <c r="F15" s="155">
        <f>18.34+15.73+13.1+10.46+7.82+5.26+2.49</f>
        <v>73.2</v>
      </c>
      <c r="G15" s="88"/>
      <c r="H15" s="155"/>
      <c r="I15" s="131"/>
      <c r="J15" s="132"/>
      <c r="K15" s="131"/>
      <c r="L15" s="132"/>
      <c r="M15" s="90">
        <f t="shared" si="0"/>
        <v>12049.560000000001</v>
      </c>
      <c r="N15" s="61"/>
      <c r="O15" s="16"/>
      <c r="P15" s="16"/>
    </row>
    <row r="16" spans="2:16" ht="15.4" x14ac:dyDescent="0.45">
      <c r="B16" s="87" t="s">
        <v>119</v>
      </c>
      <c r="C16" s="88">
        <v>11500</v>
      </c>
      <c r="D16" s="155">
        <f>4556.25+4426.88</f>
        <v>8983.130000000001</v>
      </c>
      <c r="E16" s="88">
        <v>12000</v>
      </c>
      <c r="F16" s="155">
        <f>4426.88+4291.88</f>
        <v>8718.76</v>
      </c>
      <c r="G16" s="88">
        <v>12000</v>
      </c>
      <c r="H16" s="155">
        <f>4291.88+4156.88</f>
        <v>8448.76</v>
      </c>
      <c r="I16" s="131">
        <v>12500</v>
      </c>
      <c r="J16" s="132">
        <f>4156.88+4016.25</f>
        <v>8173.13</v>
      </c>
      <c r="K16" s="131">
        <v>13000</v>
      </c>
      <c r="L16" s="132">
        <f>4016.25+3870</f>
        <v>7886.25</v>
      </c>
      <c r="M16" s="90">
        <f t="shared" si="0"/>
        <v>103210.03</v>
      </c>
      <c r="N16" s="61"/>
      <c r="O16" s="16"/>
      <c r="P16" s="16"/>
    </row>
    <row r="17" spans="2:16" ht="15.4" x14ac:dyDescent="0.45">
      <c r="B17" s="87" t="s">
        <v>120</v>
      </c>
      <c r="C17" s="88"/>
      <c r="D17" s="155"/>
      <c r="E17" s="88"/>
      <c r="F17" s="155"/>
      <c r="G17" s="88"/>
      <c r="H17" s="155"/>
      <c r="I17" s="131"/>
      <c r="J17" s="132"/>
      <c r="K17" s="131"/>
      <c r="L17" s="132"/>
      <c r="M17" s="90">
        <f t="shared" si="0"/>
        <v>0</v>
      </c>
      <c r="N17" s="61"/>
      <c r="O17" s="16"/>
      <c r="P17" s="16"/>
    </row>
    <row r="18" spans="2:16" ht="15.4" x14ac:dyDescent="0.45">
      <c r="B18" s="87" t="s">
        <v>121</v>
      </c>
      <c r="C18" s="88">
        <f>65753.56+66739.86</f>
        <v>132493.41999999998</v>
      </c>
      <c r="D18" s="155">
        <f>5157.2+4156.83+409.62+343.86</f>
        <v>10067.51</v>
      </c>
      <c r="E18" s="88">
        <f>67740.96+68757.08</f>
        <v>136498.04</v>
      </c>
      <c r="F18" s="155">
        <f>4156.83+3140.71+277.12+209.38</f>
        <v>7784.04</v>
      </c>
      <c r="G18" s="88">
        <f>69788.43+70835.26</f>
        <v>140623.69</v>
      </c>
      <c r="H18" s="155">
        <f>2109.36+1062.53+140.62+70.84</f>
        <v>3383.3500000000004</v>
      </c>
      <c r="I18" s="131"/>
      <c r="J18" s="132"/>
      <c r="K18" s="131"/>
      <c r="L18" s="132"/>
      <c r="M18" s="90">
        <f t="shared" si="0"/>
        <v>430850.04999999993</v>
      </c>
      <c r="N18" s="61"/>
      <c r="O18" s="16"/>
      <c r="P18" s="16"/>
    </row>
    <row r="19" spans="2:16" ht="15.4" x14ac:dyDescent="0.45">
      <c r="B19" s="91"/>
      <c r="C19" s="92"/>
      <c r="D19" s="93"/>
      <c r="E19" s="92"/>
      <c r="F19" s="93"/>
      <c r="G19" s="92"/>
      <c r="H19" s="93"/>
      <c r="I19" s="92"/>
      <c r="J19" s="93"/>
      <c r="K19" s="92"/>
      <c r="L19" s="94"/>
      <c r="M19" s="90"/>
      <c r="N19" s="61"/>
      <c r="O19" s="16"/>
      <c r="P19" s="16"/>
    </row>
    <row r="20" spans="2:16" ht="15.4" x14ac:dyDescent="0.45">
      <c r="B20" s="62" t="s">
        <v>54</v>
      </c>
      <c r="C20" s="95">
        <f>SUM(C12:C19)</f>
        <v>288071.08999999997</v>
      </c>
      <c r="D20" s="96">
        <f t="shared" ref="D20:L20" si="1">SUM(D12:D19)</f>
        <v>77955.59</v>
      </c>
      <c r="E20" s="95">
        <f t="shared" si="1"/>
        <v>236622.46000000002</v>
      </c>
      <c r="F20" s="97">
        <f t="shared" si="1"/>
        <v>71896.990000000005</v>
      </c>
      <c r="G20" s="95">
        <f t="shared" si="1"/>
        <v>242315.49</v>
      </c>
      <c r="H20" s="97">
        <f t="shared" si="1"/>
        <v>64256.86</v>
      </c>
      <c r="I20" s="95">
        <f t="shared" si="1"/>
        <v>105051.43999999999</v>
      </c>
      <c r="J20" s="97">
        <f t="shared" si="1"/>
        <v>57740.51</v>
      </c>
      <c r="K20" s="95">
        <f t="shared" si="1"/>
        <v>108788.52599999998</v>
      </c>
      <c r="L20" s="97">
        <f t="shared" si="1"/>
        <v>54222.930000000008</v>
      </c>
      <c r="M20" s="98">
        <f>SUM(M12:M19)</f>
        <v>1306921.8859999999</v>
      </c>
      <c r="N20" s="61"/>
      <c r="O20" s="16"/>
      <c r="P20" s="16">
        <f>SUM(C20:L20)</f>
        <v>1306921.8859999999</v>
      </c>
    </row>
    <row r="21" spans="2:16" ht="15.4" x14ac:dyDescent="0.45">
      <c r="B21" s="99"/>
      <c r="C21" s="100"/>
      <c r="D21" s="101"/>
      <c r="E21" s="100"/>
      <c r="F21" s="102"/>
      <c r="G21" s="100"/>
      <c r="H21" s="102"/>
      <c r="I21" s="100"/>
      <c r="J21" s="103"/>
      <c r="K21" s="100"/>
      <c r="L21" s="102"/>
      <c r="M21" s="101"/>
      <c r="N21" s="59"/>
      <c r="O21" s="16"/>
      <c r="P21" s="16"/>
    </row>
    <row r="22" spans="2:16" ht="15.4" x14ac:dyDescent="0.45">
      <c r="B22" s="104"/>
      <c r="C22" s="105"/>
      <c r="D22" s="105"/>
      <c r="E22" s="105"/>
      <c r="F22" s="105"/>
      <c r="G22" s="105"/>
      <c r="H22" s="105"/>
      <c r="I22" s="105"/>
      <c r="J22" s="106"/>
      <c r="K22" s="106"/>
      <c r="L22" s="106"/>
      <c r="N22" s="105"/>
      <c r="O22" s="18"/>
      <c r="P22" s="22"/>
    </row>
    <row r="23" spans="2:16" ht="15.4" x14ac:dyDescent="0.45">
      <c r="B23" s="107"/>
      <c r="C23" s="108"/>
      <c r="D23" s="109"/>
      <c r="E23" s="108"/>
      <c r="F23" s="108"/>
      <c r="G23" s="108"/>
      <c r="H23" s="108"/>
      <c r="I23" s="109" t="s">
        <v>65</v>
      </c>
      <c r="J23" s="16"/>
      <c r="K23" s="110"/>
      <c r="L23" s="111"/>
      <c r="M23" s="108">
        <f>M20/5</f>
        <v>261384.37719999999</v>
      </c>
      <c r="N23" s="22"/>
      <c r="O23" s="18"/>
      <c r="P23" s="22"/>
    </row>
    <row r="24" spans="2:16" ht="15.4" x14ac:dyDescent="0.45">
      <c r="B24" s="18"/>
      <c r="C24" s="109"/>
      <c r="D24" s="16"/>
      <c r="E24" s="109"/>
      <c r="F24" s="109"/>
      <c r="G24" s="109"/>
      <c r="H24" s="109"/>
      <c r="I24" s="109"/>
      <c r="J24" s="16"/>
      <c r="K24" s="22"/>
      <c r="L24" s="110"/>
      <c r="M24" s="26"/>
      <c r="N24" s="22"/>
      <c r="O24" s="18"/>
      <c r="P24" s="22"/>
    </row>
    <row r="25" spans="2:16" ht="15.4" x14ac:dyDescent="0.45">
      <c r="B25" s="107"/>
      <c r="C25" s="109"/>
      <c r="D25" s="109"/>
      <c r="E25" s="109"/>
      <c r="F25" s="109"/>
      <c r="G25" s="109"/>
      <c r="H25" s="109"/>
      <c r="I25" s="109" t="s">
        <v>66</v>
      </c>
      <c r="J25" s="16"/>
      <c r="K25" s="110"/>
      <c r="L25" s="109"/>
      <c r="M25" s="108">
        <f>M23*0.2</f>
        <v>52276.875440000003</v>
      </c>
      <c r="N25" s="22"/>
      <c r="O25" s="18"/>
      <c r="P25" s="22">
        <f>M25+M23</f>
        <v>313661.25263999996</v>
      </c>
    </row>
    <row r="26" spans="2:16" ht="15.4" x14ac:dyDescent="0.45">
      <c r="B26" s="112"/>
      <c r="C26" s="113"/>
      <c r="D26" s="113"/>
      <c r="E26" s="113"/>
      <c r="F26" s="113" t="s">
        <v>88</v>
      </c>
      <c r="G26" s="113"/>
      <c r="H26" s="113"/>
      <c r="I26" s="113"/>
      <c r="J26" s="113"/>
      <c r="K26" s="113"/>
      <c r="L26" s="113"/>
      <c r="M26" s="113"/>
      <c r="N26" s="21"/>
      <c r="O26" s="18"/>
      <c r="P26" s="22"/>
    </row>
  </sheetData>
  <mergeCells count="5">
    <mergeCell ref="C9:D9"/>
    <mergeCell ref="E9:F9"/>
    <mergeCell ref="G9:H9"/>
    <mergeCell ref="I9:J9"/>
    <mergeCell ref="K9:L9"/>
  </mergeCells>
  <pageMargins left="0.7" right="0.7" top="0.75" bottom="0.75" header="0.3" footer="0.3"/>
  <pageSetup scale="92" fitToHeight="0" orientation="landscape" horizontalDpi="4294967293" r:id="rId1"/>
  <ignoredErrors>
    <ignoredError sqref="J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2889-0321-45D3-A9A4-AE60C9D6113F}">
  <dimension ref="A1:I48"/>
  <sheetViews>
    <sheetView showGridLines="0" topLeftCell="A31" zoomScale="190" zoomScaleNormal="190" workbookViewId="0">
      <selection activeCell="C44" sqref="C44"/>
    </sheetView>
  </sheetViews>
  <sheetFormatPr defaultColWidth="8.88671875" defaultRowHeight="14.25" x14ac:dyDescent="0.45"/>
  <cols>
    <col min="1" max="1" width="22" style="1" customWidth="1"/>
    <col min="2" max="2" width="11" style="6" bestFit="1" customWidth="1"/>
    <col min="3" max="3" width="9.6640625" style="6" bestFit="1" customWidth="1"/>
    <col min="4" max="4" width="10.44140625" style="1" bestFit="1" customWidth="1"/>
    <col min="5" max="16384" width="8.88671875" style="1"/>
  </cols>
  <sheetData>
    <row r="1" spans="1:3" x14ac:dyDescent="0.45">
      <c r="A1" s="125" t="s">
        <v>96</v>
      </c>
    </row>
    <row r="2" spans="1:3" x14ac:dyDescent="0.45">
      <c r="A2" s="125"/>
    </row>
    <row r="3" spans="1:3" x14ac:dyDescent="0.45">
      <c r="A3" s="125" t="s">
        <v>96</v>
      </c>
    </row>
    <row r="4" spans="1:3" x14ac:dyDescent="0.45">
      <c r="A4" s="1" t="s">
        <v>73</v>
      </c>
      <c r="C4" s="6">
        <v>580979</v>
      </c>
    </row>
    <row r="5" spans="1:3" x14ac:dyDescent="0.45">
      <c r="A5" s="1" t="s">
        <v>74</v>
      </c>
      <c r="C5" s="4">
        <v>194046</v>
      </c>
    </row>
    <row r="6" spans="1:3" x14ac:dyDescent="0.45">
      <c r="A6" s="1" t="s">
        <v>75</v>
      </c>
      <c r="C6" s="6">
        <f>C4+C5</f>
        <v>775025</v>
      </c>
    </row>
    <row r="8" spans="1:3" x14ac:dyDescent="0.45">
      <c r="A8" s="1" t="s">
        <v>68</v>
      </c>
      <c r="C8" s="6">
        <v>296682</v>
      </c>
    </row>
    <row r="10" spans="1:3" x14ac:dyDescent="0.45">
      <c r="A10" s="1" t="s">
        <v>69</v>
      </c>
    </row>
    <row r="11" spans="1:3" x14ac:dyDescent="0.45">
      <c r="A11" s="1" t="s">
        <v>78</v>
      </c>
      <c r="B11" s="6">
        <f>17430+12</f>
        <v>17442</v>
      </c>
    </row>
    <row r="12" spans="1:3" x14ac:dyDescent="0.45">
      <c r="A12" s="1" t="s">
        <v>79</v>
      </c>
      <c r="B12" s="6">
        <v>10864</v>
      </c>
    </row>
    <row r="13" spans="1:3" x14ac:dyDescent="0.45">
      <c r="A13" s="1" t="s">
        <v>80</v>
      </c>
      <c r="B13" s="6">
        <v>345</v>
      </c>
    </row>
    <row r="14" spans="1:3" x14ac:dyDescent="0.45">
      <c r="A14" s="1" t="s">
        <v>81</v>
      </c>
      <c r="B14" s="6">
        <v>10333</v>
      </c>
    </row>
    <row r="15" spans="1:3" x14ac:dyDescent="0.45">
      <c r="A15" s="1" t="s">
        <v>76</v>
      </c>
      <c r="C15" s="6">
        <f>SUM(B11:B14)</f>
        <v>38984</v>
      </c>
    </row>
    <row r="17" spans="1:9" x14ac:dyDescent="0.45">
      <c r="A17" s="1" t="s">
        <v>77</v>
      </c>
    </row>
    <row r="18" spans="1:9" x14ac:dyDescent="0.45">
      <c r="A18" s="1" t="s">
        <v>82</v>
      </c>
      <c r="B18" s="6">
        <v>5221</v>
      </c>
    </row>
    <row r="19" spans="1:9" x14ac:dyDescent="0.45">
      <c r="A19" s="1" t="s">
        <v>83</v>
      </c>
      <c r="B19" s="6">
        <v>99300</v>
      </c>
    </row>
    <row r="20" spans="1:9" x14ac:dyDescent="0.45">
      <c r="A20" s="1" t="s">
        <v>84</v>
      </c>
      <c r="B20" s="6">
        <v>292562</v>
      </c>
    </row>
    <row r="21" spans="1:9" x14ac:dyDescent="0.45">
      <c r="A21" s="1" t="s">
        <v>92</v>
      </c>
      <c r="B21" s="6">
        <v>32116</v>
      </c>
    </row>
    <row r="22" spans="1:9" x14ac:dyDescent="0.45">
      <c r="A22" s="1" t="s">
        <v>85</v>
      </c>
      <c r="B22" s="6">
        <v>10160</v>
      </c>
    </row>
    <row r="23" spans="1:9" x14ac:dyDescent="0.45">
      <c r="A23" s="1" t="s">
        <v>86</v>
      </c>
      <c r="C23" s="4">
        <f>SUM(B18:B22)</f>
        <v>439359</v>
      </c>
    </row>
    <row r="24" spans="1:9" x14ac:dyDescent="0.45">
      <c r="A24" s="1" t="s">
        <v>87</v>
      </c>
      <c r="C24" s="6">
        <f>C8+C15+C23</f>
        <v>775025</v>
      </c>
    </row>
    <row r="26" spans="1:9" x14ac:dyDescent="0.45">
      <c r="D26" s="39">
        <f>C23/C6</f>
        <v>0.56689655172413789</v>
      </c>
      <c r="E26" s="1" t="s">
        <v>70</v>
      </c>
    </row>
    <row r="27" spans="1:9" x14ac:dyDescent="0.45">
      <c r="D27" s="127">
        <v>0.15</v>
      </c>
      <c r="E27" s="1" t="s">
        <v>71</v>
      </c>
    </row>
    <row r="28" spans="1:9" x14ac:dyDescent="0.45">
      <c r="D28" s="39">
        <f>D26-D27</f>
        <v>0.41689655172413786</v>
      </c>
      <c r="E28" s="1" t="s">
        <v>72</v>
      </c>
      <c r="G28" s="19"/>
    </row>
    <row r="29" spans="1:9" x14ac:dyDescent="0.45">
      <c r="D29" s="39"/>
      <c r="G29" s="19"/>
    </row>
    <row r="30" spans="1:9" x14ac:dyDescent="0.45">
      <c r="D30" s="39"/>
      <c r="G30" s="19"/>
    </row>
    <row r="31" spans="1:9" s="125" customFormat="1" x14ac:dyDescent="0.45">
      <c r="A31" s="125" t="s">
        <v>98</v>
      </c>
      <c r="B31" s="128"/>
      <c r="C31" s="128"/>
      <c r="I31" s="133"/>
    </row>
    <row r="32" spans="1:9" x14ac:dyDescent="0.45">
      <c r="A32" s="1" t="s">
        <v>97</v>
      </c>
      <c r="B32" s="126">
        <f>SAO!D17</f>
        <v>401919</v>
      </c>
      <c r="C32" s="121">
        <f>D28</f>
        <v>0.41689655172413786</v>
      </c>
      <c r="D32" s="134">
        <f>B32*C32</f>
        <v>167558.64517241376</v>
      </c>
      <c r="E32" s="125" t="s">
        <v>93</v>
      </c>
      <c r="F32" s="125"/>
      <c r="G32" s="125"/>
      <c r="H32" s="125"/>
      <c r="I32" s="133"/>
    </row>
    <row r="33" spans="1:9" x14ac:dyDescent="0.45">
      <c r="A33" s="1" t="str">
        <f>SAO!C18</f>
        <v>Purchased Power</v>
      </c>
      <c r="B33" s="126">
        <f>SAO!D18</f>
        <v>406768</v>
      </c>
      <c r="C33" s="121">
        <f>D28</f>
        <v>0.41689655172413786</v>
      </c>
      <c r="D33" s="134">
        <f>B33*C33</f>
        <v>169580.17655172411</v>
      </c>
      <c r="E33" s="125" t="s">
        <v>94</v>
      </c>
      <c r="F33" s="125"/>
      <c r="G33" s="125"/>
      <c r="H33" s="125"/>
      <c r="I33" s="133"/>
    </row>
    <row r="34" spans="1:9" ht="16.5" x14ac:dyDescent="0.75">
      <c r="A34" s="1" t="str">
        <f>SAO!C19</f>
        <v>Chemicals</v>
      </c>
      <c r="B34" s="6">
        <f>SAO!D19</f>
        <v>263427</v>
      </c>
      <c r="C34" s="122">
        <f>D28</f>
        <v>0.41689655172413786</v>
      </c>
      <c r="D34" s="135">
        <f>B34*C34</f>
        <v>109821.80793103446</v>
      </c>
      <c r="E34" s="125" t="s">
        <v>95</v>
      </c>
      <c r="F34" s="125"/>
      <c r="G34" s="125"/>
      <c r="H34" s="125"/>
      <c r="I34" s="133"/>
    </row>
    <row r="35" spans="1:9" x14ac:dyDescent="0.45">
      <c r="A35" s="125" t="s">
        <v>90</v>
      </c>
      <c r="B35" s="128"/>
      <c r="C35" s="129"/>
      <c r="D35" s="130">
        <f>SUM(D32:D34)</f>
        <v>446960.62965517235</v>
      </c>
    </row>
    <row r="36" spans="1:9" x14ac:dyDescent="0.45">
      <c r="A36" s="125"/>
      <c r="B36" s="128"/>
      <c r="C36" s="129"/>
      <c r="D36" s="130"/>
    </row>
    <row r="37" spans="1:9" x14ac:dyDescent="0.45">
      <c r="C37" s="120"/>
      <c r="D37" s="124"/>
    </row>
    <row r="38" spans="1:9" x14ac:dyDescent="0.45">
      <c r="A38" s="125" t="s">
        <v>220</v>
      </c>
    </row>
    <row r="40" spans="1:9" x14ac:dyDescent="0.45">
      <c r="A40" s="1" t="s">
        <v>221</v>
      </c>
      <c r="C40" s="6">
        <f>D35</f>
        <v>446960.62965517235</v>
      </c>
    </row>
    <row r="41" spans="1:9" x14ac:dyDescent="0.45">
      <c r="A41" s="1" t="s">
        <v>222</v>
      </c>
      <c r="C41" s="6">
        <v>5452</v>
      </c>
    </row>
    <row r="42" spans="1:9" x14ac:dyDescent="0.45">
      <c r="A42" s="1" t="s">
        <v>223</v>
      </c>
      <c r="C42" s="4">
        <v>12</v>
      </c>
    </row>
    <row r="43" spans="1:9" x14ac:dyDescent="0.45">
      <c r="C43" s="40"/>
    </row>
    <row r="44" spans="1:9" x14ac:dyDescent="0.45">
      <c r="A44" s="1" t="s">
        <v>235</v>
      </c>
      <c r="C44" s="126">
        <f>C40/C41/C42</f>
        <v>6.8317533268398805</v>
      </c>
    </row>
    <row r="45" spans="1:9" x14ac:dyDescent="0.45">
      <c r="B45" s="1"/>
      <c r="C45" s="1"/>
    </row>
    <row r="46" spans="1:9" x14ac:dyDescent="0.45">
      <c r="B46" s="1"/>
      <c r="C46" s="1"/>
    </row>
    <row r="47" spans="1:9" x14ac:dyDescent="0.45">
      <c r="B47" s="1"/>
      <c r="C47" s="1"/>
    </row>
    <row r="48" spans="1:9" x14ac:dyDescent="0.45">
      <c r="B48" s="1"/>
      <c r="C48" s="1"/>
    </row>
  </sheetData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21"/>
  <sheetViews>
    <sheetView showGridLines="0" workbookViewId="0">
      <selection activeCell="L9" sqref="L9"/>
    </sheetView>
  </sheetViews>
  <sheetFormatPr defaultColWidth="8.88671875" defaultRowHeight="15" customHeight="1" outlineLevelRow="1" x14ac:dyDescent="0.5"/>
  <cols>
    <col min="1" max="1" width="2.109375" style="189" customWidth="1"/>
    <col min="2" max="2" width="1.109375" style="189" customWidth="1"/>
    <col min="3" max="3" width="4.77734375" style="189" customWidth="1"/>
    <col min="4" max="4" width="6.77734375" style="189" customWidth="1"/>
    <col min="5" max="5" width="12.609375" style="189" customWidth="1"/>
    <col min="6" max="6" width="7.33203125" style="189" customWidth="1"/>
    <col min="7" max="7" width="13.33203125" style="189" customWidth="1"/>
    <col min="8" max="8" width="1.21875" style="189" customWidth="1"/>
    <col min="9" max="9" width="4.77734375" style="189" customWidth="1"/>
    <col min="10" max="10" width="7" style="189" customWidth="1"/>
    <col min="11" max="11" width="12.609375" style="189" customWidth="1"/>
    <col min="12" max="12" width="7.33203125" style="189" customWidth="1"/>
    <col min="13" max="13" width="13.33203125" style="189" customWidth="1"/>
    <col min="14" max="14" width="8.5546875" style="189" bestFit="1" customWidth="1"/>
    <col min="15" max="15" width="8.609375" style="207" customWidth="1"/>
    <col min="16" max="16" width="2.6640625" style="189" customWidth="1"/>
    <col min="17" max="207" width="9.6640625" style="189" customWidth="1"/>
    <col min="208" max="16384" width="8.88671875" style="189"/>
  </cols>
  <sheetData>
    <row r="2" spans="2:18" ht="15" customHeight="1" x14ac:dyDescent="0.55000000000000004">
      <c r="B2" s="228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30"/>
      <c r="P2" s="212"/>
    </row>
    <row r="3" spans="2:18" ht="15" customHeight="1" x14ac:dyDescent="0.55000000000000004">
      <c r="B3" s="179"/>
      <c r="C3" s="231" t="s">
        <v>202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233"/>
      <c r="P3" s="212"/>
    </row>
    <row r="4" spans="2:18" ht="15" customHeight="1" x14ac:dyDescent="0.55000000000000004">
      <c r="B4" s="179"/>
      <c r="C4" s="231" t="s">
        <v>114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2"/>
      <c r="O4" s="233"/>
      <c r="P4" s="213"/>
      <c r="Q4" s="29"/>
      <c r="R4" s="29"/>
    </row>
    <row r="5" spans="2:18" ht="15" customHeight="1" x14ac:dyDescent="0.5">
      <c r="B5" s="180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204"/>
      <c r="P5" s="212"/>
    </row>
    <row r="6" spans="2:18" ht="15" customHeight="1" x14ac:dyDescent="0.5">
      <c r="B6" s="208"/>
      <c r="C6" s="209"/>
      <c r="D6" s="209"/>
      <c r="E6" s="209"/>
      <c r="F6" s="209"/>
      <c r="G6" s="210"/>
      <c r="H6" s="208"/>
      <c r="I6" s="209"/>
      <c r="J6" s="209"/>
      <c r="K6" s="209"/>
      <c r="L6" s="209"/>
      <c r="M6" s="210"/>
      <c r="N6" s="208"/>
      <c r="O6" s="211"/>
      <c r="P6" s="212"/>
    </row>
    <row r="7" spans="2:18" ht="15" customHeight="1" x14ac:dyDescent="0.5">
      <c r="B7" s="179"/>
      <c r="C7" s="226" t="s">
        <v>203</v>
      </c>
      <c r="D7" s="226"/>
      <c r="E7" s="226"/>
      <c r="F7" s="226"/>
      <c r="G7" s="227"/>
      <c r="H7" s="1"/>
      <c r="I7" s="226" t="s">
        <v>204</v>
      </c>
      <c r="J7" s="226"/>
      <c r="K7" s="226"/>
      <c r="L7" s="226"/>
      <c r="M7" s="227"/>
      <c r="N7" s="185" t="s">
        <v>205</v>
      </c>
      <c r="O7" s="184" t="s">
        <v>206</v>
      </c>
      <c r="P7" s="212"/>
    </row>
    <row r="8" spans="2:18" ht="15" customHeight="1" x14ac:dyDescent="0.5">
      <c r="B8" s="179"/>
      <c r="C8" s="1"/>
      <c r="D8" s="1"/>
      <c r="E8" s="1"/>
      <c r="F8" s="1"/>
      <c r="G8" s="183"/>
      <c r="H8" s="1"/>
      <c r="I8" s="1"/>
      <c r="J8" s="1"/>
      <c r="K8" s="1"/>
      <c r="L8" s="1"/>
      <c r="M8" s="183"/>
      <c r="N8" s="179"/>
      <c r="O8" s="205"/>
      <c r="P8" s="212"/>
    </row>
    <row r="9" spans="2:18" ht="15" customHeight="1" x14ac:dyDescent="0.5">
      <c r="B9" s="179"/>
      <c r="C9" s="1" t="s">
        <v>212</v>
      </c>
      <c r="D9" s="1"/>
      <c r="E9" s="1"/>
      <c r="F9" s="126">
        <v>11.39</v>
      </c>
      <c r="G9" s="183" t="s">
        <v>209</v>
      </c>
      <c r="H9" s="1"/>
      <c r="I9" s="1" t="s">
        <v>212</v>
      </c>
      <c r="J9" s="1"/>
      <c r="K9" s="1"/>
      <c r="L9" s="40">
        <f>ROUND(F9*(1+SAO!$G$55),2)</f>
        <v>13.13</v>
      </c>
      <c r="M9" s="183" t="s">
        <v>209</v>
      </c>
      <c r="N9" s="187">
        <f>L9-F9</f>
        <v>1.7400000000000002</v>
      </c>
      <c r="O9" s="206">
        <f>N9/F9</f>
        <v>0.1527655838454785</v>
      </c>
      <c r="P9" s="212"/>
    </row>
    <row r="10" spans="2:18" ht="15" customHeight="1" outlineLevel="1" x14ac:dyDescent="0.5">
      <c r="B10" s="179"/>
      <c r="C10" s="217" t="s">
        <v>207</v>
      </c>
      <c r="D10" s="159">
        <v>2000</v>
      </c>
      <c r="E10" s="1" t="s">
        <v>208</v>
      </c>
      <c r="F10" s="186">
        <v>12.2</v>
      </c>
      <c r="G10" s="183" t="s">
        <v>209</v>
      </c>
      <c r="H10" s="1"/>
      <c r="I10" s="217" t="s">
        <v>207</v>
      </c>
      <c r="J10" s="159">
        <f>D10</f>
        <v>2000</v>
      </c>
      <c r="K10" s="1" t="s">
        <v>208</v>
      </c>
      <c r="L10" s="40">
        <f>ROUND(F10*(1+SAO!$G$55),2)</f>
        <v>14.06</v>
      </c>
      <c r="M10" s="183" t="s">
        <v>209</v>
      </c>
      <c r="N10" s="187">
        <f>L10-F10</f>
        <v>1.8600000000000012</v>
      </c>
      <c r="O10" s="188">
        <f>N10/F10</f>
        <v>0.15245901639344273</v>
      </c>
      <c r="P10" s="212"/>
      <c r="R10" s="190"/>
    </row>
    <row r="11" spans="2:18" ht="15" customHeight="1" outlineLevel="1" x14ac:dyDescent="0.5">
      <c r="B11" s="179"/>
      <c r="C11" s="217" t="s">
        <v>211</v>
      </c>
      <c r="D11" s="159">
        <v>2000</v>
      </c>
      <c r="E11" s="1" t="s">
        <v>208</v>
      </c>
      <c r="F11" s="186">
        <v>9.3800000000000008</v>
      </c>
      <c r="G11" s="183" t="s">
        <v>210</v>
      </c>
      <c r="H11" s="1"/>
      <c r="I11" s="217" t="s">
        <v>211</v>
      </c>
      <c r="J11" s="159">
        <f t="shared" ref="J11" si="0">D11</f>
        <v>2000</v>
      </c>
      <c r="K11" s="1" t="s">
        <v>208</v>
      </c>
      <c r="L11" s="40">
        <f>ROUND(F11*(1+SAO!$G$55),2)</f>
        <v>10.81</v>
      </c>
      <c r="M11" s="183" t="s">
        <v>210</v>
      </c>
      <c r="N11" s="187">
        <f t="shared" ref="N11" si="1">L11-F11</f>
        <v>1.4299999999999997</v>
      </c>
      <c r="O11" s="188">
        <f t="shared" ref="O11" si="2">N11/F11</f>
        <v>0.1524520255863539</v>
      </c>
      <c r="P11" s="212"/>
      <c r="R11" s="191"/>
    </row>
    <row r="12" spans="2:18" ht="15" customHeight="1" outlineLevel="1" x14ac:dyDescent="0.5">
      <c r="B12" s="179"/>
      <c r="C12" s="159"/>
      <c r="D12" s="1"/>
      <c r="E12" s="1"/>
      <c r="F12" s="1"/>
      <c r="G12" s="183"/>
      <c r="H12" s="1"/>
      <c r="I12" s="159"/>
      <c r="J12" s="1"/>
      <c r="K12" s="1"/>
      <c r="L12" s="1"/>
      <c r="M12" s="183"/>
      <c r="N12" s="179"/>
      <c r="O12" s="205"/>
      <c r="P12" s="212"/>
    </row>
    <row r="13" spans="2:18" ht="15" customHeight="1" outlineLevel="1" x14ac:dyDescent="0.5">
      <c r="B13" s="179"/>
      <c r="C13" s="159" t="s">
        <v>213</v>
      </c>
      <c r="D13" s="1"/>
      <c r="E13" s="1"/>
      <c r="F13" s="126">
        <v>5.25</v>
      </c>
      <c r="G13" s="183" t="s">
        <v>246</v>
      </c>
      <c r="H13" s="1"/>
      <c r="I13" s="159" t="s">
        <v>213</v>
      </c>
      <c r="J13" s="1"/>
      <c r="K13" s="1"/>
      <c r="L13" s="126">
        <v>5.25</v>
      </c>
      <c r="M13" s="183" t="s">
        <v>246</v>
      </c>
      <c r="N13" s="187">
        <f>L13-F13</f>
        <v>0</v>
      </c>
      <c r="O13" s="206">
        <f>N13/F13</f>
        <v>0</v>
      </c>
      <c r="P13" s="212"/>
    </row>
    <row r="14" spans="2:18" ht="15" customHeight="1" outlineLevel="1" x14ac:dyDescent="0.5">
      <c r="B14" s="179"/>
      <c r="C14" s="159" t="s">
        <v>235</v>
      </c>
      <c r="D14" s="1"/>
      <c r="E14" s="1"/>
      <c r="F14" s="126">
        <v>0</v>
      </c>
      <c r="G14" s="183" t="s">
        <v>246</v>
      </c>
      <c r="H14" s="1"/>
      <c r="I14" s="159" t="s">
        <v>235</v>
      </c>
      <c r="J14" s="1"/>
      <c r="K14" s="1"/>
      <c r="L14" s="126">
        <v>6.83</v>
      </c>
      <c r="M14" s="183" t="s">
        <v>246</v>
      </c>
      <c r="N14" s="196">
        <f>L14-F14</f>
        <v>6.83</v>
      </c>
      <c r="O14" s="206">
        <v>1</v>
      </c>
      <c r="P14" s="212"/>
    </row>
    <row r="15" spans="2:18" ht="15" customHeight="1" x14ac:dyDescent="0.5">
      <c r="B15" s="180"/>
      <c r="C15" s="168"/>
      <c r="D15" s="181"/>
      <c r="E15" s="181"/>
      <c r="F15" s="181"/>
      <c r="G15" s="182"/>
      <c r="H15" s="181"/>
      <c r="I15" s="181"/>
      <c r="J15" s="181"/>
      <c r="K15" s="181"/>
      <c r="L15" s="181"/>
      <c r="M15" s="182"/>
      <c r="N15" s="180"/>
      <c r="O15" s="204"/>
      <c r="P15" s="212"/>
    </row>
    <row r="16" spans="2:18" ht="15" customHeight="1" x14ac:dyDescent="0.5">
      <c r="C16" s="192"/>
    </row>
    <row r="17" spans="3:21" ht="15" customHeight="1" x14ac:dyDescent="0.5">
      <c r="C17" s="192"/>
      <c r="Q17" s="1"/>
      <c r="R17" s="1"/>
      <c r="S17" s="193"/>
      <c r="T17" s="193"/>
      <c r="U17" s="193"/>
    </row>
    <row r="18" spans="3:21" ht="15" customHeight="1" x14ac:dyDescent="0.5">
      <c r="C18" s="192"/>
      <c r="Q18" s="156"/>
      <c r="R18" s="1"/>
      <c r="S18" s="119"/>
      <c r="T18" s="119"/>
      <c r="U18" s="194"/>
    </row>
    <row r="19" spans="3:21" ht="15" customHeight="1" x14ac:dyDescent="0.5">
      <c r="C19" s="192"/>
      <c r="Q19" s="156"/>
      <c r="R19" s="1"/>
      <c r="S19" s="195"/>
      <c r="T19" s="195"/>
      <c r="U19" s="194"/>
    </row>
    <row r="20" spans="3:21" ht="15" customHeight="1" x14ac:dyDescent="0.5">
      <c r="C20" s="192"/>
      <c r="Q20" s="156"/>
      <c r="R20" s="1"/>
      <c r="S20" s="195"/>
      <c r="T20" s="195"/>
      <c r="U20" s="194"/>
    </row>
    <row r="21" spans="3:21" ht="15" customHeight="1" x14ac:dyDescent="0.5">
      <c r="P21" s="192"/>
      <c r="Q21" s="156"/>
      <c r="R21" s="1"/>
      <c r="S21" s="195"/>
      <c r="T21" s="195"/>
      <c r="U21" s="194"/>
    </row>
  </sheetData>
  <mergeCells count="5">
    <mergeCell ref="C7:G7"/>
    <mergeCell ref="I7:M7"/>
    <mergeCell ref="B2:O2"/>
    <mergeCell ref="C3:O3"/>
    <mergeCell ref="C4:O4"/>
  </mergeCells>
  <printOptions horizontalCentered="1"/>
  <pageMargins left="0.55000000000000004" right="0.55000000000000004" top="1.6" bottom="0.5" header="0" footer="0"/>
  <pageSetup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2"/>
  <sheetViews>
    <sheetView showGridLines="0" workbookViewId="0">
      <selection activeCell="F9" sqref="F9"/>
    </sheetView>
  </sheetViews>
  <sheetFormatPr defaultColWidth="8.88671875" defaultRowHeight="14.25" x14ac:dyDescent="0.45"/>
  <cols>
    <col min="1" max="1" width="9" style="6" customWidth="1"/>
    <col min="2" max="2" width="1.77734375" style="6" customWidth="1"/>
    <col min="3" max="8" width="9.77734375" style="6" customWidth="1"/>
    <col min="9" max="9" width="1.77734375" style="6" customWidth="1"/>
    <col min="10" max="16384" width="8.88671875" style="6"/>
  </cols>
  <sheetData>
    <row r="1" spans="2:11" x14ac:dyDescent="0.45">
      <c r="B1" s="7"/>
      <c r="C1" s="8"/>
      <c r="D1" s="8"/>
      <c r="E1" s="8"/>
      <c r="F1" s="8"/>
      <c r="G1" s="8"/>
      <c r="H1" s="8"/>
      <c r="I1" s="9"/>
    </row>
    <row r="2" spans="2:11" ht="18" x14ac:dyDescent="0.55000000000000004">
      <c r="B2" s="10"/>
      <c r="C2" s="238" t="s">
        <v>89</v>
      </c>
      <c r="D2" s="238"/>
      <c r="E2" s="238"/>
      <c r="F2" s="238"/>
      <c r="G2" s="238"/>
      <c r="H2" s="238"/>
      <c r="I2" s="239"/>
    </row>
    <row r="3" spans="2:11" ht="18" x14ac:dyDescent="0.55000000000000004">
      <c r="B3" s="10"/>
      <c r="C3" s="234" t="s">
        <v>91</v>
      </c>
      <c r="D3" s="234"/>
      <c r="E3" s="234"/>
      <c r="F3" s="234"/>
      <c r="G3" s="234"/>
      <c r="H3" s="234"/>
      <c r="I3" s="235"/>
    </row>
    <row r="4" spans="2:11" ht="15.75" x14ac:dyDescent="0.45">
      <c r="B4" s="10"/>
      <c r="C4" s="236" t="s">
        <v>114</v>
      </c>
      <c r="D4" s="236"/>
      <c r="E4" s="236"/>
      <c r="F4" s="236"/>
      <c r="G4" s="236"/>
      <c r="H4" s="236"/>
      <c r="I4" s="237"/>
    </row>
    <row r="5" spans="2:11" x14ac:dyDescent="0.45">
      <c r="B5" s="12"/>
      <c r="C5" s="4"/>
      <c r="D5" s="4"/>
      <c r="E5" s="4"/>
      <c r="F5" s="4"/>
      <c r="G5" s="4"/>
      <c r="H5" s="4"/>
      <c r="I5" s="13"/>
    </row>
    <row r="6" spans="2:11" ht="6" customHeight="1" x14ac:dyDescent="0.45">
      <c r="B6" s="10"/>
      <c r="C6" s="5"/>
      <c r="D6" s="11"/>
      <c r="E6" s="30"/>
      <c r="F6" s="31"/>
      <c r="G6" s="31"/>
      <c r="H6" s="31"/>
      <c r="I6" s="32"/>
      <c r="J6" s="29"/>
      <c r="K6" s="29"/>
    </row>
    <row r="7" spans="2:11" ht="16.5" x14ac:dyDescent="0.75">
      <c r="B7" s="10"/>
      <c r="C7" s="14" t="s">
        <v>12</v>
      </c>
      <c r="D7" s="28" t="s">
        <v>49</v>
      </c>
      <c r="E7" s="33" t="s">
        <v>21</v>
      </c>
      <c r="F7" s="14" t="s">
        <v>10</v>
      </c>
      <c r="G7" s="14"/>
      <c r="H7" s="14"/>
      <c r="I7" s="28"/>
    </row>
    <row r="8" spans="2:11" ht="16.5" x14ac:dyDescent="0.75">
      <c r="B8" s="10"/>
      <c r="C8" s="14" t="s">
        <v>55</v>
      </c>
      <c r="D8" s="28" t="s">
        <v>52</v>
      </c>
      <c r="E8" s="33" t="s">
        <v>50</v>
      </c>
      <c r="F8" s="14" t="s">
        <v>50</v>
      </c>
      <c r="G8" s="14" t="s">
        <v>22</v>
      </c>
      <c r="H8" s="14" t="s">
        <v>51</v>
      </c>
      <c r="I8" s="28"/>
    </row>
    <row r="9" spans="2:11" ht="15.75" customHeight="1" x14ac:dyDescent="0.45">
      <c r="B9" s="10"/>
      <c r="C9" s="5">
        <v>4000</v>
      </c>
      <c r="D9" s="34" t="s">
        <v>53</v>
      </c>
      <c r="E9" s="25">
        <f>Rates!F9+Rates!F10+Rates!F10+Rates!F11+Rates!F11+5.25</f>
        <v>59.800000000000004</v>
      </c>
      <c r="F9" s="15">
        <f>Rates!L9+(2*Rates!L10)+(2*Rates!L11)+Rates!L13+Rates!L14</f>
        <v>74.95</v>
      </c>
      <c r="G9" s="40">
        <f>F9-E9</f>
        <v>15.149999999999999</v>
      </c>
      <c r="H9" s="60">
        <f>G9/E9</f>
        <v>0.25334448160535111</v>
      </c>
      <c r="I9" s="37"/>
    </row>
    <row r="10" spans="2:11" ht="6" customHeight="1" x14ac:dyDescent="0.45">
      <c r="B10" s="12"/>
      <c r="C10" s="4"/>
      <c r="D10" s="3"/>
      <c r="E10" s="36"/>
      <c r="F10" s="35"/>
      <c r="G10" s="35"/>
      <c r="H10" s="4"/>
      <c r="I10" s="13"/>
    </row>
    <row r="12" spans="2:11" x14ac:dyDescent="0.45">
      <c r="D12" s="41" t="s">
        <v>56</v>
      </c>
    </row>
  </sheetData>
  <mergeCells count="3">
    <mergeCell ref="C3:I3"/>
    <mergeCell ref="C4:I4"/>
    <mergeCell ref="C2:I2"/>
  </mergeCells>
  <printOptions horizontalCentered="1"/>
  <pageMargins left="0.7" right="0.7" top="1.1000000000000001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S79"/>
  <sheetViews>
    <sheetView showGridLines="0" zoomScaleNormal="100" workbookViewId="0">
      <selection activeCell="E24" sqref="E24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2.609375" style="16" customWidth="1"/>
    <col min="5" max="7" width="12.609375" style="1" customWidth="1"/>
    <col min="8" max="9" width="9.77734375" style="1" customWidth="1"/>
    <col min="10" max="11" width="9.88671875" style="1" bestFit="1" customWidth="1"/>
    <col min="12" max="12" width="10.5546875" style="16" bestFit="1" customWidth="1"/>
    <col min="13" max="13" width="12.609375" style="126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2:17" ht="18" x14ac:dyDescent="0.55000000000000004">
      <c r="B1" s="231" t="s">
        <v>101</v>
      </c>
      <c r="C1" s="231"/>
      <c r="D1" s="231"/>
      <c r="E1" s="231"/>
      <c r="F1" s="231"/>
      <c r="G1" s="231"/>
      <c r="H1" s="231"/>
      <c r="I1" s="23"/>
    </row>
    <row r="2" spans="2:17" ht="18" x14ac:dyDescent="0.45">
      <c r="B2" s="240" t="s">
        <v>114</v>
      </c>
      <c r="C2" s="240"/>
      <c r="D2" s="240"/>
      <c r="E2" s="240"/>
      <c r="F2" s="240"/>
      <c r="G2" s="240"/>
      <c r="H2" s="240"/>
      <c r="I2" s="197"/>
    </row>
    <row r="3" spans="2:17" x14ac:dyDescent="0.45">
      <c r="Q3" s="16"/>
    </row>
    <row r="4" spans="2:17" ht="16.5" x14ac:dyDescent="0.75">
      <c r="C4" s="138" t="s">
        <v>102</v>
      </c>
      <c r="Q4" s="123"/>
    </row>
    <row r="5" spans="2:17" x14ac:dyDescent="0.45">
      <c r="C5" s="139"/>
      <c r="D5" s="21"/>
      <c r="E5" s="140" t="s">
        <v>103</v>
      </c>
      <c r="F5" s="140" t="s">
        <v>104</v>
      </c>
      <c r="G5" s="140" t="s">
        <v>105</v>
      </c>
      <c r="H5" s="19"/>
      <c r="J5" s="141"/>
      <c r="K5" s="21" t="s">
        <v>241</v>
      </c>
      <c r="L5" s="202"/>
      <c r="Q5" s="2"/>
    </row>
    <row r="6" spans="2:17" x14ac:dyDescent="0.45">
      <c r="C6" s="1" t="s">
        <v>247</v>
      </c>
      <c r="E6" s="153">
        <f>C20</f>
        <v>64520</v>
      </c>
      <c r="F6" s="154">
        <f>D20</f>
        <v>249253487</v>
      </c>
      <c r="G6" s="152">
        <f>F27</f>
        <v>3360433.7592200004</v>
      </c>
      <c r="H6" s="26"/>
      <c r="J6" s="141"/>
      <c r="K6" s="2" t="s">
        <v>242</v>
      </c>
      <c r="M6" s="126">
        <v>1056.8499999999999</v>
      </c>
    </row>
    <row r="7" spans="2:17" x14ac:dyDescent="0.45">
      <c r="C7" s="1" t="s">
        <v>107</v>
      </c>
      <c r="E7" s="2">
        <f>SUM(E6:E6)</f>
        <v>64520</v>
      </c>
      <c r="F7" s="22">
        <f>SUM(F6:F6)</f>
        <v>249253487</v>
      </c>
      <c r="G7" s="114">
        <f>SUM(G6:G6)</f>
        <v>3360433.7592200004</v>
      </c>
      <c r="H7" s="114"/>
      <c r="J7" s="141"/>
      <c r="K7" s="2" t="s">
        <v>243</v>
      </c>
      <c r="M7" s="126">
        <v>-7117.68</v>
      </c>
    </row>
    <row r="8" spans="2:17" x14ac:dyDescent="0.45">
      <c r="C8" s="1" t="s">
        <v>108</v>
      </c>
      <c r="E8" s="2"/>
      <c r="F8" s="22"/>
      <c r="G8" s="136">
        <f>M10</f>
        <v>-257274.02000000002</v>
      </c>
      <c r="H8" s="114"/>
      <c r="J8" s="141"/>
      <c r="K8" s="2" t="s">
        <v>244</v>
      </c>
      <c r="M8" s="126">
        <v>-81586.44</v>
      </c>
    </row>
    <row r="9" spans="2:17" x14ac:dyDescent="0.45">
      <c r="C9" s="1" t="s">
        <v>109</v>
      </c>
      <c r="E9" s="2"/>
      <c r="F9" s="22"/>
      <c r="G9" s="114">
        <f>G7+G8</f>
        <v>3103159.7392200003</v>
      </c>
      <c r="H9" s="114"/>
      <c r="J9" s="141"/>
      <c r="K9" s="2" t="s">
        <v>245</v>
      </c>
      <c r="M9" s="203">
        <v>-169626.75</v>
      </c>
    </row>
    <row r="10" spans="2:17" x14ac:dyDescent="0.45">
      <c r="C10" s="1" t="s">
        <v>110</v>
      </c>
      <c r="E10" s="2"/>
      <c r="F10" s="22"/>
      <c r="G10" s="136">
        <f>-SAO!D6</f>
        <v>-3262150</v>
      </c>
      <c r="H10" s="114"/>
      <c r="J10" s="141"/>
      <c r="K10" s="142"/>
      <c r="M10" s="126">
        <f>SUM(M6:M9)</f>
        <v>-257274.02000000002</v>
      </c>
    </row>
    <row r="11" spans="2:17" x14ac:dyDescent="0.45">
      <c r="C11" s="1" t="s">
        <v>111</v>
      </c>
      <c r="D11" s="143"/>
      <c r="F11" s="17"/>
      <c r="G11" s="115">
        <f>G9+G10</f>
        <v>-158990.26077999966</v>
      </c>
      <c r="H11" s="144"/>
      <c r="I11" s="115"/>
      <c r="J11" s="141"/>
      <c r="O11" s="2"/>
    </row>
    <row r="12" spans="2:17" x14ac:dyDescent="0.45">
      <c r="D12" s="143"/>
      <c r="F12" s="17"/>
      <c r="G12" s="137"/>
      <c r="I12" s="115"/>
      <c r="J12" s="141"/>
    </row>
    <row r="13" spans="2:17" x14ac:dyDescent="0.45">
      <c r="D13" s="143"/>
      <c r="F13" s="17"/>
      <c r="G13" s="143"/>
      <c r="I13" s="115"/>
    </row>
    <row r="14" spans="2:17" x14ac:dyDescent="0.45">
      <c r="F14" s="145"/>
      <c r="G14" s="115"/>
    </row>
    <row r="15" spans="2:17" x14ac:dyDescent="0.45">
      <c r="F15" s="115"/>
      <c r="G15" s="115"/>
    </row>
    <row r="16" spans="2:17" ht="15.4" x14ac:dyDescent="0.45">
      <c r="E16" s="19" t="s">
        <v>35</v>
      </c>
      <c r="F16" s="19" t="s">
        <v>67</v>
      </c>
      <c r="I16"/>
      <c r="J16"/>
      <c r="K16"/>
      <c r="L16"/>
      <c r="M16" s="201"/>
      <c r="N16"/>
    </row>
    <row r="17" spans="1:19" ht="15.4" x14ac:dyDescent="0.45">
      <c r="B17" s="140" t="s">
        <v>36</v>
      </c>
      <c r="C17" s="146" t="s">
        <v>37</v>
      </c>
      <c r="D17" s="113" t="s">
        <v>38</v>
      </c>
      <c r="E17" s="146">
        <f>B18</f>
        <v>2000</v>
      </c>
      <c r="F17" s="146">
        <f>B19</f>
        <v>2000</v>
      </c>
      <c r="G17" s="140" t="s">
        <v>39</v>
      </c>
      <c r="I17"/>
      <c r="J17"/>
      <c r="K17"/>
      <c r="L17"/>
      <c r="M17" s="201"/>
      <c r="N17"/>
    </row>
    <row r="18" spans="1:19" ht="15.4" x14ac:dyDescent="0.45">
      <c r="A18" s="20" t="s">
        <v>207</v>
      </c>
      <c r="B18" s="116">
        <v>2000</v>
      </c>
      <c r="C18" s="147">
        <v>25624</v>
      </c>
      <c r="D18" s="143">
        <v>24177238</v>
      </c>
      <c r="E18" s="143">
        <f>D18</f>
        <v>24177238</v>
      </c>
      <c r="F18" s="143">
        <v>0</v>
      </c>
      <c r="G18" s="143">
        <f>SUM(E18:F18)</f>
        <v>24177238</v>
      </c>
      <c r="I18"/>
      <c r="J18"/>
      <c r="K18"/>
      <c r="L18"/>
      <c r="M18" s="201"/>
      <c r="N18"/>
    </row>
    <row r="19" spans="1:19" ht="15.4" x14ac:dyDescent="0.45">
      <c r="A19" s="20" t="s">
        <v>258</v>
      </c>
      <c r="B19" s="116">
        <v>2000</v>
      </c>
      <c r="C19" s="148">
        <v>38896</v>
      </c>
      <c r="D19" s="149">
        <v>225076249</v>
      </c>
      <c r="E19" s="149">
        <f>C19*E$17</f>
        <v>77792000</v>
      </c>
      <c r="F19" s="149">
        <f>D19-E19</f>
        <v>147284249</v>
      </c>
      <c r="G19" s="149">
        <f>SUM(E19:F19)</f>
        <v>225076249</v>
      </c>
      <c r="I19"/>
      <c r="J19"/>
      <c r="K19"/>
      <c r="L19"/>
      <c r="M19" s="201"/>
      <c r="N19"/>
    </row>
    <row r="20" spans="1:19" ht="15.4" x14ac:dyDescent="0.45">
      <c r="A20" s="20"/>
      <c r="B20" s="116" t="s">
        <v>39</v>
      </c>
      <c r="C20" s="22">
        <f>SUM(C18:C19)</f>
        <v>64520</v>
      </c>
      <c r="D20" s="22">
        <f>SUM(D18:D19)</f>
        <v>249253487</v>
      </c>
      <c r="E20" s="22">
        <f>SUM(E18:E19)</f>
        <v>101969238</v>
      </c>
      <c r="F20" s="22">
        <f>SUM(F18:F19)</f>
        <v>147284249</v>
      </c>
      <c r="G20" s="22">
        <f>SUM(G18:G19)</f>
        <v>249253487</v>
      </c>
      <c r="H20" s="16"/>
      <c r="I20"/>
      <c r="J20"/>
      <c r="K20"/>
      <c r="L20"/>
      <c r="M20" s="201"/>
      <c r="N20"/>
    </row>
    <row r="21" spans="1:19" ht="15.4" x14ac:dyDescent="0.45">
      <c r="A21" s="20"/>
      <c r="B21" s="116"/>
      <c r="E21" s="116"/>
      <c r="F21" s="116"/>
      <c r="G21" s="116"/>
      <c r="H21" s="116"/>
      <c r="I21" s="116"/>
      <c r="N21"/>
      <c r="O21"/>
      <c r="P21"/>
      <c r="Q21"/>
      <c r="R21"/>
      <c r="S21"/>
    </row>
    <row r="22" spans="1:19" ht="15.4" x14ac:dyDescent="0.45">
      <c r="A22" s="117" t="s">
        <v>112</v>
      </c>
      <c r="B22" s="117"/>
      <c r="E22" s="116"/>
      <c r="F22" s="116"/>
      <c r="G22" s="116"/>
      <c r="H22" s="116"/>
      <c r="I22" s="116"/>
      <c r="N22"/>
      <c r="O22"/>
      <c r="P22"/>
      <c r="Q22"/>
      <c r="R22"/>
      <c r="S22"/>
    </row>
    <row r="23" spans="1:19" ht="15.4" x14ac:dyDescent="0.45">
      <c r="A23" s="20"/>
      <c r="B23" s="140"/>
      <c r="C23" s="146" t="s">
        <v>37</v>
      </c>
      <c r="D23" s="113" t="s">
        <v>38</v>
      </c>
      <c r="E23" s="146" t="s">
        <v>40</v>
      </c>
      <c r="F23" s="146" t="s">
        <v>41</v>
      </c>
      <c r="G23" s="116"/>
      <c r="H23" s="116"/>
      <c r="I23" s="116"/>
      <c r="N23"/>
      <c r="O23"/>
      <c r="P23"/>
      <c r="Q23"/>
      <c r="R23"/>
      <c r="S23"/>
    </row>
    <row r="24" spans="1:19" ht="15.4" x14ac:dyDescent="0.45">
      <c r="A24" s="20" t="s">
        <v>256</v>
      </c>
      <c r="B24" s="217" t="s">
        <v>257</v>
      </c>
      <c r="C24" s="214">
        <v>64520</v>
      </c>
      <c r="D24" s="155"/>
      <c r="E24" s="215">
        <f>Rates!F9</f>
        <v>11.39</v>
      </c>
      <c r="F24" s="216">
        <f>C24*E24</f>
        <v>734882.8</v>
      </c>
      <c r="G24" s="116"/>
      <c r="H24" s="116"/>
      <c r="I24" s="116"/>
      <c r="N24"/>
      <c r="O24"/>
      <c r="P24"/>
      <c r="Q24"/>
      <c r="R24"/>
      <c r="S24"/>
    </row>
    <row r="25" spans="1:19" ht="15.4" x14ac:dyDescent="0.45">
      <c r="A25" s="20" t="s">
        <v>207</v>
      </c>
      <c r="B25" s="218">
        <f>B18</f>
        <v>2000</v>
      </c>
      <c r="C25" s="16">
        <f>C20</f>
        <v>64520</v>
      </c>
      <c r="D25" s="143">
        <f>E20</f>
        <v>101969238</v>
      </c>
      <c r="E25" s="150">
        <f>Rates!F10</f>
        <v>12.2</v>
      </c>
      <c r="F25" s="22">
        <f>E25*(D25/1000)</f>
        <v>1244024.7035999999</v>
      </c>
      <c r="G25" s="116"/>
      <c r="N25"/>
      <c r="O25"/>
      <c r="P25"/>
      <c r="Q25"/>
      <c r="R25"/>
      <c r="S25"/>
    </row>
    <row r="26" spans="1:19" ht="15.4" x14ac:dyDescent="0.45">
      <c r="A26" s="20" t="s">
        <v>258</v>
      </c>
      <c r="B26" s="218">
        <f>B19</f>
        <v>2000</v>
      </c>
      <c r="C26" s="181"/>
      <c r="D26" s="149">
        <f>F20</f>
        <v>147284249</v>
      </c>
      <c r="E26" s="150">
        <f>Rates!F11</f>
        <v>9.3800000000000008</v>
      </c>
      <c r="F26" s="21">
        <f>E26*(D26/1000)</f>
        <v>1381526.2556200002</v>
      </c>
      <c r="G26" s="116"/>
      <c r="N26"/>
      <c r="O26"/>
      <c r="P26"/>
      <c r="Q26"/>
      <c r="R26"/>
      <c r="S26"/>
    </row>
    <row r="27" spans="1:19" x14ac:dyDescent="0.45">
      <c r="A27" s="20"/>
      <c r="B27" s="116" t="s">
        <v>39</v>
      </c>
      <c r="C27" s="16">
        <f>SUM(C25:C26)</f>
        <v>64520</v>
      </c>
      <c r="D27" s="22">
        <f>SUM(D25:D26)</f>
        <v>249253487</v>
      </c>
      <c r="F27" s="26">
        <f>SUM(F24:F26)</f>
        <v>3360433.7592200004</v>
      </c>
      <c r="G27" s="26"/>
      <c r="H27" s="116"/>
      <c r="I27" s="151"/>
    </row>
    <row r="28" spans="1:19" x14ac:dyDescent="0.45">
      <c r="A28" s="20"/>
      <c r="B28" s="116"/>
      <c r="C28" s="16"/>
      <c r="D28" s="22"/>
      <c r="F28" s="26"/>
      <c r="G28" s="116"/>
      <c r="H28" s="116"/>
      <c r="I28" s="116"/>
    </row>
    <row r="29" spans="1:19" x14ac:dyDescent="0.45">
      <c r="L29" s="1"/>
    </row>
    <row r="30" spans="1:19" x14ac:dyDescent="0.45">
      <c r="L30" s="1"/>
    </row>
    <row r="31" spans="1:19" x14ac:dyDescent="0.45">
      <c r="L31" s="1"/>
    </row>
    <row r="32" spans="1:19" x14ac:dyDescent="0.45">
      <c r="L32" s="1"/>
    </row>
    <row r="33" spans="12:12" x14ac:dyDescent="0.45">
      <c r="L33" s="1"/>
    </row>
    <row r="34" spans="12:12" x14ac:dyDescent="0.45">
      <c r="L34" s="1"/>
    </row>
    <row r="35" spans="12:12" x14ac:dyDescent="0.45">
      <c r="L35" s="1"/>
    </row>
    <row r="36" spans="12:12" x14ac:dyDescent="0.45">
      <c r="L36" s="1"/>
    </row>
    <row r="37" spans="12:12" x14ac:dyDescent="0.45">
      <c r="L37" s="1"/>
    </row>
    <row r="38" spans="12:12" x14ac:dyDescent="0.45">
      <c r="L38" s="1"/>
    </row>
    <row r="39" spans="12:12" x14ac:dyDescent="0.45">
      <c r="L39" s="1"/>
    </row>
    <row r="40" spans="12:12" x14ac:dyDescent="0.45">
      <c r="L40" s="1"/>
    </row>
    <row r="41" spans="12:12" x14ac:dyDescent="0.45">
      <c r="L41" s="1"/>
    </row>
    <row r="42" spans="12:12" x14ac:dyDescent="0.45">
      <c r="L42" s="1"/>
    </row>
    <row r="43" spans="12:12" x14ac:dyDescent="0.45">
      <c r="L43" s="1"/>
    </row>
    <row r="44" spans="12:12" x14ac:dyDescent="0.45">
      <c r="L44" s="1"/>
    </row>
    <row r="45" spans="12:12" x14ac:dyDescent="0.45">
      <c r="L45" s="1"/>
    </row>
    <row r="46" spans="12:12" x14ac:dyDescent="0.45">
      <c r="L46" s="1"/>
    </row>
    <row r="47" spans="12:12" x14ac:dyDescent="0.45">
      <c r="L47" s="1"/>
    </row>
    <row r="48" spans="12:12" x14ac:dyDescent="0.45">
      <c r="L48" s="1"/>
    </row>
    <row r="49" spans="12:12" x14ac:dyDescent="0.45">
      <c r="L49" s="1"/>
    </row>
    <row r="50" spans="12:12" x14ac:dyDescent="0.45">
      <c r="L50" s="1"/>
    </row>
    <row r="51" spans="12:12" x14ac:dyDescent="0.45">
      <c r="L51" s="1"/>
    </row>
    <row r="52" spans="12:12" x14ac:dyDescent="0.45">
      <c r="L52" s="1"/>
    </row>
    <row r="53" spans="12:12" x14ac:dyDescent="0.45">
      <c r="L53" s="1"/>
    </row>
    <row r="54" spans="12:12" x14ac:dyDescent="0.45">
      <c r="L54" s="1"/>
    </row>
    <row r="55" spans="12:12" x14ac:dyDescent="0.45">
      <c r="L55" s="1"/>
    </row>
    <row r="56" spans="12:12" x14ac:dyDescent="0.45">
      <c r="L56" s="1"/>
    </row>
    <row r="57" spans="12:12" x14ac:dyDescent="0.45">
      <c r="L57" s="1"/>
    </row>
    <row r="58" spans="12:12" x14ac:dyDescent="0.45">
      <c r="L58" s="1"/>
    </row>
    <row r="59" spans="12:12" x14ac:dyDescent="0.45">
      <c r="L59" s="1"/>
    </row>
    <row r="60" spans="12:12" x14ac:dyDescent="0.45">
      <c r="L60" s="1"/>
    </row>
    <row r="61" spans="12:12" x14ac:dyDescent="0.45">
      <c r="L61" s="1"/>
    </row>
    <row r="62" spans="12:12" x14ac:dyDescent="0.45">
      <c r="L62" s="1"/>
    </row>
    <row r="63" spans="12:12" x14ac:dyDescent="0.45">
      <c r="L63" s="1"/>
    </row>
    <row r="64" spans="12:12" x14ac:dyDescent="0.45">
      <c r="L64" s="1"/>
    </row>
    <row r="65" spans="12:12" x14ac:dyDescent="0.45">
      <c r="L65" s="1"/>
    </row>
    <row r="66" spans="12:12" x14ac:dyDescent="0.45">
      <c r="L66" s="1"/>
    </row>
    <row r="67" spans="12:12" x14ac:dyDescent="0.45">
      <c r="L67" s="1"/>
    </row>
    <row r="68" spans="12:12" x14ac:dyDescent="0.45">
      <c r="L68" s="1"/>
    </row>
    <row r="69" spans="12:12" x14ac:dyDescent="0.45">
      <c r="L69" s="1"/>
    </row>
    <row r="70" spans="12:12" x14ac:dyDescent="0.45">
      <c r="L70" s="1"/>
    </row>
    <row r="71" spans="12:12" x14ac:dyDescent="0.45">
      <c r="L71" s="1"/>
    </row>
    <row r="72" spans="12:12" x14ac:dyDescent="0.45">
      <c r="L72" s="1"/>
    </row>
    <row r="73" spans="12:12" x14ac:dyDescent="0.45">
      <c r="L73" s="1"/>
    </row>
    <row r="74" spans="12:12" x14ac:dyDescent="0.45">
      <c r="L74" s="1"/>
    </row>
    <row r="75" spans="12:12" x14ac:dyDescent="0.45">
      <c r="L75" s="1"/>
    </row>
    <row r="76" spans="12:12" x14ac:dyDescent="0.45">
      <c r="L76" s="1"/>
    </row>
    <row r="77" spans="12:12" x14ac:dyDescent="0.45">
      <c r="L77" s="1"/>
    </row>
    <row r="78" spans="12:12" x14ac:dyDescent="0.45">
      <c r="L78" s="1"/>
    </row>
    <row r="79" spans="12:12" x14ac:dyDescent="0.45">
      <c r="L79" s="1"/>
    </row>
  </sheetData>
  <mergeCells count="2">
    <mergeCell ref="B1:H1"/>
    <mergeCell ref="B2:H2"/>
  </mergeCells>
  <pageMargins left="0.7" right="0.7" top="0.75" bottom="0.75" header="0.3" footer="0.3"/>
  <pageSetup orientation="landscape" horizontalDpi="4294967293" r:id="rId1"/>
  <ignoredErrors>
    <ignoredError sqref="G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0A63-85C1-4112-A56F-95AD21BF73A8}">
  <sheetPr>
    <pageSetUpPr fitToPage="1"/>
  </sheetPr>
  <dimension ref="A1:S28"/>
  <sheetViews>
    <sheetView showGridLines="0" workbookViewId="0">
      <selection activeCell="E27" sqref="E27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2.609375" style="16" customWidth="1"/>
    <col min="5" max="7" width="12.609375" style="1" customWidth="1"/>
    <col min="8" max="9" width="9.77734375" style="1" customWidth="1"/>
    <col min="10" max="11" width="9.88671875" style="1" bestFit="1" customWidth="1"/>
    <col min="12" max="12" width="10.5546875" style="16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2:17" ht="18" x14ac:dyDescent="0.55000000000000004">
      <c r="B1" s="231" t="s">
        <v>198</v>
      </c>
      <c r="C1" s="231"/>
      <c r="D1" s="231"/>
      <c r="E1" s="231"/>
      <c r="F1" s="231"/>
      <c r="G1" s="231"/>
      <c r="H1" s="231"/>
      <c r="I1" s="23"/>
    </row>
    <row r="2" spans="2:17" ht="18" x14ac:dyDescent="0.45">
      <c r="B2" s="240" t="s">
        <v>114</v>
      </c>
      <c r="C2" s="240"/>
      <c r="D2" s="240"/>
      <c r="E2" s="240"/>
      <c r="F2" s="240"/>
      <c r="G2" s="240"/>
      <c r="H2" s="240"/>
      <c r="I2" s="197"/>
    </row>
    <row r="3" spans="2:17" x14ac:dyDescent="0.45">
      <c r="M3" s="16"/>
      <c r="Q3" s="16"/>
    </row>
    <row r="4" spans="2:17" ht="16.5" x14ac:dyDescent="0.75">
      <c r="C4" s="138" t="s">
        <v>102</v>
      </c>
      <c r="M4" s="115"/>
      <c r="Q4" s="123"/>
    </row>
    <row r="5" spans="2:17" x14ac:dyDescent="0.45">
      <c r="C5" s="139"/>
      <c r="D5" s="21"/>
      <c r="E5" s="140" t="s">
        <v>103</v>
      </c>
      <c r="F5" s="140" t="s">
        <v>104</v>
      </c>
      <c r="G5" s="140" t="s">
        <v>105</v>
      </c>
      <c r="H5" s="19"/>
      <c r="J5" s="178"/>
      <c r="K5" s="16"/>
      <c r="L5" s="141"/>
      <c r="M5" s="16"/>
      <c r="Q5" s="2"/>
    </row>
    <row r="6" spans="2:17" x14ac:dyDescent="0.45">
      <c r="C6" s="1" t="s">
        <v>106</v>
      </c>
      <c r="E6" s="153">
        <f>C20</f>
        <v>64520</v>
      </c>
      <c r="F6" s="154">
        <f>D20</f>
        <v>249253487</v>
      </c>
      <c r="G6" s="152">
        <f>F27</f>
        <v>3872977.8179700007</v>
      </c>
      <c r="H6" s="26"/>
      <c r="J6" s="141"/>
      <c r="K6" s="2"/>
    </row>
    <row r="7" spans="2:17" x14ac:dyDescent="0.45">
      <c r="C7" s="1" t="s">
        <v>107</v>
      </c>
      <c r="E7" s="2">
        <f>SUM(E6:E6)</f>
        <v>64520</v>
      </c>
      <c r="F7" s="22">
        <f>SUM(F6:F6)</f>
        <v>249253487</v>
      </c>
      <c r="G7" s="114">
        <f>SUM(G6:G6)</f>
        <v>3872977.8179700007</v>
      </c>
      <c r="H7" s="114"/>
      <c r="J7" s="141"/>
      <c r="K7" s="2"/>
      <c r="M7" s="142"/>
    </row>
    <row r="8" spans="2:17" x14ac:dyDescent="0.45">
      <c r="C8" s="1" t="s">
        <v>108</v>
      </c>
      <c r="E8" s="2"/>
      <c r="F8" s="22"/>
      <c r="G8" s="136">
        <f>ExBA!G8*1+SAO!G55</f>
        <v>-257273.86767040633</v>
      </c>
      <c r="H8" s="114"/>
      <c r="J8" s="141"/>
      <c r="K8" s="2"/>
      <c r="M8" s="142"/>
    </row>
    <row r="9" spans="2:17" x14ac:dyDescent="0.45">
      <c r="C9" s="1" t="s">
        <v>109</v>
      </c>
      <c r="E9" s="2"/>
      <c r="F9" s="22"/>
      <c r="G9" s="114">
        <f>G7+G8</f>
        <v>3615703.9502995946</v>
      </c>
      <c r="H9" s="114"/>
      <c r="J9" s="141"/>
      <c r="K9" s="2"/>
      <c r="M9" s="142"/>
    </row>
    <row r="10" spans="2:17" x14ac:dyDescent="0.45">
      <c r="C10" s="1" t="s">
        <v>219</v>
      </c>
      <c r="E10" s="2"/>
      <c r="F10" s="22"/>
      <c r="G10" s="136">
        <f>-SAO!G52</f>
        <v>-3702350.5639801384</v>
      </c>
      <c r="H10" s="114"/>
      <c r="J10" s="141"/>
      <c r="K10" s="142"/>
    </row>
    <row r="11" spans="2:17" x14ac:dyDescent="0.45">
      <c r="C11" s="1" t="s">
        <v>237</v>
      </c>
      <c r="D11" s="143"/>
      <c r="F11" s="17"/>
      <c r="G11" s="115">
        <f>G9+G10</f>
        <v>-86646.613680543844</v>
      </c>
      <c r="H11" s="144"/>
      <c r="I11" s="115"/>
      <c r="J11" s="141"/>
      <c r="O11" s="2"/>
    </row>
    <row r="12" spans="2:17" x14ac:dyDescent="0.45">
      <c r="C12" s="1" t="s">
        <v>238</v>
      </c>
      <c r="D12" s="143"/>
      <c r="F12" s="17"/>
      <c r="G12" s="198">
        <f>-G11/G10</f>
        <v>-2.340313597624211E-2</v>
      </c>
      <c r="I12" s="115"/>
      <c r="J12" s="141"/>
    </row>
    <row r="13" spans="2:17" x14ac:dyDescent="0.45">
      <c r="D13" s="143"/>
      <c r="F13" s="17"/>
      <c r="G13" s="143"/>
      <c r="I13" s="115"/>
    </row>
    <row r="14" spans="2:17" x14ac:dyDescent="0.45">
      <c r="F14" s="145"/>
      <c r="G14" s="115"/>
    </row>
    <row r="15" spans="2:17" x14ac:dyDescent="0.45">
      <c r="F15" s="115"/>
      <c r="G15" s="115"/>
    </row>
    <row r="16" spans="2:17" ht="15.4" x14ac:dyDescent="0.45">
      <c r="E16" s="19" t="s">
        <v>35</v>
      </c>
      <c r="F16" s="19" t="s">
        <v>67</v>
      </c>
      <c r="I16"/>
      <c r="J16"/>
      <c r="K16"/>
      <c r="L16"/>
      <c r="M16"/>
      <c r="N16"/>
    </row>
    <row r="17" spans="1:19" ht="15.4" x14ac:dyDescent="0.45">
      <c r="B17" s="139" t="s">
        <v>36</v>
      </c>
      <c r="C17" s="146" t="s">
        <v>37</v>
      </c>
      <c r="D17" s="113" t="s">
        <v>38</v>
      </c>
      <c r="E17" s="146">
        <f>B18</f>
        <v>2000</v>
      </c>
      <c r="F17" s="146">
        <f>B19</f>
        <v>2000</v>
      </c>
      <c r="G17" s="140" t="s">
        <v>39</v>
      </c>
      <c r="I17"/>
      <c r="J17"/>
      <c r="K17"/>
      <c r="L17"/>
      <c r="M17"/>
      <c r="N17"/>
    </row>
    <row r="18" spans="1:19" ht="15.4" x14ac:dyDescent="0.45">
      <c r="A18" s="20" t="s">
        <v>207</v>
      </c>
      <c r="B18" s="218">
        <v>2000</v>
      </c>
      <c r="C18" s="147">
        <f>ExBA!C18</f>
        <v>25624</v>
      </c>
      <c r="D18" s="147">
        <f>ExBA!D18</f>
        <v>24177238</v>
      </c>
      <c r="E18" s="143">
        <f>D18</f>
        <v>24177238</v>
      </c>
      <c r="F18" s="143">
        <v>0</v>
      </c>
      <c r="G18" s="143">
        <f>SUM(E18:F18)</f>
        <v>24177238</v>
      </c>
      <c r="I18"/>
      <c r="J18"/>
      <c r="K18"/>
      <c r="L18"/>
      <c r="M18"/>
      <c r="N18"/>
    </row>
    <row r="19" spans="1:19" ht="15.4" x14ac:dyDescent="0.45">
      <c r="A19" s="20" t="s">
        <v>258</v>
      </c>
      <c r="B19" s="218">
        <v>2000</v>
      </c>
      <c r="C19" s="148">
        <f>ExBA!C19</f>
        <v>38896</v>
      </c>
      <c r="D19" s="148">
        <f>ExBA!D19</f>
        <v>225076249</v>
      </c>
      <c r="E19" s="149">
        <f>C19*E$17</f>
        <v>77792000</v>
      </c>
      <c r="F19" s="149">
        <f>D19-E19</f>
        <v>147284249</v>
      </c>
      <c r="G19" s="149">
        <f>SUM(E19:F19)</f>
        <v>225076249</v>
      </c>
      <c r="I19"/>
      <c r="J19"/>
      <c r="K19"/>
      <c r="L19"/>
      <c r="M19"/>
      <c r="N19"/>
    </row>
    <row r="20" spans="1:19" ht="15.4" x14ac:dyDescent="0.45">
      <c r="A20" s="20"/>
      <c r="B20" s="116" t="s">
        <v>39</v>
      </c>
      <c r="C20" s="22">
        <f>SUM(C18:C19)</f>
        <v>64520</v>
      </c>
      <c r="D20" s="22">
        <f>SUM(D18:D19)</f>
        <v>249253487</v>
      </c>
      <c r="E20" s="22">
        <f>SUM(E18:E19)</f>
        <v>101969238</v>
      </c>
      <c r="F20" s="22">
        <f>SUM(F18:F19)</f>
        <v>147284249</v>
      </c>
      <c r="G20" s="22">
        <f>SUM(G18:G19)</f>
        <v>249253487</v>
      </c>
      <c r="H20" s="16"/>
      <c r="I20"/>
      <c r="J20"/>
      <c r="K20"/>
      <c r="L20"/>
      <c r="M20"/>
      <c r="N20"/>
    </row>
    <row r="21" spans="1:19" ht="15.4" x14ac:dyDescent="0.45">
      <c r="A21" s="20"/>
      <c r="B21" s="116"/>
      <c r="E21" s="116"/>
      <c r="F21" s="116"/>
      <c r="G21" s="116"/>
      <c r="H21" s="116"/>
      <c r="I21" s="116"/>
      <c r="N21"/>
      <c r="O21"/>
      <c r="P21"/>
      <c r="Q21"/>
      <c r="R21"/>
      <c r="S21"/>
    </row>
    <row r="22" spans="1:19" ht="15.4" x14ac:dyDescent="0.45">
      <c r="A22" s="117" t="s">
        <v>112</v>
      </c>
      <c r="B22" s="117"/>
      <c r="E22" s="116"/>
      <c r="F22" s="116"/>
      <c r="G22" s="116"/>
      <c r="H22" s="116"/>
      <c r="I22" s="116"/>
      <c r="N22"/>
      <c r="O22"/>
      <c r="P22"/>
      <c r="Q22"/>
      <c r="R22"/>
      <c r="S22"/>
    </row>
    <row r="23" spans="1:19" ht="15.4" x14ac:dyDescent="0.45">
      <c r="A23" s="20"/>
      <c r="B23" s="139" t="s">
        <v>36</v>
      </c>
      <c r="C23" s="146" t="s">
        <v>37</v>
      </c>
      <c r="D23" s="113" t="s">
        <v>38</v>
      </c>
      <c r="E23" s="146" t="s">
        <v>40</v>
      </c>
      <c r="F23" s="146" t="s">
        <v>41</v>
      </c>
      <c r="G23" s="116"/>
      <c r="H23" s="116"/>
      <c r="I23" s="116"/>
      <c r="N23"/>
      <c r="O23"/>
      <c r="P23"/>
      <c r="Q23"/>
      <c r="R23"/>
      <c r="S23"/>
    </row>
    <row r="24" spans="1:19" ht="15.4" x14ac:dyDescent="0.45">
      <c r="A24" s="20" t="s">
        <v>256</v>
      </c>
      <c r="B24" s="217" t="s">
        <v>257</v>
      </c>
      <c r="C24" s="214">
        <v>64520</v>
      </c>
      <c r="D24" s="155"/>
      <c r="E24" s="150">
        <f>Rates!L9</f>
        <v>13.13</v>
      </c>
      <c r="F24" s="219">
        <f>C24*E24</f>
        <v>847147.60000000009</v>
      </c>
      <c r="G24" s="116"/>
      <c r="H24" s="116"/>
      <c r="I24" s="116"/>
      <c r="N24"/>
      <c r="O24"/>
      <c r="P24"/>
      <c r="Q24"/>
      <c r="R24"/>
      <c r="S24"/>
    </row>
    <row r="25" spans="1:19" ht="15.4" x14ac:dyDescent="0.45">
      <c r="A25" s="20" t="s">
        <v>207</v>
      </c>
      <c r="B25" s="218">
        <f>B18</f>
        <v>2000</v>
      </c>
      <c r="C25" s="16">
        <f>C20</f>
        <v>64520</v>
      </c>
      <c r="D25" s="143">
        <f>E20</f>
        <v>101969238</v>
      </c>
      <c r="E25" s="150">
        <f>Rates!L10</f>
        <v>14.06</v>
      </c>
      <c r="F25" s="21">
        <f>E25*(D25/1000)</f>
        <v>1433687.4862800001</v>
      </c>
      <c r="G25" s="116"/>
      <c r="N25"/>
      <c r="O25"/>
      <c r="P25"/>
      <c r="Q25"/>
      <c r="R25"/>
      <c r="S25"/>
    </row>
    <row r="26" spans="1:19" ht="15.4" x14ac:dyDescent="0.45">
      <c r="A26" s="20" t="s">
        <v>258</v>
      </c>
      <c r="B26" s="218">
        <f>B19</f>
        <v>2000</v>
      </c>
      <c r="D26" s="143">
        <f>F20</f>
        <v>147284249</v>
      </c>
      <c r="E26" s="150">
        <f>Rates!L11</f>
        <v>10.81</v>
      </c>
      <c r="F26" s="21">
        <f>E26*(D26/1000)</f>
        <v>1592142.7316900003</v>
      </c>
      <c r="G26" s="116"/>
      <c r="N26"/>
      <c r="O26"/>
      <c r="P26"/>
      <c r="Q26"/>
      <c r="R26"/>
      <c r="S26"/>
    </row>
    <row r="27" spans="1:19" x14ac:dyDescent="0.45">
      <c r="A27" s="20"/>
      <c r="B27" s="116" t="s">
        <v>39</v>
      </c>
      <c r="C27" s="16">
        <f>SUM(C25:C26)</f>
        <v>64520</v>
      </c>
      <c r="D27" s="22">
        <f>SUM(D25:D26)</f>
        <v>249253487</v>
      </c>
      <c r="F27" s="26">
        <f>SUM(F24:F26)</f>
        <v>3872977.8179700007</v>
      </c>
      <c r="G27" s="26"/>
      <c r="H27" s="116"/>
      <c r="I27" s="151"/>
    </row>
    <row r="28" spans="1:19" x14ac:dyDescent="0.45">
      <c r="A28" s="20"/>
      <c r="B28" s="116"/>
      <c r="C28" s="16"/>
      <c r="D28" s="22"/>
      <c r="F28" s="26"/>
      <c r="G28" s="116"/>
      <c r="H28" s="116"/>
      <c r="I28" s="116"/>
    </row>
  </sheetData>
  <mergeCells count="2">
    <mergeCell ref="B1:H1"/>
    <mergeCell ref="B2:H2"/>
  </mergeCells>
  <pageMargins left="0.7" right="0.7" top="0.75" bottom="0.75" header="0.3" footer="0.3"/>
  <pageSetup orientation="landscape" horizontalDpi="4294967293" r:id="rId1"/>
  <ignoredErrors>
    <ignoredError sqref="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SAO</vt:lpstr>
      <vt:lpstr>Depreciation</vt:lpstr>
      <vt:lpstr>Debt Service</vt:lpstr>
      <vt:lpstr>Purchased Water</vt:lpstr>
      <vt:lpstr>Rates</vt:lpstr>
      <vt:lpstr>Bills</vt:lpstr>
      <vt:lpstr>ExBA</vt:lpstr>
      <vt:lpstr>PrBA</vt:lpstr>
      <vt:lpstr>Bills!Print_Area</vt:lpstr>
      <vt:lpstr>'Debt Service'!Print_Area</vt:lpstr>
      <vt:lpstr>Depreciation!Print_Area</vt:lpstr>
      <vt:lpstr>ExBA!Print_Area</vt:lpstr>
      <vt:lpstr>PrBA!Print_Area</vt:lpstr>
      <vt:lpstr>Rates!Print_Area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2025-01-23T21:21:06Z</cp:lastPrinted>
  <dcterms:created xsi:type="dcterms:W3CDTF">2016-05-18T14:12:06Z</dcterms:created>
  <dcterms:modified xsi:type="dcterms:W3CDTF">2025-02-07T23:01:42Z</dcterms:modified>
</cp:coreProperties>
</file>