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JECTS\Falmouth\23021 Wholesale Water Rate Study\"/>
    </mc:Choice>
  </mc:AlternateContent>
  <xr:revisionPtr revIDLastSave="0" documentId="13_ncr:1_{FDC34A35-033E-45FB-AB2D-5EC32663DAA7}" xr6:coauthVersionLast="47" xr6:coauthVersionMax="47" xr10:uidLastSave="{00000000-0000-0000-0000-000000000000}"/>
  <bookViews>
    <workbookView xWindow="32385" yWindow="1875" windowWidth="21600" windowHeight="11385" firstSheet="4" activeTab="7" xr2:uid="{621AA4AF-E1C4-4572-89DF-0FCF5D0B4E5B}"/>
  </bookViews>
  <sheets>
    <sheet name="Budget Analysis" sheetId="1" r:id="rId1"/>
    <sheet name="WTP Electric Usage" sheetId="4" r:id="rId2"/>
    <sheet name="Water Production and Sales" sheetId="2" r:id="rId3"/>
    <sheet name="Historical Water Sales" sheetId="3" r:id="rId4"/>
    <sheet name="Distribution Factor" sheetId="5" r:id="rId5"/>
    <sheet name="Wholesale Allocation Factors" sheetId="8" r:id="rId6"/>
    <sheet name="Allocation of Expenses" sheetId="9" r:id="rId7"/>
    <sheet name="Wholesale Rate" sheetId="10" r:id="rId8"/>
    <sheet name="Depreciation Calc" sheetId="6" r:id="rId9"/>
    <sheet name="Annual Water Sales" sheetId="7" r:id="rId10"/>
  </sheets>
  <definedNames>
    <definedName name="_xlnm.Print_Area" localSheetId="6">'Allocation of Expenses'!$D$3:$H$41</definedName>
    <definedName name="_xlnm.Print_Area" localSheetId="9">'Annual Water Sales'!$D$1:$I$112</definedName>
    <definedName name="_xlnm.Print_Area" localSheetId="0">'Budget Analysis'!$A$1:$J$91</definedName>
    <definedName name="_xlnm.Print_Area" localSheetId="4">'Distribution Factor'!$B$34:$I$61</definedName>
    <definedName name="_xlnm.Print_Area" localSheetId="2">'Water Production and Sales'!$C$1:$L$87</definedName>
    <definedName name="_xlnm.Print_Area" localSheetId="5">'Wholesale Allocation Factors'!$D$5:$H$31</definedName>
    <definedName name="_xlnm.Print_Area" localSheetId="7">'Wholesale Rate'!$C$2:$J$26</definedName>
    <definedName name="_xlnm.Print_Area" localSheetId="1">'WTP Electric Usage'!$C$1:$N$51</definedName>
    <definedName name="_xlnm.Print_Titles" localSheetId="0">'Budget Analysis'!$1:$2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0" l="1"/>
  <c r="D25" i="10"/>
  <c r="I20" i="10"/>
  <c r="I19" i="10"/>
  <c r="J19" i="10" s="1"/>
  <c r="F20" i="10"/>
  <c r="F19" i="10"/>
  <c r="G19" i="10"/>
  <c r="J20" i="10"/>
  <c r="H6" i="10"/>
  <c r="E6" i="10"/>
  <c r="D7" i="10"/>
  <c r="I7" i="10" s="1"/>
  <c r="H20" i="10"/>
  <c r="H19" i="10"/>
  <c r="H15" i="10"/>
  <c r="H11" i="10"/>
  <c r="H18" i="10"/>
  <c r="H14" i="10"/>
  <c r="H10" i="10"/>
  <c r="H8" i="10"/>
  <c r="H7" i="10"/>
  <c r="E18" i="10"/>
  <c r="E20" i="10"/>
  <c r="E19" i="10"/>
  <c r="E15" i="10"/>
  <c r="E11" i="10"/>
  <c r="E14" i="10"/>
  <c r="E10" i="10"/>
  <c r="E8" i="10"/>
  <c r="E7" i="10"/>
  <c r="G39" i="9"/>
  <c r="D15" i="10" s="1"/>
  <c r="F39" i="9"/>
  <c r="D14" i="10" s="1"/>
  <c r="G20" i="9"/>
  <c r="G38" i="9" s="1"/>
  <c r="D11" i="10" s="1"/>
  <c r="G9" i="9"/>
  <c r="G10" i="9"/>
  <c r="G7" i="9"/>
  <c r="G8" i="9"/>
  <c r="F20" i="9"/>
  <c r="F38" i="9" s="1"/>
  <c r="D10" i="10" s="1"/>
  <c r="F16" i="9"/>
  <c r="E16" i="9" s="1"/>
  <c r="F11" i="9"/>
  <c r="E11" i="9" s="1"/>
  <c r="F15" i="9"/>
  <c r="E15" i="9" s="1"/>
  <c r="F12" i="9"/>
  <c r="E12" i="9" s="1"/>
  <c r="F14" i="9"/>
  <c r="E14" i="9" s="1"/>
  <c r="F13" i="9"/>
  <c r="E13" i="9" s="1"/>
  <c r="D8" i="10" s="1"/>
  <c r="F10" i="9"/>
  <c r="E10" i="9" s="1"/>
  <c r="F8" i="9"/>
  <c r="E8" i="9" s="1"/>
  <c r="F9" i="9"/>
  <c r="F7" i="9"/>
  <c r="F133" i="9"/>
  <c r="F97" i="9"/>
  <c r="F57" i="9"/>
  <c r="E57" i="9"/>
  <c r="H31" i="8"/>
  <c r="H30" i="8"/>
  <c r="H28" i="8"/>
  <c r="H27" i="8"/>
  <c r="H25" i="8"/>
  <c r="H24" i="8"/>
  <c r="E42" i="8"/>
  <c r="E41" i="8"/>
  <c r="E40" i="8"/>
  <c r="H22" i="8"/>
  <c r="H21" i="8"/>
  <c r="H19" i="8"/>
  <c r="H18" i="8"/>
  <c r="H16" i="8"/>
  <c r="H15" i="8"/>
  <c r="K115" i="2"/>
  <c r="I115" i="2"/>
  <c r="F115" i="2"/>
  <c r="E115" i="2"/>
  <c r="G114" i="2"/>
  <c r="L114" i="2" s="1"/>
  <c r="G113" i="2"/>
  <c r="L113" i="2" s="1"/>
  <c r="G112" i="2"/>
  <c r="L112" i="2" s="1"/>
  <c r="G111" i="2"/>
  <c r="L111" i="2" s="1"/>
  <c r="G110" i="2"/>
  <c r="L110" i="2" s="1"/>
  <c r="G109" i="2"/>
  <c r="L109" i="2" s="1"/>
  <c r="G108" i="2"/>
  <c r="L108" i="2" s="1"/>
  <c r="G107" i="2"/>
  <c r="L107" i="2" s="1"/>
  <c r="G106" i="2"/>
  <c r="L106" i="2" s="1"/>
  <c r="G105" i="2"/>
  <c r="L105" i="2" s="1"/>
  <c r="G104" i="2"/>
  <c r="L104" i="2" s="1"/>
  <c r="G103" i="2"/>
  <c r="H10" i="8"/>
  <c r="H9" i="8"/>
  <c r="H12" i="8"/>
  <c r="H13" i="8"/>
  <c r="G12" i="5"/>
  <c r="G26" i="5"/>
  <c r="G58" i="5"/>
  <c r="G44" i="5"/>
  <c r="E12" i="5"/>
  <c r="E26" i="5"/>
  <c r="E58" i="5"/>
  <c r="E44" i="5"/>
  <c r="H52" i="5"/>
  <c r="H51" i="5"/>
  <c r="F52" i="5"/>
  <c r="F51" i="5"/>
  <c r="H38" i="5"/>
  <c r="H37" i="5"/>
  <c r="F38" i="5"/>
  <c r="F37" i="5"/>
  <c r="H6" i="5"/>
  <c r="H21" i="5"/>
  <c r="H20" i="5"/>
  <c r="F20" i="5"/>
  <c r="F6" i="5"/>
  <c r="H57" i="5"/>
  <c r="F57" i="5"/>
  <c r="H56" i="5"/>
  <c r="F56" i="5"/>
  <c r="H55" i="5"/>
  <c r="F55" i="5"/>
  <c r="H54" i="5"/>
  <c r="F54" i="5"/>
  <c r="H53" i="5"/>
  <c r="F53" i="5"/>
  <c r="H43" i="5"/>
  <c r="F43" i="5"/>
  <c r="H42" i="5"/>
  <c r="F42" i="5"/>
  <c r="H41" i="5"/>
  <c r="F41" i="5"/>
  <c r="H40" i="5"/>
  <c r="F40" i="5"/>
  <c r="H39" i="5"/>
  <c r="F39" i="5"/>
  <c r="F78" i="2"/>
  <c r="F109" i="7"/>
  <c r="F68" i="7"/>
  <c r="F104" i="7"/>
  <c r="I103" i="7"/>
  <c r="G103" i="7"/>
  <c r="G102" i="7"/>
  <c r="I102" i="7" s="1"/>
  <c r="G101" i="7"/>
  <c r="I101" i="7" s="1"/>
  <c r="G100" i="7"/>
  <c r="I100" i="7" s="1"/>
  <c r="I99" i="7"/>
  <c r="G99" i="7"/>
  <c r="G98" i="7"/>
  <c r="I98" i="7" s="1"/>
  <c r="G97" i="7"/>
  <c r="I97" i="7" s="1"/>
  <c r="G96" i="7"/>
  <c r="I96" i="7" s="1"/>
  <c r="I95" i="7"/>
  <c r="G95" i="7"/>
  <c r="G94" i="7"/>
  <c r="I94" i="7" s="1"/>
  <c r="G93" i="7"/>
  <c r="I93" i="7" s="1"/>
  <c r="G92" i="7"/>
  <c r="I92" i="7" s="1"/>
  <c r="F89" i="7"/>
  <c r="F107" i="7" s="1"/>
  <c r="G88" i="7"/>
  <c r="I88" i="7" s="1"/>
  <c r="G87" i="7"/>
  <c r="I87" i="7" s="1"/>
  <c r="G86" i="7"/>
  <c r="I86" i="7" s="1"/>
  <c r="I85" i="7"/>
  <c r="G85" i="7"/>
  <c r="G84" i="7"/>
  <c r="I84" i="7" s="1"/>
  <c r="G83" i="7"/>
  <c r="I83" i="7" s="1"/>
  <c r="G82" i="7"/>
  <c r="I82" i="7" s="1"/>
  <c r="I81" i="7"/>
  <c r="G81" i="7"/>
  <c r="G80" i="7"/>
  <c r="I80" i="7" s="1"/>
  <c r="G79" i="7"/>
  <c r="I79" i="7" s="1"/>
  <c r="G78" i="7"/>
  <c r="I78" i="7" s="1"/>
  <c r="I77" i="7"/>
  <c r="G77" i="7"/>
  <c r="F66" i="7"/>
  <c r="F63" i="7"/>
  <c r="G62" i="7"/>
  <c r="I62" i="7" s="1"/>
  <c r="G61" i="7"/>
  <c r="I61" i="7" s="1"/>
  <c r="G60" i="7"/>
  <c r="I60" i="7" s="1"/>
  <c r="G59" i="7"/>
  <c r="I59" i="7" s="1"/>
  <c r="G58" i="7"/>
  <c r="I58" i="7" s="1"/>
  <c r="G57" i="7"/>
  <c r="I57" i="7" s="1"/>
  <c r="G56" i="7"/>
  <c r="I56" i="7" s="1"/>
  <c r="G55" i="7"/>
  <c r="I55" i="7" s="1"/>
  <c r="G54" i="7"/>
  <c r="I54" i="7" s="1"/>
  <c r="G53" i="7"/>
  <c r="I53" i="7" s="1"/>
  <c r="G52" i="7"/>
  <c r="I52" i="7" s="1"/>
  <c r="G51" i="7"/>
  <c r="I51" i="7" s="1"/>
  <c r="F48" i="7"/>
  <c r="G47" i="7"/>
  <c r="I47" i="7" s="1"/>
  <c r="G46" i="7"/>
  <c r="I46" i="7" s="1"/>
  <c r="G45" i="7"/>
  <c r="I45" i="7" s="1"/>
  <c r="G44" i="7"/>
  <c r="I44" i="7" s="1"/>
  <c r="G43" i="7"/>
  <c r="I43" i="7" s="1"/>
  <c r="G42" i="7"/>
  <c r="I42" i="7" s="1"/>
  <c r="G41" i="7"/>
  <c r="I41" i="7" s="1"/>
  <c r="G40" i="7"/>
  <c r="I40" i="7" s="1"/>
  <c r="G39" i="7"/>
  <c r="I39" i="7" s="1"/>
  <c r="G38" i="7"/>
  <c r="I38" i="7" s="1"/>
  <c r="G37" i="7"/>
  <c r="I37" i="7" s="1"/>
  <c r="G36" i="7"/>
  <c r="I36" i="7" s="1"/>
  <c r="F33" i="7"/>
  <c r="G32" i="7"/>
  <c r="I32" i="7" s="1"/>
  <c r="G31" i="7"/>
  <c r="I31" i="7" s="1"/>
  <c r="G30" i="7"/>
  <c r="I30" i="7" s="1"/>
  <c r="G29" i="7"/>
  <c r="I29" i="7" s="1"/>
  <c r="G28" i="7"/>
  <c r="I28" i="7" s="1"/>
  <c r="G27" i="7"/>
  <c r="I27" i="7" s="1"/>
  <c r="G26" i="7"/>
  <c r="I26" i="7" s="1"/>
  <c r="G25" i="7"/>
  <c r="I25" i="7" s="1"/>
  <c r="G24" i="7"/>
  <c r="I24" i="7" s="1"/>
  <c r="G23" i="7"/>
  <c r="I23" i="7" s="1"/>
  <c r="G22" i="7"/>
  <c r="I22" i="7" s="1"/>
  <c r="G21" i="7"/>
  <c r="I21" i="7" s="1"/>
  <c r="F18" i="7"/>
  <c r="G17" i="7"/>
  <c r="I17" i="7" s="1"/>
  <c r="I16" i="7"/>
  <c r="G16" i="7"/>
  <c r="G15" i="7"/>
  <c r="I15" i="7" s="1"/>
  <c r="I14" i="7"/>
  <c r="G14" i="7"/>
  <c r="G13" i="7"/>
  <c r="I13" i="7" s="1"/>
  <c r="I12" i="7"/>
  <c r="G12" i="7"/>
  <c r="G11" i="7"/>
  <c r="I11" i="7" s="1"/>
  <c r="I10" i="7"/>
  <c r="G10" i="7"/>
  <c r="G9" i="7"/>
  <c r="I9" i="7" s="1"/>
  <c r="I8" i="7"/>
  <c r="G8" i="7"/>
  <c r="G7" i="7"/>
  <c r="I7" i="7" s="1"/>
  <c r="I6" i="7"/>
  <c r="G6" i="7"/>
  <c r="L18" i="2"/>
  <c r="M18" i="2" s="1"/>
  <c r="L17" i="2"/>
  <c r="M17" i="2" s="1"/>
  <c r="L16" i="2"/>
  <c r="M16" i="2" s="1"/>
  <c r="L15" i="2"/>
  <c r="M15" i="2" s="1"/>
  <c r="L14" i="2"/>
  <c r="M14" i="2" s="1"/>
  <c r="L13" i="2"/>
  <c r="M13" i="2" s="1"/>
  <c r="L12" i="2"/>
  <c r="M12" i="2" s="1"/>
  <c r="L11" i="2"/>
  <c r="M11" i="2" s="1"/>
  <c r="L10" i="2"/>
  <c r="M10" i="2" s="1"/>
  <c r="L9" i="2"/>
  <c r="M9" i="2" s="1"/>
  <c r="L8" i="2"/>
  <c r="M8" i="2" s="1"/>
  <c r="L7" i="2"/>
  <c r="M7" i="2" s="1"/>
  <c r="L6" i="2"/>
  <c r="M6" i="2" s="1"/>
  <c r="L41" i="2"/>
  <c r="M41" i="2" s="1"/>
  <c r="L40" i="2"/>
  <c r="M40" i="2" s="1"/>
  <c r="L39" i="2"/>
  <c r="M39" i="2" s="1"/>
  <c r="L38" i="2"/>
  <c r="M38" i="2" s="1"/>
  <c r="M37" i="2"/>
  <c r="L37" i="2"/>
  <c r="M36" i="2"/>
  <c r="L36" i="2"/>
  <c r="L35" i="2"/>
  <c r="M35" i="2" s="1"/>
  <c r="L34" i="2"/>
  <c r="M34" i="2" s="1"/>
  <c r="M33" i="2"/>
  <c r="L33" i="2"/>
  <c r="M32" i="2"/>
  <c r="L32" i="2"/>
  <c r="L31" i="2"/>
  <c r="M31" i="2" s="1"/>
  <c r="L30" i="2"/>
  <c r="M30" i="2" s="1"/>
  <c r="M29" i="2"/>
  <c r="L29" i="2"/>
  <c r="J17" i="2"/>
  <c r="J16" i="2"/>
  <c r="J15" i="2"/>
  <c r="J14" i="2"/>
  <c r="J13" i="2"/>
  <c r="J12" i="2"/>
  <c r="J11" i="2"/>
  <c r="J10" i="2"/>
  <c r="J9" i="2"/>
  <c r="J8" i="2"/>
  <c r="J7" i="2"/>
  <c r="J6" i="2"/>
  <c r="J40" i="2"/>
  <c r="J39" i="2"/>
  <c r="J38" i="2"/>
  <c r="J37" i="2"/>
  <c r="J36" i="2"/>
  <c r="J35" i="2"/>
  <c r="J34" i="2"/>
  <c r="J33" i="2"/>
  <c r="J32" i="2"/>
  <c r="J31" i="2"/>
  <c r="J30" i="2"/>
  <c r="J29" i="2"/>
  <c r="M63" i="2"/>
  <c r="M62" i="2"/>
  <c r="M61" i="2"/>
  <c r="M60" i="2"/>
  <c r="M59" i="2"/>
  <c r="M58" i="2"/>
  <c r="M57" i="2"/>
  <c r="M56" i="2"/>
  <c r="M55" i="2"/>
  <c r="M54" i="2"/>
  <c r="M52" i="2"/>
  <c r="L63" i="2"/>
  <c r="L62" i="2"/>
  <c r="L61" i="2"/>
  <c r="L60" i="2"/>
  <c r="L59" i="2"/>
  <c r="L58" i="2"/>
  <c r="L57" i="2"/>
  <c r="L56" i="2"/>
  <c r="L55" i="2"/>
  <c r="L54" i="2"/>
  <c r="L52" i="2"/>
  <c r="J63" i="2"/>
  <c r="J62" i="2"/>
  <c r="J61" i="2"/>
  <c r="J60" i="2"/>
  <c r="J59" i="2"/>
  <c r="J58" i="2"/>
  <c r="J57" i="2"/>
  <c r="J56" i="2"/>
  <c r="J55" i="2"/>
  <c r="J54" i="2"/>
  <c r="J52" i="2"/>
  <c r="H85" i="2"/>
  <c r="D85" i="2"/>
  <c r="D84" i="2"/>
  <c r="K41" i="6"/>
  <c r="K43" i="6"/>
  <c r="K42" i="6"/>
  <c r="H3" i="6"/>
  <c r="K3" i="6" s="1"/>
  <c r="O3" i="6"/>
  <c r="H4" i="6"/>
  <c r="M4" i="6"/>
  <c r="P4" i="6" s="1"/>
  <c r="O4" i="6"/>
  <c r="H5" i="6"/>
  <c r="P5" i="6" s="1"/>
  <c r="M5" i="6"/>
  <c r="O5" i="6"/>
  <c r="H6" i="6"/>
  <c r="M6" i="6"/>
  <c r="P6" i="6" s="1"/>
  <c r="O6" i="6"/>
  <c r="H7" i="6"/>
  <c r="K7" i="6"/>
  <c r="M7" i="6" s="1"/>
  <c r="O7" i="6"/>
  <c r="H8" i="6"/>
  <c r="K8" i="6"/>
  <c r="M8" i="6" s="1"/>
  <c r="O8" i="6"/>
  <c r="H9" i="6"/>
  <c r="K9" i="6" s="1"/>
  <c r="M9" i="6" s="1"/>
  <c r="P9" i="6" s="1"/>
  <c r="O9" i="6"/>
  <c r="H10" i="6"/>
  <c r="K10" i="6" s="1"/>
  <c r="M10" i="6" s="1"/>
  <c r="P10" i="6" s="1"/>
  <c r="O10" i="6"/>
  <c r="H11" i="6"/>
  <c r="P11" i="6" s="1"/>
  <c r="K11" i="6"/>
  <c r="M11" i="6"/>
  <c r="O11" i="6"/>
  <c r="H12" i="6"/>
  <c r="K12" i="6"/>
  <c r="M12" i="6" s="1"/>
  <c r="P12" i="6" s="1"/>
  <c r="O12" i="6"/>
  <c r="H13" i="6"/>
  <c r="K13" i="6" s="1"/>
  <c r="M13" i="6" s="1"/>
  <c r="O13" i="6"/>
  <c r="H14" i="6"/>
  <c r="O14" i="6"/>
  <c r="H15" i="6"/>
  <c r="K15" i="6"/>
  <c r="M15" i="6"/>
  <c r="P15" i="6" s="1"/>
  <c r="O15" i="6"/>
  <c r="H16" i="6"/>
  <c r="P16" i="6" s="1"/>
  <c r="K16" i="6"/>
  <c r="M16" i="6" s="1"/>
  <c r="O16" i="6"/>
  <c r="H17" i="6"/>
  <c r="K17" i="6" s="1"/>
  <c r="M17" i="6" s="1"/>
  <c r="P17" i="6" s="1"/>
  <c r="O17" i="6"/>
  <c r="H18" i="6"/>
  <c r="K18" i="6" s="1"/>
  <c r="M18" i="6" s="1"/>
  <c r="P18" i="6" s="1"/>
  <c r="O18" i="6"/>
  <c r="H19" i="6"/>
  <c r="P19" i="6" s="1"/>
  <c r="K19" i="6"/>
  <c r="M19" i="6"/>
  <c r="O19" i="6"/>
  <c r="H20" i="6"/>
  <c r="K20" i="6"/>
  <c r="M20" i="6" s="1"/>
  <c r="P20" i="6" s="1"/>
  <c r="O20" i="6"/>
  <c r="H21" i="6"/>
  <c r="K21" i="6" s="1"/>
  <c r="M21" i="6" s="1"/>
  <c r="O21" i="6"/>
  <c r="H22" i="6"/>
  <c r="O22" i="6"/>
  <c r="H23" i="6"/>
  <c r="K23" i="6"/>
  <c r="M23" i="6"/>
  <c r="P23" i="6" s="1"/>
  <c r="O23" i="6"/>
  <c r="H24" i="6"/>
  <c r="K24" i="6"/>
  <c r="M24" i="6" s="1"/>
  <c r="O24" i="6"/>
  <c r="H25" i="6"/>
  <c r="K25" i="6" s="1"/>
  <c r="M25" i="6" s="1"/>
  <c r="P25" i="6" s="1"/>
  <c r="O25" i="6"/>
  <c r="H26" i="6"/>
  <c r="K26" i="6" s="1"/>
  <c r="M26" i="6" s="1"/>
  <c r="P26" i="6" s="1"/>
  <c r="O26" i="6"/>
  <c r="H27" i="6"/>
  <c r="P27" i="6" s="1"/>
  <c r="K27" i="6"/>
  <c r="M27" i="6"/>
  <c r="O27" i="6"/>
  <c r="H28" i="6"/>
  <c r="K28" i="6"/>
  <c r="M28" i="6" s="1"/>
  <c r="P28" i="6" s="1"/>
  <c r="O28" i="6"/>
  <c r="H29" i="6"/>
  <c r="K29" i="6" s="1"/>
  <c r="M29" i="6" s="1"/>
  <c r="O29" i="6"/>
  <c r="H30" i="6"/>
  <c r="O30" i="6"/>
  <c r="H31" i="6"/>
  <c r="K31" i="6"/>
  <c r="M31" i="6"/>
  <c r="P31" i="6" s="1"/>
  <c r="O31" i="6"/>
  <c r="H32" i="6"/>
  <c r="K32" i="6"/>
  <c r="M32" i="6" s="1"/>
  <c r="O32" i="6"/>
  <c r="H33" i="6"/>
  <c r="K33" i="6" s="1"/>
  <c r="M33" i="6" s="1"/>
  <c r="P33" i="6" s="1"/>
  <c r="O33" i="6"/>
  <c r="H34" i="6"/>
  <c r="K34" i="6" s="1"/>
  <c r="M34" i="6" s="1"/>
  <c r="P34" i="6" s="1"/>
  <c r="O34" i="6"/>
  <c r="H35" i="6"/>
  <c r="P35" i="6" s="1"/>
  <c r="K35" i="6"/>
  <c r="M35" i="6"/>
  <c r="O35" i="6"/>
  <c r="H36" i="6"/>
  <c r="K36" i="6"/>
  <c r="M36" i="6" s="1"/>
  <c r="P36" i="6" s="1"/>
  <c r="O36" i="6"/>
  <c r="H37" i="6"/>
  <c r="K37" i="6" s="1"/>
  <c r="M37" i="6" s="1"/>
  <c r="O37" i="6"/>
  <c r="H38" i="6"/>
  <c r="O38" i="6"/>
  <c r="H83" i="2"/>
  <c r="H46" i="2"/>
  <c r="H23" i="2"/>
  <c r="H25" i="5"/>
  <c r="F25" i="5"/>
  <c r="H24" i="5"/>
  <c r="F24" i="5"/>
  <c r="H23" i="5"/>
  <c r="F23" i="5"/>
  <c r="H22" i="5"/>
  <c r="F22" i="5"/>
  <c r="F21" i="5"/>
  <c r="H11" i="5"/>
  <c r="H10" i="5"/>
  <c r="H9" i="5"/>
  <c r="H7" i="5"/>
  <c r="H8" i="5"/>
  <c r="F11" i="5"/>
  <c r="F10" i="5"/>
  <c r="F9" i="5"/>
  <c r="F8" i="5"/>
  <c r="F7" i="5"/>
  <c r="D82" i="2"/>
  <c r="M50" i="4"/>
  <c r="M48" i="4"/>
  <c r="D48" i="4"/>
  <c r="D35" i="4"/>
  <c r="D22" i="4"/>
  <c r="D68" i="2"/>
  <c r="H48" i="4"/>
  <c r="F50" i="4"/>
  <c r="H50" i="4" s="1"/>
  <c r="H49" i="4"/>
  <c r="F49" i="4"/>
  <c r="F47" i="4"/>
  <c r="H47" i="4" s="1"/>
  <c r="F46" i="4"/>
  <c r="H46" i="4" s="1"/>
  <c r="F45" i="4"/>
  <c r="H45" i="4" s="1"/>
  <c r="F44" i="4"/>
  <c r="H44" i="4" s="1"/>
  <c r="F43" i="4"/>
  <c r="H43" i="4" s="1"/>
  <c r="F42" i="4"/>
  <c r="H42" i="4" s="1"/>
  <c r="F41" i="4"/>
  <c r="H41" i="4" s="1"/>
  <c r="F40" i="4"/>
  <c r="H40" i="4" s="1"/>
  <c r="F39" i="4"/>
  <c r="H39" i="4" s="1"/>
  <c r="F38" i="4"/>
  <c r="H38" i="4" s="1"/>
  <c r="F37" i="4"/>
  <c r="H37" i="4" s="1"/>
  <c r="F36" i="4"/>
  <c r="H36" i="4" s="1"/>
  <c r="F34" i="4"/>
  <c r="H34" i="4" s="1"/>
  <c r="F33" i="4"/>
  <c r="H33" i="4" s="1"/>
  <c r="F32" i="4"/>
  <c r="H32" i="4" s="1"/>
  <c r="F31" i="4"/>
  <c r="H31" i="4" s="1"/>
  <c r="F30" i="4"/>
  <c r="H30" i="4" s="1"/>
  <c r="F29" i="4"/>
  <c r="H29" i="4" s="1"/>
  <c r="F28" i="4"/>
  <c r="H28" i="4" s="1"/>
  <c r="F27" i="4"/>
  <c r="H27" i="4" s="1"/>
  <c r="F26" i="4"/>
  <c r="H26" i="4" s="1"/>
  <c r="F25" i="4"/>
  <c r="H25" i="4" s="1"/>
  <c r="F24" i="4"/>
  <c r="H24" i="4" s="1"/>
  <c r="H35" i="4" s="1"/>
  <c r="D45" i="2" s="1"/>
  <c r="F23" i="4"/>
  <c r="H23" i="4" s="1"/>
  <c r="F21" i="4"/>
  <c r="H21" i="4" s="1"/>
  <c r="F20" i="4"/>
  <c r="H20" i="4" s="1"/>
  <c r="F19" i="4"/>
  <c r="H19" i="4" s="1"/>
  <c r="F18" i="4"/>
  <c r="H18" i="4" s="1"/>
  <c r="F17" i="4"/>
  <c r="H17" i="4" s="1"/>
  <c r="F16" i="4"/>
  <c r="H16" i="4" s="1"/>
  <c r="F15" i="4"/>
  <c r="H15" i="4" s="1"/>
  <c r="F14" i="4"/>
  <c r="H14" i="4" s="1"/>
  <c r="F13" i="4"/>
  <c r="H13" i="4" s="1"/>
  <c r="F12" i="4"/>
  <c r="H12" i="4" s="1"/>
  <c r="F11" i="4"/>
  <c r="H11" i="4" s="1"/>
  <c r="F10" i="4"/>
  <c r="H10" i="4" s="1"/>
  <c r="F9" i="4"/>
  <c r="H9" i="4" s="1"/>
  <c r="F8" i="4"/>
  <c r="H8" i="4" s="1"/>
  <c r="F7" i="4"/>
  <c r="H7" i="4" s="1"/>
  <c r="F6" i="4"/>
  <c r="H6" i="4" s="1"/>
  <c r="F5" i="4"/>
  <c r="H5" i="4" s="1"/>
  <c r="F4" i="4"/>
  <c r="H4" i="4" s="1"/>
  <c r="F64" i="2"/>
  <c r="D83" i="2"/>
  <c r="D81" i="2"/>
  <c r="I90" i="1"/>
  <c r="I52" i="1"/>
  <c r="I88" i="1"/>
  <c r="F14" i="10" l="1"/>
  <c r="G14" i="10" s="1"/>
  <c r="I14" i="10"/>
  <c r="I10" i="10"/>
  <c r="J10" i="10" s="1"/>
  <c r="F10" i="10"/>
  <c r="G10" i="10" s="1"/>
  <c r="I15" i="10"/>
  <c r="J15" i="10" s="1"/>
  <c r="F15" i="10"/>
  <c r="G15" i="10" s="1"/>
  <c r="I8" i="10"/>
  <c r="J8" i="10" s="1"/>
  <c r="F8" i="10"/>
  <c r="G8" i="10" s="1"/>
  <c r="F11" i="10"/>
  <c r="G11" i="10" s="1"/>
  <c r="I11" i="10"/>
  <c r="D17" i="10"/>
  <c r="D18" i="10" s="1"/>
  <c r="D6" i="10"/>
  <c r="F17" i="9"/>
  <c r="F18" i="9" s="1"/>
  <c r="F7" i="10"/>
  <c r="G7" i="10" s="1"/>
  <c r="E9" i="9"/>
  <c r="G17" i="9"/>
  <c r="J14" i="10"/>
  <c r="J11" i="10"/>
  <c r="J7" i="10"/>
  <c r="G20" i="10"/>
  <c r="E38" i="9"/>
  <c r="F135" i="9"/>
  <c r="E7" i="9"/>
  <c r="E17" i="9" s="1"/>
  <c r="M104" i="2"/>
  <c r="M106" i="2"/>
  <c r="M108" i="2"/>
  <c r="J106" i="2"/>
  <c r="J110" i="2"/>
  <c r="M110" i="2" s="1"/>
  <c r="J114" i="2"/>
  <c r="M114" i="2" s="1"/>
  <c r="G115" i="2"/>
  <c r="J104" i="2"/>
  <c r="J108" i="2"/>
  <c r="J112" i="2"/>
  <c r="M112" i="2" s="1"/>
  <c r="L115" i="2"/>
  <c r="J115" i="2"/>
  <c r="H115" i="2"/>
  <c r="J103" i="2"/>
  <c r="J105" i="2"/>
  <c r="M105" i="2" s="1"/>
  <c r="J107" i="2"/>
  <c r="M107" i="2" s="1"/>
  <c r="J109" i="2"/>
  <c r="M109" i="2" s="1"/>
  <c r="J111" i="2"/>
  <c r="M111" i="2" s="1"/>
  <c r="J113" i="2"/>
  <c r="M113" i="2" s="1"/>
  <c r="L103" i="2"/>
  <c r="F12" i="5"/>
  <c r="F26" i="5"/>
  <c r="H44" i="5"/>
  <c r="H58" i="5"/>
  <c r="H60" i="5" s="1"/>
  <c r="F58" i="5"/>
  <c r="F44" i="5"/>
  <c r="F111" i="7"/>
  <c r="G111" i="7" s="1"/>
  <c r="I111" i="7" s="1"/>
  <c r="F70" i="7"/>
  <c r="G70" i="7" s="1"/>
  <c r="I70" i="7" s="1"/>
  <c r="I89" i="7"/>
  <c r="I104" i="7"/>
  <c r="I18" i="7"/>
  <c r="I63" i="7"/>
  <c r="I48" i="7"/>
  <c r="I33" i="7"/>
  <c r="P8" i="6"/>
  <c r="P7" i="6"/>
  <c r="P30" i="6"/>
  <c r="P24" i="6"/>
  <c r="P38" i="6"/>
  <c r="P32" i="6"/>
  <c r="M3" i="6"/>
  <c r="K38" i="6"/>
  <c r="M38" i="6" s="1"/>
  <c r="K30" i="6"/>
  <c r="M30" i="6" s="1"/>
  <c r="K22" i="6"/>
  <c r="M22" i="6" s="1"/>
  <c r="P22" i="6" s="1"/>
  <c r="K14" i="6"/>
  <c r="M14" i="6" s="1"/>
  <c r="P14" i="6" s="1"/>
  <c r="P3" i="6"/>
  <c r="P37" i="6"/>
  <c r="P29" i="6"/>
  <c r="P21" i="6"/>
  <c r="P13" i="6"/>
  <c r="H12" i="5"/>
  <c r="H14" i="5" s="1"/>
  <c r="H26" i="5"/>
  <c r="H22" i="4"/>
  <c r="D22" i="2" s="1"/>
  <c r="I41" i="2"/>
  <c r="K37" i="3"/>
  <c r="H91" i="1"/>
  <c r="F91" i="1"/>
  <c r="J13" i="1"/>
  <c r="I13" i="1"/>
  <c r="G13" i="1"/>
  <c r="E13" i="1"/>
  <c r="C13" i="1"/>
  <c r="K98" i="3"/>
  <c r="K97" i="3"/>
  <c r="K96" i="3"/>
  <c r="K94" i="3"/>
  <c r="I94" i="3"/>
  <c r="I96" i="3"/>
  <c r="I97" i="3"/>
  <c r="I98" i="3"/>
  <c r="K88" i="3"/>
  <c r="I88" i="3"/>
  <c r="F88" i="3"/>
  <c r="E88" i="3"/>
  <c r="G87" i="3"/>
  <c r="G86" i="3"/>
  <c r="G85" i="3"/>
  <c r="G84" i="3"/>
  <c r="G83" i="3"/>
  <c r="G82" i="3"/>
  <c r="G81" i="3"/>
  <c r="G80" i="3"/>
  <c r="G79" i="3"/>
  <c r="G78" i="3"/>
  <c r="G88" i="3" s="1"/>
  <c r="H88" i="3" s="1"/>
  <c r="G77" i="3"/>
  <c r="G76" i="3"/>
  <c r="K71" i="3"/>
  <c r="L71" i="3" s="1"/>
  <c r="I71" i="3"/>
  <c r="F71" i="3"/>
  <c r="E71" i="3"/>
  <c r="G70" i="3"/>
  <c r="G69" i="3"/>
  <c r="G68" i="3"/>
  <c r="G67" i="3"/>
  <c r="G66" i="3"/>
  <c r="G65" i="3"/>
  <c r="G64" i="3"/>
  <c r="G63" i="3"/>
  <c r="G62" i="3"/>
  <c r="G61" i="3"/>
  <c r="G71" i="3" s="1"/>
  <c r="H71" i="3" s="1"/>
  <c r="G60" i="3"/>
  <c r="G59" i="3"/>
  <c r="K54" i="3"/>
  <c r="L54" i="3" s="1"/>
  <c r="I54" i="3"/>
  <c r="J54" i="3" s="1"/>
  <c r="F54" i="3"/>
  <c r="E54" i="3"/>
  <c r="G53" i="3"/>
  <c r="G52" i="3"/>
  <c r="G51" i="3"/>
  <c r="G50" i="3"/>
  <c r="G49" i="3"/>
  <c r="G48" i="3"/>
  <c r="G47" i="3"/>
  <c r="G46" i="3"/>
  <c r="G45" i="3"/>
  <c r="G44" i="3"/>
  <c r="G54" i="3" s="1"/>
  <c r="H54" i="3" s="1"/>
  <c r="G43" i="3"/>
  <c r="G42" i="3"/>
  <c r="I37" i="3"/>
  <c r="J37" i="3" s="1"/>
  <c r="F37" i="3"/>
  <c r="E37" i="3"/>
  <c r="G36" i="3"/>
  <c r="G35" i="3"/>
  <c r="G34" i="3"/>
  <c r="G33" i="3"/>
  <c r="G32" i="3"/>
  <c r="G31" i="3"/>
  <c r="G30" i="3"/>
  <c r="G29" i="3"/>
  <c r="G28" i="3"/>
  <c r="G27" i="3"/>
  <c r="G37" i="3" s="1"/>
  <c r="H37" i="3" s="1"/>
  <c r="G26" i="3"/>
  <c r="G25" i="3"/>
  <c r="K20" i="3"/>
  <c r="I20" i="3"/>
  <c r="F20" i="3"/>
  <c r="E20" i="3"/>
  <c r="G19" i="3"/>
  <c r="G18" i="3"/>
  <c r="G17" i="3"/>
  <c r="G16" i="3"/>
  <c r="G15" i="3"/>
  <c r="G14" i="3"/>
  <c r="G13" i="3"/>
  <c r="G12" i="3"/>
  <c r="G11" i="3"/>
  <c r="G10" i="3"/>
  <c r="G9" i="3"/>
  <c r="G8" i="3"/>
  <c r="H13" i="1"/>
  <c r="K64" i="2"/>
  <c r="K101" i="3" s="1"/>
  <c r="I64" i="2"/>
  <c r="I101" i="3" s="1"/>
  <c r="E64" i="2"/>
  <c r="E68" i="2" s="1"/>
  <c r="G63" i="2"/>
  <c r="G62" i="2"/>
  <c r="G61" i="2"/>
  <c r="G60" i="2"/>
  <c r="G59" i="2"/>
  <c r="G58" i="2"/>
  <c r="G57" i="2"/>
  <c r="G56" i="2"/>
  <c r="G55" i="2"/>
  <c r="G54" i="2"/>
  <c r="G53" i="2"/>
  <c r="G52" i="2"/>
  <c r="H52" i="1"/>
  <c r="D67" i="2" s="1"/>
  <c r="H88" i="1"/>
  <c r="D69" i="2" s="1"/>
  <c r="F41" i="2"/>
  <c r="G40" i="2"/>
  <c r="G39" i="2"/>
  <c r="G38" i="2"/>
  <c r="G37" i="2"/>
  <c r="G36" i="2"/>
  <c r="G35" i="2"/>
  <c r="G34" i="2"/>
  <c r="G33" i="2"/>
  <c r="G32" i="2"/>
  <c r="G31" i="2"/>
  <c r="G30" i="2"/>
  <c r="G29" i="2"/>
  <c r="G17" i="2"/>
  <c r="G16" i="2"/>
  <c r="G15" i="2"/>
  <c r="G14" i="2"/>
  <c r="G13" i="2"/>
  <c r="G12" i="2"/>
  <c r="G11" i="2"/>
  <c r="G10" i="2"/>
  <c r="G9" i="2"/>
  <c r="G8" i="2"/>
  <c r="G7" i="2"/>
  <c r="G6" i="2"/>
  <c r="F18" i="2"/>
  <c r="K18" i="2"/>
  <c r="I18" i="2"/>
  <c r="E18" i="2"/>
  <c r="E22" i="2" s="1"/>
  <c r="K41" i="2"/>
  <c r="K100" i="3" s="1"/>
  <c r="E41" i="2"/>
  <c r="E45" i="2" s="1"/>
  <c r="I6" i="10" l="1"/>
  <c r="J6" i="10" s="1"/>
  <c r="F6" i="10"/>
  <c r="G6" i="10" s="1"/>
  <c r="I18" i="10"/>
  <c r="J18" i="10" s="1"/>
  <c r="F18" i="10"/>
  <c r="G18" i="10" s="1"/>
  <c r="G21" i="10" s="1"/>
  <c r="G18" i="9"/>
  <c r="M115" i="2"/>
  <c r="M103" i="2"/>
  <c r="H28" i="5"/>
  <c r="H46" i="5"/>
  <c r="J53" i="2"/>
  <c r="L53" i="2"/>
  <c r="I107" i="7"/>
  <c r="I66" i="7"/>
  <c r="K39" i="6"/>
  <c r="I78" i="2"/>
  <c r="I68" i="2"/>
  <c r="K68" i="2"/>
  <c r="I45" i="2"/>
  <c r="K45" i="2"/>
  <c r="K22" i="2"/>
  <c r="I22" i="2"/>
  <c r="K78" i="2"/>
  <c r="I99" i="3"/>
  <c r="E78" i="2"/>
  <c r="K99" i="3"/>
  <c r="K103" i="3" s="1"/>
  <c r="E67" i="2"/>
  <c r="I100" i="3"/>
  <c r="L37" i="3"/>
  <c r="K95" i="3"/>
  <c r="I95" i="3"/>
  <c r="J88" i="3"/>
  <c r="L88" i="3"/>
  <c r="J71" i="3"/>
  <c r="G20" i="3"/>
  <c r="L20" i="3" s="1"/>
  <c r="G64" i="2"/>
  <c r="L64" i="2" s="1"/>
  <c r="G41" i="2"/>
  <c r="G18" i="2"/>
  <c r="J18" i="2" s="1"/>
  <c r="H90" i="1"/>
  <c r="J21" i="10" l="1"/>
  <c r="M53" i="2"/>
  <c r="E82" i="2"/>
  <c r="I82" i="2" s="1"/>
  <c r="E84" i="2"/>
  <c r="I103" i="3"/>
  <c r="I67" i="2"/>
  <c r="G78" i="2"/>
  <c r="E85" i="2" s="1"/>
  <c r="E81" i="2"/>
  <c r="J41" i="2"/>
  <c r="K67" i="2"/>
  <c r="J20" i="3"/>
  <c r="H20" i="3"/>
  <c r="H64" i="2"/>
  <c r="E69" i="2"/>
  <c r="E70" i="2" s="1"/>
  <c r="J64" i="2"/>
  <c r="M64" i="2" s="1"/>
  <c r="H18" i="2"/>
  <c r="H41" i="2"/>
  <c r="K82" i="2" l="1"/>
  <c r="I84" i="2"/>
  <c r="K84" i="2"/>
  <c r="I85" i="2"/>
  <c r="K85" i="2"/>
  <c r="K81" i="2"/>
  <c r="I81" i="2"/>
  <c r="E83" i="2"/>
  <c r="E86" i="2" s="1"/>
  <c r="L78" i="2"/>
  <c r="J78" i="2"/>
  <c r="I69" i="2"/>
  <c r="I70" i="2" s="1"/>
  <c r="K69" i="2"/>
  <c r="K70" i="2" s="1"/>
  <c r="F88" i="1"/>
  <c r="D46" i="2" s="1"/>
  <c r="E46" i="2" s="1"/>
  <c r="D88" i="1"/>
  <c r="D23" i="2" s="1"/>
  <c r="E23" i="2" s="1"/>
  <c r="K23" i="2" s="1"/>
  <c r="F52" i="1"/>
  <c r="D52" i="1"/>
  <c r="D13" i="1"/>
  <c r="F13" i="1"/>
  <c r="M78" i="2" l="1"/>
  <c r="K83" i="2"/>
  <c r="K86" i="2" s="1"/>
  <c r="I83" i="2"/>
  <c r="I86" i="2" s="1"/>
  <c r="D44" i="2"/>
  <c r="E44" i="2" s="1"/>
  <c r="E47" i="2" s="1"/>
  <c r="F90" i="1"/>
  <c r="I23" i="2"/>
  <c r="I46" i="2"/>
  <c r="K46" i="2"/>
  <c r="D21" i="2"/>
  <c r="E21" i="2" s="1"/>
  <c r="E24" i="2" s="1"/>
  <c r="D90" i="1"/>
  <c r="I21" i="2" l="1"/>
  <c r="I24" i="2" s="1"/>
  <c r="K21" i="2"/>
  <c r="K24" i="2" s="1"/>
  <c r="K44" i="2"/>
  <c r="K47" i="2" s="1"/>
  <c r="I44" i="2"/>
  <c r="I4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 McQueary</author>
  </authors>
  <commentList>
    <comment ref="E35" authorId="0" shapeId="0" xr:uid="{CBA8481C-2E97-4957-958A-7E36A03478E9}">
      <text>
        <r>
          <rPr>
            <b/>
            <sz val="9"/>
            <color indexed="81"/>
            <rFont val="Tahoma"/>
            <family val="2"/>
          </rPr>
          <t>$5,325 cash plus $2,000 trade-in of old unit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<sst xmlns="http://schemas.openxmlformats.org/spreadsheetml/2006/main" count="1153" uniqueCount="395">
  <si>
    <t>07-2020 Thru 06-2021</t>
  </si>
  <si>
    <t>07-2021 Thru 06-2022</t>
  </si>
  <si>
    <t>07-2022 Thru 06-2023</t>
  </si>
  <si>
    <t>Account Number</t>
  </si>
  <si>
    <t>Description</t>
  </si>
  <si>
    <t>Budget</t>
  </si>
  <si>
    <t>Actual</t>
  </si>
  <si>
    <t>Revenues</t>
  </si>
  <si>
    <t>20-310-875</t>
  </si>
  <si>
    <t>UTILITY WATER TAXABLE</t>
  </si>
  <si>
    <t>20-310-876</t>
  </si>
  <si>
    <t>UTILITY WATER NON-TAXABLE</t>
  </si>
  <si>
    <t>20-310-880</t>
  </si>
  <si>
    <t>UTILITY BULK WATER</t>
  </si>
  <si>
    <t>20-310-885</t>
  </si>
  <si>
    <t>UTILITY WATER TAPS</t>
  </si>
  <si>
    <t>20-310-897</t>
  </si>
  <si>
    <t>WATER PR - UF TRANS TO RESERVE</t>
  </si>
  <si>
    <t>20-311-897</t>
  </si>
  <si>
    <t>WATER DI - UF TRANS TO RESERVE</t>
  </si>
  <si>
    <t>TRANSFER FROM UF TO WAT RESERV</t>
  </si>
  <si>
    <t>92-150-890</t>
  </si>
  <si>
    <t>INTEREST INCOME-WATER RESERVE</t>
  </si>
  <si>
    <t>92-310-897</t>
  </si>
  <si>
    <t>FLOOD INSURANCE</t>
  </si>
  <si>
    <t>BANK CHGS/LOCKBOX</t>
  </si>
  <si>
    <t>20-310-850</t>
  </si>
  <si>
    <t>WATER PRODUCTION DEPRECIATION</t>
  </si>
  <si>
    <t>20-310-910</t>
  </si>
  <si>
    <t>WATER PRODUCTION SALARIES</t>
  </si>
  <si>
    <t>20-310-911</t>
  </si>
  <si>
    <t>WATER PROD OVERTIME SALARIES</t>
  </si>
  <si>
    <t>20-310-913</t>
  </si>
  <si>
    <t>WATER PROD PAYROLL BANK CHGS</t>
  </si>
  <si>
    <t>20-310-915</t>
  </si>
  <si>
    <t>WATER PROD EMPLOYEE RETIREMENT</t>
  </si>
  <si>
    <t>20-310-920</t>
  </si>
  <si>
    <t>WATER PROD HEALTH/MEDICAL INS</t>
  </si>
  <si>
    <t>20-310-925</t>
  </si>
  <si>
    <t>WATER PRODUCTION FICA TAXES</t>
  </si>
  <si>
    <t>20-310-930</t>
  </si>
  <si>
    <t>WATER PRODUCTION WORKERS COMP</t>
  </si>
  <si>
    <t>20-310-935</t>
  </si>
  <si>
    <t>WATER PRODUCTION UNEMPLOYMENT</t>
  </si>
  <si>
    <t>20-310-937</t>
  </si>
  <si>
    <t>WATER PRODUCTION CHEMICALS</t>
  </si>
  <si>
    <t>20-310-938</t>
  </si>
  <si>
    <t>WATER PROD CONSULTING/ANALYSIS</t>
  </si>
  <si>
    <t>20-310-940</t>
  </si>
  <si>
    <t>WATER PRODUCTION ADVERTISING</t>
  </si>
  <si>
    <t>20-310-942</t>
  </si>
  <si>
    <t>WATER TRUCK LEASE PAYMENT</t>
  </si>
  <si>
    <t>20-310-945</t>
  </si>
  <si>
    <t>WAT PROD-PRINTING LEASE SOFTWA</t>
  </si>
  <si>
    <t>20-310-950</t>
  </si>
  <si>
    <t>WATER PRODUCTION LEGAL FEES</t>
  </si>
  <si>
    <t>20-310-955</t>
  </si>
  <si>
    <t>WATER PROD AUDIT &amp; ACCOUNTING</t>
  </si>
  <si>
    <t>20-310-960</t>
  </si>
  <si>
    <t>WATER PRODUCTION GENERAL INS</t>
  </si>
  <si>
    <t>20-310-961</t>
  </si>
  <si>
    <t>20-310-962</t>
  </si>
  <si>
    <t>20-310-965</t>
  </si>
  <si>
    <t>WATER PRODUCTION REPAIR/MAINT</t>
  </si>
  <si>
    <t>20-310-970</t>
  </si>
  <si>
    <t>WATER TRAV/LODGING/PER DIEM</t>
  </si>
  <si>
    <t>20-310-971</t>
  </si>
  <si>
    <t>WATER SCHOOL/TRAIN/LICENSES</t>
  </si>
  <si>
    <t>20-310-972</t>
  </si>
  <si>
    <t>WATER PRODUCTION POSTAGE</t>
  </si>
  <si>
    <t>20-310-975</t>
  </si>
  <si>
    <t>HEAT</t>
  </si>
  <si>
    <t>20-310-980</t>
  </si>
  <si>
    <t>WATER PRODUCTION TELEPHONE</t>
  </si>
  <si>
    <t>20-310-982</t>
  </si>
  <si>
    <t>WATER PRODUCTION SAFETY</t>
  </si>
  <si>
    <t>20-310-983</t>
  </si>
  <si>
    <t>EQUIPMENT RENTAL</t>
  </si>
  <si>
    <t>20-310-985</t>
  </si>
  <si>
    <t>WATER PRODUCTION SUPPLIES</t>
  </si>
  <si>
    <t>20-310-986</t>
  </si>
  <si>
    <t>WATER PROD UNIFORMS/ACCESS</t>
  </si>
  <si>
    <t>20-310-987</t>
  </si>
  <si>
    <t>WATER PRODUCTION GASOLINE</t>
  </si>
  <si>
    <t>20-310-990</t>
  </si>
  <si>
    <t>WATER PROD DUES/SUBSCRIPTIONS</t>
  </si>
  <si>
    <t>20-310-995</t>
  </si>
  <si>
    <t>WATER PROD MISCELLANEOUS OTHER</t>
  </si>
  <si>
    <t>20-310-996</t>
  </si>
  <si>
    <t>WATER PROD BANK SERV CHGS/FEES</t>
  </si>
  <si>
    <t>20-310-997</t>
  </si>
  <si>
    <t>WATER PROD CAPITAL OUTLAY</t>
  </si>
  <si>
    <t>20-311-850</t>
  </si>
  <si>
    <t>WATER DIST DEPRECIATION</t>
  </si>
  <si>
    <t>20-311-910</t>
  </si>
  <si>
    <t>WATER DISTRIBUTION SALARIES</t>
  </si>
  <si>
    <t>20-311-911</t>
  </si>
  <si>
    <t>WATER DIST OVERTIME SALARIES</t>
  </si>
  <si>
    <t>20-311-913</t>
  </si>
  <si>
    <t>WATER DIST PAYROLL BANK CHGS</t>
  </si>
  <si>
    <t>20-311-915</t>
  </si>
  <si>
    <t>WATER DIST EMPLOYEE RETIREMENT</t>
  </si>
  <si>
    <t>20-311-920</t>
  </si>
  <si>
    <t>WATER DIST HEALTH/MEDICAL INS</t>
  </si>
  <si>
    <t>20-311-925</t>
  </si>
  <si>
    <t>WATER DISTRIBUTION FICA TAXES</t>
  </si>
  <si>
    <t>20-311-930</t>
  </si>
  <si>
    <t>WATER DIST WORKERS COMP</t>
  </si>
  <si>
    <t>20-311-935</t>
  </si>
  <si>
    <t>WATER DIST UNEMPLOYMENT</t>
  </si>
  <si>
    <t>20-311-938</t>
  </si>
  <si>
    <t>WATER DIST CONSULTING/ANALYSIS</t>
  </si>
  <si>
    <t>20-311-940</t>
  </si>
  <si>
    <t>WATER DISTRIBUTION ADVERTISING</t>
  </si>
  <si>
    <t>20-311-945</t>
  </si>
  <si>
    <t>WATER DIS-PRINTING LEASE SOFTW</t>
  </si>
  <si>
    <t>20-311-950</t>
  </si>
  <si>
    <t>WATER DISTRIBUTION LEGAL FEES</t>
  </si>
  <si>
    <t>20-311-955</t>
  </si>
  <si>
    <t>WATER DIST AUDIT &amp; ACCOUNTING</t>
  </si>
  <si>
    <t>20-311-960</t>
  </si>
  <si>
    <t>WATER DISTRIBUTION GENERAL INS</t>
  </si>
  <si>
    <t>20-311-962</t>
  </si>
  <si>
    <t>20-311-963</t>
  </si>
  <si>
    <t>CSX PIPELINE EASEMENT</t>
  </si>
  <si>
    <t>20-311-965</t>
  </si>
  <si>
    <t>WATER DIST REPAIR &amp; MAINT</t>
  </si>
  <si>
    <t>20-311-970</t>
  </si>
  <si>
    <t>WAT DIS-TRAV/LODGING/PER DIEM</t>
  </si>
  <si>
    <t>20-311-971</t>
  </si>
  <si>
    <t>WAT DIS-SCHOOL/TRAIN/LICENSES</t>
  </si>
  <si>
    <t>20-311-972</t>
  </si>
  <si>
    <t>WATER DISTRIBUTION POSTAGE</t>
  </si>
  <si>
    <t>20-311-982</t>
  </si>
  <si>
    <t>WATER DISTRIBUTION SAFETY</t>
  </si>
  <si>
    <t>20-311-983</t>
  </si>
  <si>
    <t>WATER DIST EQUIPMENT RENTAL</t>
  </si>
  <si>
    <t>20-311-985</t>
  </si>
  <si>
    <t>WATER DISTRIBUTION SUPPLIES</t>
  </si>
  <si>
    <t>20-311-986</t>
  </si>
  <si>
    <t>WATER DIS UNIFORMS/ACCESSORIES</t>
  </si>
  <si>
    <t>20-311-987</t>
  </si>
  <si>
    <t>WATER DISTRIBUTION GASOLINE</t>
  </si>
  <si>
    <t>20-311-990</t>
  </si>
  <si>
    <t>WATER DIST DUES/SUBSCRIPTIONS</t>
  </si>
  <si>
    <t>20-311-995</t>
  </si>
  <si>
    <t>WATER DIST MISCELLANEOUS OTHER</t>
  </si>
  <si>
    <t>20-311-996</t>
  </si>
  <si>
    <t>WATER DIST BANK SERV CHGS/FEES</t>
  </si>
  <si>
    <t>20-311-997</t>
  </si>
  <si>
    <t>WATER DIST CAPITAL OUTLAY</t>
  </si>
  <si>
    <t>22-310-850</t>
  </si>
  <si>
    <t>WATER PRO RESERVE CHECKBK-EXP</t>
  </si>
  <si>
    <t>22-311-850</t>
  </si>
  <si>
    <t>WATER DIS RESERVE CHECKBK-EXP</t>
  </si>
  <si>
    <t>92-310-850</t>
  </si>
  <si>
    <t>92-311-850</t>
  </si>
  <si>
    <t>Expenses - Production</t>
  </si>
  <si>
    <t>Expenses - Distribution</t>
  </si>
  <si>
    <t>Total Expenses =</t>
  </si>
  <si>
    <t>Fiscal Year Production</t>
  </si>
  <si>
    <t>July</t>
  </si>
  <si>
    <t>August</t>
  </si>
  <si>
    <t>September</t>
  </si>
  <si>
    <t>October</t>
  </si>
  <si>
    <t>November</t>
  </si>
  <si>
    <t xml:space="preserve">December </t>
  </si>
  <si>
    <t>Jan</t>
  </si>
  <si>
    <t>Feb</t>
  </si>
  <si>
    <t xml:space="preserve">March </t>
  </si>
  <si>
    <t xml:space="preserve">April </t>
  </si>
  <si>
    <t xml:space="preserve">May </t>
  </si>
  <si>
    <t>June</t>
  </si>
  <si>
    <t>Produced</t>
  </si>
  <si>
    <t>Sold to PCWD</t>
  </si>
  <si>
    <t>Sold to EPCWD</t>
  </si>
  <si>
    <t>(Gallons)</t>
  </si>
  <si>
    <t>Totals =</t>
  </si>
  <si>
    <t>Expenses</t>
  </si>
  <si>
    <t>Production</t>
  </si>
  <si>
    <t>Distribution</t>
  </si>
  <si>
    <t>Total</t>
  </si>
  <si>
    <t>$/1000 Gallon</t>
  </si>
  <si>
    <t>Sold</t>
  </si>
  <si>
    <t>Water Loss</t>
  </si>
  <si>
    <t>(%)</t>
  </si>
  <si>
    <t>Total =</t>
  </si>
  <si>
    <t>Wholesale Factor</t>
  </si>
  <si>
    <t>City of Falmouth, Kentucky</t>
  </si>
  <si>
    <t>07-2015 Thru 06-2016</t>
  </si>
  <si>
    <t>07-2016 Thru 06-2017</t>
  </si>
  <si>
    <t>07-2017 Thru 06-2018</t>
  </si>
  <si>
    <t>07-2018 Thru 06-2019</t>
  </si>
  <si>
    <t>07-2019 Thru 06-2020</t>
  </si>
  <si>
    <t>Fiscal Year</t>
  </si>
  <si>
    <t>07-2023 Thru 06-2024</t>
  </si>
  <si>
    <t>WATER DISTRIBUTION TRUCK LEASE</t>
  </si>
  <si>
    <t>20-311-942</t>
  </si>
  <si>
    <t>no data</t>
  </si>
  <si>
    <t>Projected Wholesale Rates for 7-2023 to 6-2024</t>
  </si>
  <si>
    <t>Average of last 3 years</t>
  </si>
  <si>
    <t>Date</t>
  </si>
  <si>
    <t>Usage</t>
  </si>
  <si>
    <t>Cost/KW</t>
  </si>
  <si>
    <t>Meter Fee</t>
  </si>
  <si>
    <t>Total Expense</t>
  </si>
  <si>
    <t>Electric Cost</t>
  </si>
  <si>
    <t>Electric Usage - Water Treatment Plant</t>
  </si>
  <si>
    <t>Electric</t>
  </si>
  <si>
    <t>Est Water Loss</t>
  </si>
  <si>
    <t>Average</t>
  </si>
  <si>
    <t>3 Year Avg Electric</t>
  </si>
  <si>
    <t>KW</t>
  </si>
  <si>
    <t>$/KW</t>
  </si>
  <si>
    <t>Estimated Cost</t>
  </si>
  <si>
    <t>Distribution Factor</t>
  </si>
  <si>
    <t>Line Size</t>
  </si>
  <si>
    <t>Footage</t>
  </si>
  <si>
    <t>in/mile</t>
  </si>
  <si>
    <t xml:space="preserve">Pendleton </t>
  </si>
  <si>
    <t>Pendleton Distribution Factor</t>
  </si>
  <si>
    <t>East Pendleton Distribution Factor</t>
  </si>
  <si>
    <t>Wholesale Distribution Factor =</t>
  </si>
  <si>
    <r>
      <rPr>
        <sz val="11"/>
        <rFont val="Calibri"/>
        <family val="2"/>
      </rPr>
      <t>SL</t>
    </r>
  </si>
  <si>
    <r>
      <rPr>
        <sz val="11"/>
        <rFont val="Calibri"/>
        <family val="2"/>
      </rPr>
      <t>W</t>
    </r>
  </si>
  <si>
    <r>
      <rPr>
        <sz val="11"/>
        <rFont val="Calibri"/>
        <family val="2"/>
      </rPr>
      <t>Feb-14 Service Truck</t>
    </r>
  </si>
  <si>
    <r>
      <rPr>
        <sz val="10"/>
        <rFont val="Arial"/>
        <family val="2"/>
      </rPr>
      <t>SL</t>
    </r>
  </si>
  <si>
    <t>W</t>
  </si>
  <si>
    <t>Salt Spreader - water</t>
  </si>
  <si>
    <t>Mower</t>
  </si>
  <si>
    <t>SL</t>
  </si>
  <si>
    <t>Jul 2015-Service Unit for Care Unit</t>
  </si>
  <si>
    <t>Water meters</t>
  </si>
  <si>
    <t>Jun-06 Chlorine line Project</t>
  </si>
  <si>
    <t>Jun-06 Carbon Feeder Project</t>
  </si>
  <si>
    <t>Jun-06 20 20 Grant improvements</t>
  </si>
  <si>
    <t>Nov-01 per 250-1, need info</t>
  </si>
  <si>
    <t>Oct-01 Waterfill station</t>
  </si>
  <si>
    <t>Jun-98 Waterfill station</t>
  </si>
  <si>
    <t>Aug-97 Water Tower/Central Coating</t>
  </si>
  <si>
    <t>Sep-97 Heritage Ent-fix water plant</t>
  </si>
  <si>
    <t>Jun-97 Replacement Equip-Water Plant</t>
  </si>
  <si>
    <t>Sep-96 CHLORINATION BOOSTER</t>
  </si>
  <si>
    <t>Apr-93 WATER PLANT RENOVATION</t>
  </si>
  <si>
    <t>1987 NEW WATER PLANT CONST.</t>
  </si>
  <si>
    <t>May-88 WATERLINE INSTALL</t>
  </si>
  <si>
    <t>1988 EQUIPMENT</t>
  </si>
  <si>
    <t>1983 CHLORINATOR</t>
  </si>
  <si>
    <t>1982 SEWER PLANT IMPROVE</t>
  </si>
  <si>
    <t>1977 SEWER PLANT IMPROVE</t>
  </si>
  <si>
    <t>1976 SEWER PLANT IMPROVE</t>
  </si>
  <si>
    <t>1975 SEWER PLANT IMPROVE</t>
  </si>
  <si>
    <t>1974 SEWER PLANT IMPROVE</t>
  </si>
  <si>
    <t>1979 WW SEWER PLANT - NEW</t>
  </si>
  <si>
    <t>1978 WW SEWER PLANT - NEW</t>
  </si>
  <si>
    <t>1972 WW SEWER PLANT - NEW</t>
  </si>
  <si>
    <t>1971 WW SEWER PLANT - NEW</t>
  </si>
  <si>
    <t>1970 WW SEWER PLANT - NEW</t>
  </si>
  <si>
    <t>1970 WW SEWER PLANT IMPROV</t>
  </si>
  <si>
    <t>1974 OAK HAVEN WATER LINE</t>
  </si>
  <si>
    <t>Retirements</t>
  </si>
  <si>
    <t>Additions</t>
  </si>
  <si>
    <t>Life</t>
  </si>
  <si>
    <t>Method</t>
  </si>
  <si>
    <t>Water (W) or Sewer (S)</t>
  </si>
  <si>
    <t>Date Acquired  Description</t>
  </si>
  <si>
    <t>Book Value</t>
  </si>
  <si>
    <r>
      <rPr>
        <b/>
        <sz val="11.5"/>
        <rFont val="Calibri"/>
        <family val="2"/>
      </rPr>
      <t>Acc Depr</t>
    </r>
  </si>
  <si>
    <t>Historical Cost</t>
  </si>
  <si>
    <t>Non Allowed</t>
  </si>
  <si>
    <t>Depreciation-Production</t>
  </si>
  <si>
    <t>Depreciation-Distribution</t>
  </si>
  <si>
    <t>Production (Budget)</t>
  </si>
  <si>
    <t>Electric (Est)</t>
  </si>
  <si>
    <t>Distribution (Budget)</t>
  </si>
  <si>
    <t>Total %</t>
  </si>
  <si>
    <t>EPWD</t>
  </si>
  <si>
    <t>Gallons</t>
  </si>
  <si>
    <t>1000 Gal</t>
  </si>
  <si>
    <t>Unit Price</t>
  </si>
  <si>
    <t>Bill</t>
  </si>
  <si>
    <t>Totals</t>
  </si>
  <si>
    <t>Billing</t>
  </si>
  <si>
    <t>WTP</t>
  </si>
  <si>
    <t>Difference</t>
  </si>
  <si>
    <t>PCWD</t>
  </si>
  <si>
    <t>2022-2023</t>
  </si>
  <si>
    <t>Annual Water Sales - Invoicing</t>
  </si>
  <si>
    <t>E. Pendleton</t>
  </si>
  <si>
    <t>From KIA</t>
  </si>
  <si>
    <t>From 2006 Rate Study</t>
  </si>
  <si>
    <t>* Significant Discrepancy</t>
  </si>
  <si>
    <t>Wholesale Allocation Factors</t>
  </si>
  <si>
    <t>Line Loss Percentage</t>
  </si>
  <si>
    <t>Plant Use Percentage</t>
  </si>
  <si>
    <t>Allowable Line Loss &amp; Plant Use</t>
  </si>
  <si>
    <t>Production Multiplier</t>
  </si>
  <si>
    <t>Inch Mile Ratio</t>
  </si>
  <si>
    <t>Pendleton County</t>
  </si>
  <si>
    <t>East Pendleton County</t>
  </si>
  <si>
    <t>=</t>
  </si>
  <si>
    <t>Total Jointly Used Inch Miles/Total Inch Miles</t>
  </si>
  <si>
    <t>Amount Allowable by PSC</t>
  </si>
  <si>
    <t>Taken from Audit Report</t>
  </si>
  <si>
    <t>Line % + Plant Use %</t>
  </si>
  <si>
    <t>1/(1-Line Loss &amp; Plant Use %)</t>
  </si>
  <si>
    <t>Wholesale Share of Line Loss</t>
  </si>
  <si>
    <t>Joint Share Line Loss/Plant Use</t>
  </si>
  <si>
    <t>Wholesale Production Multiplier</t>
  </si>
  <si>
    <t>Production Allocation Factor</t>
  </si>
  <si>
    <t>Pipeline Transmission Factor</t>
  </si>
  <si>
    <t>Use Factor</t>
  </si>
  <si>
    <t>Inch Mile Ratio x Line Loss %</t>
  </si>
  <si>
    <t>1/(1-Joint Share Line Loss/Plant Use%)</t>
  </si>
  <si>
    <t>(Sales to Wholesale Customers/Total Water Sold)*(Wholesale Production Multiplier/Production Multiplier)</t>
  </si>
  <si>
    <t>(Sales to Wholesale Customers/Total Water Sold)*Inch Mile Ratio</t>
  </si>
  <si>
    <t>Sales to Wholesale Customers/Total Water Sold</t>
  </si>
  <si>
    <t>Test Year</t>
  </si>
  <si>
    <t>Wholesale Share of Line Loss * Plant Use%</t>
  </si>
  <si>
    <t>Test Year Volume</t>
  </si>
  <si>
    <t>Pendleton</t>
  </si>
  <si>
    <t>East Pendleton</t>
  </si>
  <si>
    <t>Gal</t>
  </si>
  <si>
    <t>City of Falmouth</t>
  </si>
  <si>
    <t>Allocation of Expenses</t>
  </si>
  <si>
    <t>Expense</t>
  </si>
  <si>
    <t>Pumping &amp; Treatment</t>
  </si>
  <si>
    <t>Transmission &amp; Distribution</t>
  </si>
  <si>
    <t>Customer</t>
  </si>
  <si>
    <t>Salaries and Wages</t>
  </si>
  <si>
    <t>Employee Benefits</t>
  </si>
  <si>
    <t>Payroll Taxes</t>
  </si>
  <si>
    <t>Employee Insurance &amp; Workers Comp</t>
  </si>
  <si>
    <t>Property Insurance - Treatment Plant</t>
  </si>
  <si>
    <t>Maintenance - Plant</t>
  </si>
  <si>
    <t>Postage</t>
  </si>
  <si>
    <t xml:space="preserve">  Subtotal Less Commodity*</t>
  </si>
  <si>
    <t xml:space="preserve">  Percentage</t>
  </si>
  <si>
    <t>Electricity*</t>
  </si>
  <si>
    <t>Chemicals*</t>
  </si>
  <si>
    <t>Lab Analysis*</t>
  </si>
  <si>
    <t>Administrative and General</t>
  </si>
  <si>
    <t>Dues &amp; Subscriptions</t>
  </si>
  <si>
    <t>Insurance - General Liability</t>
  </si>
  <si>
    <t>Office Supplies</t>
  </si>
  <si>
    <t>Advertising &amp; Printing</t>
  </si>
  <si>
    <t>Gas Heating</t>
  </si>
  <si>
    <t>Telephone</t>
  </si>
  <si>
    <t>Legal &amp; Accounting</t>
  </si>
  <si>
    <t>Equipment Expense</t>
  </si>
  <si>
    <t>Bank Fees</t>
  </si>
  <si>
    <t>City Hall</t>
  </si>
  <si>
    <t>Training &amp; Travel</t>
  </si>
  <si>
    <t>Uniforms</t>
  </si>
  <si>
    <t>Motor Fuel</t>
  </si>
  <si>
    <t>Bad Debts</t>
  </si>
  <si>
    <t>Maintenance Garage</t>
  </si>
  <si>
    <t>Maintenance</t>
  </si>
  <si>
    <t>Miscellaneous</t>
  </si>
  <si>
    <t>Subtotal</t>
  </si>
  <si>
    <t>Depreciation</t>
  </si>
  <si>
    <t>Total Expenses</t>
  </si>
  <si>
    <t>*Commodity Costs designated by (*)</t>
  </si>
  <si>
    <t>Salaries</t>
  </si>
  <si>
    <t>Chemicals</t>
  </si>
  <si>
    <t>Benefits</t>
  </si>
  <si>
    <t>Payroll Tax</t>
  </si>
  <si>
    <t>Ins &amp; Work Comp</t>
  </si>
  <si>
    <t>Lab Analysis</t>
  </si>
  <si>
    <t>Chem</t>
  </si>
  <si>
    <t>Property Insurance</t>
  </si>
  <si>
    <t>Propery Insurance</t>
  </si>
  <si>
    <t>Admin &amp; General</t>
  </si>
  <si>
    <t>(included)</t>
  </si>
  <si>
    <t>Commodity</t>
  </si>
  <si>
    <t>Operation and Maintenance</t>
  </si>
  <si>
    <t>Tansmission and Distribution</t>
  </si>
  <si>
    <t>Transmission and Distribution</t>
  </si>
  <si>
    <t>Less Interest Income</t>
  </si>
  <si>
    <t>Less Other Operating Revenue</t>
  </si>
  <si>
    <t>Cost of Service Rate</t>
  </si>
  <si>
    <t>Pendelton Allocation Factor</t>
  </si>
  <si>
    <t>East Pendelton Allocation Factor</t>
  </si>
  <si>
    <t>CITY OF FALMOUTH</t>
  </si>
  <si>
    <t>WHOLESALE RATE</t>
  </si>
  <si>
    <t>Amount to Wholesale (Total x Allocation Factor)</t>
  </si>
  <si>
    <t>Rate to Wholesale (Amount)/(Total Purchased/1000gal)</t>
  </si>
  <si>
    <t>Total Purchased (/1000 gall)</t>
  </si>
  <si>
    <t>Electricity</t>
  </si>
  <si>
    <t>Operating Expense</t>
  </si>
  <si>
    <t>Purchase</t>
  </si>
  <si>
    <t>20-311-975</t>
  </si>
  <si>
    <t>20-311-980</t>
  </si>
  <si>
    <t>Numbers from FY 22-23 Audit</t>
  </si>
  <si>
    <t>Plus Operating Ratio (88%)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</si>
</sst>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3" formatCode="_(* #,##0.00_);_(* \(#,##0.00\);_(* &quot;-&quot;??_);_(@_)"/>
    <numFmt numFmtId="164" formatCode="#,##0.00;[Red]\(#,##0.00\)"/>
    <numFmt numFmtId="165" formatCode="&quot;$&quot;#,##0.00"/>
    <numFmt numFmtId="166" formatCode="0.000"/>
    <numFmt numFmtId="167" formatCode="m/d/yy"/>
    <numFmt numFmtId="168" formatCode="0.00;[Red]0.00"/>
    <numFmt numFmtId="169" formatCode="&quot;$&quot;#,##0.00;[Red]&quot;$&quot;#,##0.00"/>
    <numFmt numFmtId="170" formatCode="0.00000"/>
    <numFmt numFmtId="171" formatCode="0.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sz val="11.5"/>
      <name val="Calibri"/>
      <family val="2"/>
    </font>
    <font>
      <b/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1" fillId="0" borderId="1" xfId="0" applyFont="1" applyBorder="1"/>
    <xf numFmtId="49" fontId="1" fillId="0" borderId="0" xfId="0" applyNumberFormat="1" applyFont="1"/>
    <xf numFmtId="49" fontId="1" fillId="0" borderId="1" xfId="0" applyNumberFormat="1" applyFont="1" applyBorder="1"/>
    <xf numFmtId="49" fontId="0" fillId="0" borderId="0" xfId="0" applyNumberFormat="1"/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49" fontId="0" fillId="2" borderId="0" xfId="0" quotePrefix="1" applyNumberFormat="1" applyFill="1"/>
    <xf numFmtId="0" fontId="0" fillId="2" borderId="0" xfId="0" applyFill="1"/>
    <xf numFmtId="164" fontId="0" fillId="2" borderId="0" xfId="0" applyNumberFormat="1" applyFill="1" applyAlignment="1">
      <alignment horizontal="right"/>
    </xf>
    <xf numFmtId="49" fontId="0" fillId="2" borderId="1" xfId="0" quotePrefix="1" applyNumberFormat="1" applyFill="1" applyBorder="1"/>
    <xf numFmtId="0" fontId="0" fillId="2" borderId="1" xfId="0" applyFill="1" applyBorder="1"/>
    <xf numFmtId="164" fontId="0" fillId="2" borderId="1" xfId="0" applyNumberFormat="1" applyFill="1" applyBorder="1" applyAlignment="1">
      <alignment horizontal="right"/>
    </xf>
    <xf numFmtId="8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0" fillId="0" borderId="1" xfId="0" applyBorder="1"/>
    <xf numFmtId="10" fontId="0" fillId="0" borderId="0" xfId="0" applyNumberFormat="1"/>
    <xf numFmtId="165" fontId="0" fillId="0" borderId="0" xfId="0" applyNumberFormat="1"/>
    <xf numFmtId="165" fontId="0" fillId="0" borderId="2" xfId="0" applyNumberFormat="1" applyBorder="1"/>
    <xf numFmtId="0" fontId="0" fillId="0" borderId="1" xfId="0" applyBorder="1" applyAlignment="1">
      <alignment horizontal="center"/>
    </xf>
    <xf numFmtId="9" fontId="0" fillId="0" borderId="0" xfId="0" applyNumberFormat="1"/>
    <xf numFmtId="9" fontId="0" fillId="0" borderId="1" xfId="0" applyNumberFormat="1" applyBorder="1"/>
    <xf numFmtId="165" fontId="0" fillId="0" borderId="0" xfId="0" applyNumberFormat="1" applyAlignment="1">
      <alignment horizontal="right"/>
    </xf>
    <xf numFmtId="10" fontId="1" fillId="3" borderId="0" xfId="0" applyNumberFormat="1" applyFont="1" applyFill="1"/>
    <xf numFmtId="9" fontId="0" fillId="4" borderId="0" xfId="0" applyNumberFormat="1" applyFill="1"/>
    <xf numFmtId="9" fontId="0" fillId="4" borderId="1" xfId="0" applyNumberFormat="1" applyFill="1" applyBorder="1"/>
    <xf numFmtId="10" fontId="0" fillId="4" borderId="0" xfId="0" applyNumberFormat="1" applyFill="1"/>
    <xf numFmtId="164" fontId="0" fillId="0" borderId="1" xfId="0" applyNumberFormat="1" applyBorder="1" applyAlignment="1">
      <alignment horizontal="right"/>
    </xf>
    <xf numFmtId="0" fontId="0" fillId="5" borderId="0" xfId="0" applyFill="1"/>
    <xf numFmtId="49" fontId="0" fillId="5" borderId="0" xfId="0" quotePrefix="1" applyNumberFormat="1" applyFill="1"/>
    <xf numFmtId="10" fontId="0" fillId="0" borderId="0" xfId="0" applyNumberFormat="1" applyAlignment="1">
      <alignment horizontal="right"/>
    </xf>
    <xf numFmtId="0" fontId="0" fillId="0" borderId="3" xfId="0" applyBorder="1"/>
    <xf numFmtId="1" fontId="0" fillId="0" borderId="3" xfId="0" applyNumberFormat="1" applyBorder="1"/>
    <xf numFmtId="164" fontId="0" fillId="3" borderId="0" xfId="0" applyNumberFormat="1" applyFill="1" applyAlignment="1">
      <alignment horizontal="right"/>
    </xf>
    <xf numFmtId="14" fontId="0" fillId="0" borderId="0" xfId="0" applyNumberFormat="1"/>
    <xf numFmtId="14" fontId="0" fillId="0" borderId="4" xfId="0" applyNumberFormat="1" applyBorder="1"/>
    <xf numFmtId="0" fontId="0" fillId="0" borderId="5" xfId="0" applyBorder="1"/>
    <xf numFmtId="165" fontId="0" fillId="0" borderId="5" xfId="0" applyNumberFormat="1" applyBorder="1"/>
    <xf numFmtId="165" fontId="0" fillId="0" borderId="6" xfId="0" applyNumberFormat="1" applyBorder="1"/>
    <xf numFmtId="14" fontId="0" fillId="0" borderId="7" xfId="0" applyNumberFormat="1" applyBorder="1"/>
    <xf numFmtId="165" fontId="0" fillId="0" borderId="8" xfId="0" applyNumberFormat="1" applyBorder="1"/>
    <xf numFmtId="14" fontId="0" fillId="0" borderId="9" xfId="0" applyNumberFormat="1" applyBorder="1"/>
    <xf numFmtId="0" fontId="0" fillId="0" borderId="10" xfId="0" applyBorder="1"/>
    <xf numFmtId="165" fontId="0" fillId="0" borderId="10" xfId="0" applyNumberFormat="1" applyBorder="1"/>
    <xf numFmtId="165" fontId="0" fillId="0" borderId="11" xfId="0" applyNumberFormat="1" applyBorder="1"/>
    <xf numFmtId="14" fontId="0" fillId="0" borderId="12" xfId="0" applyNumberFormat="1" applyBorder="1"/>
    <xf numFmtId="0" fontId="0" fillId="0" borderId="13" xfId="0" applyBorder="1"/>
    <xf numFmtId="165" fontId="0" fillId="0" borderId="13" xfId="0" applyNumberFormat="1" applyBorder="1"/>
    <xf numFmtId="165" fontId="0" fillId="0" borderId="14" xfId="0" applyNumberFormat="1" applyBorder="1"/>
    <xf numFmtId="0" fontId="1" fillId="2" borderId="0" xfId="0" applyFont="1" applyFill="1"/>
    <xf numFmtId="10" fontId="1" fillId="2" borderId="0" xfId="0" applyNumberFormat="1" applyFont="1" applyFill="1"/>
    <xf numFmtId="166" fontId="0" fillId="0" borderId="0" xfId="0" applyNumberFormat="1"/>
    <xf numFmtId="166" fontId="0" fillId="0" borderId="10" xfId="0" applyNumberFormat="1" applyBorder="1"/>
    <xf numFmtId="0" fontId="0" fillId="0" borderId="15" xfId="0" applyBorder="1"/>
    <xf numFmtId="165" fontId="0" fillId="0" borderId="15" xfId="0" applyNumberFormat="1" applyBorder="1"/>
    <xf numFmtId="2" fontId="0" fillId="0" borderId="0" xfId="0" applyNumberFormat="1"/>
    <xf numFmtId="0" fontId="1" fillId="3" borderId="15" xfId="0" applyFont="1" applyFill="1" applyBorder="1"/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horizontal="left"/>
    </xf>
    <xf numFmtId="4" fontId="3" fillId="0" borderId="16" xfId="1" applyNumberFormat="1" applyFont="1" applyBorder="1"/>
    <xf numFmtId="43" fontId="4" fillId="6" borderId="0" xfId="2" applyFont="1" applyFill="1" applyAlignment="1">
      <alignment horizontal="right" vertical="center" wrapText="1"/>
    </xf>
    <xf numFmtId="4" fontId="4" fillId="6" borderId="0" xfId="1" applyNumberFormat="1" applyFont="1" applyFill="1" applyAlignment="1">
      <alignment horizontal="right" vertical="center" wrapText="1"/>
    </xf>
    <xf numFmtId="43" fontId="4" fillId="6" borderId="0" xfId="2" applyFont="1" applyFill="1" applyBorder="1" applyAlignment="1">
      <alignment vertical="top" wrapText="1"/>
    </xf>
    <xf numFmtId="1" fontId="4" fillId="6" borderId="0" xfId="1" applyNumberFormat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left" vertical="center" wrapText="1"/>
    </xf>
    <xf numFmtId="43" fontId="4" fillId="4" borderId="0" xfId="2" applyFont="1" applyFill="1" applyAlignment="1">
      <alignment horizontal="right" vertical="center" wrapText="1"/>
    </xf>
    <xf numFmtId="4" fontId="4" fillId="4" borderId="0" xfId="1" applyNumberFormat="1" applyFont="1" applyFill="1" applyAlignment="1">
      <alignment horizontal="right" vertical="center" wrapText="1"/>
    </xf>
    <xf numFmtId="43" fontId="4" fillId="4" borderId="0" xfId="2" applyFont="1" applyFill="1" applyAlignment="1">
      <alignment vertical="center" wrapText="1"/>
    </xf>
    <xf numFmtId="43" fontId="4" fillId="4" borderId="0" xfId="2" applyFont="1" applyFill="1" applyBorder="1" applyAlignment="1">
      <alignment vertical="center" wrapText="1"/>
    </xf>
    <xf numFmtId="1" fontId="4" fillId="4" borderId="0" xfId="1" applyNumberFormat="1" applyFont="1" applyFill="1" applyAlignment="1">
      <alignment horizontal="center" vertical="center" wrapText="1"/>
    </xf>
    <xf numFmtId="0" fontId="4" fillId="4" borderId="0" xfId="1" applyFont="1" applyFill="1" applyAlignment="1">
      <alignment horizontal="center" vertical="center" wrapText="1"/>
    </xf>
    <xf numFmtId="0" fontId="4" fillId="4" borderId="0" xfId="1" applyFont="1" applyFill="1" applyAlignment="1">
      <alignment horizontal="left" vertical="center" wrapText="1"/>
    </xf>
    <xf numFmtId="43" fontId="4" fillId="6" borderId="0" xfId="2" applyFont="1" applyFill="1" applyAlignment="1">
      <alignment vertical="center" wrapText="1"/>
    </xf>
    <xf numFmtId="43" fontId="4" fillId="6" borderId="0" xfId="2" applyFont="1" applyFill="1" applyBorder="1" applyAlignment="1">
      <alignment vertical="center" wrapText="1"/>
    </xf>
    <xf numFmtId="43" fontId="4" fillId="6" borderId="0" xfId="2" applyFont="1" applyFill="1" applyBorder="1" applyAlignment="1">
      <alignment horizontal="right" vertical="center" wrapText="1"/>
    </xf>
    <xf numFmtId="43" fontId="4" fillId="4" borderId="0" xfId="2" applyFont="1" applyFill="1" applyBorder="1" applyAlignment="1">
      <alignment horizontal="right" vertical="center" wrapText="1"/>
    </xf>
    <xf numFmtId="43" fontId="4" fillId="7" borderId="0" xfId="2" applyFont="1" applyFill="1" applyAlignment="1">
      <alignment horizontal="right" vertical="center" wrapText="1"/>
    </xf>
    <xf numFmtId="4" fontId="4" fillId="7" borderId="0" xfId="1" applyNumberFormat="1" applyFont="1" applyFill="1" applyAlignment="1">
      <alignment horizontal="right" vertical="center" wrapText="1"/>
    </xf>
    <xf numFmtId="43" fontId="4" fillId="7" borderId="0" xfId="2" applyFont="1" applyFill="1" applyBorder="1" applyAlignment="1">
      <alignment horizontal="right" vertical="center" wrapText="1"/>
    </xf>
    <xf numFmtId="1" fontId="4" fillId="7" borderId="0" xfId="1" applyNumberFormat="1" applyFont="1" applyFill="1" applyAlignment="1">
      <alignment horizontal="center" vertical="center" wrapText="1"/>
    </xf>
    <xf numFmtId="0" fontId="4" fillId="7" borderId="0" xfId="1" applyFont="1" applyFill="1" applyAlignment="1">
      <alignment horizontal="center" vertical="center" wrapText="1"/>
    </xf>
    <xf numFmtId="0" fontId="4" fillId="7" borderId="0" xfId="1" applyFont="1" applyFill="1" applyAlignment="1">
      <alignment horizontal="left" vertical="center" wrapText="1"/>
    </xf>
    <xf numFmtId="167" fontId="6" fillId="8" borderId="1" xfId="1" applyNumberFormat="1" applyFont="1" applyFill="1" applyBorder="1" applyAlignment="1">
      <alignment horizontal="center" vertical="center"/>
    </xf>
    <xf numFmtId="14" fontId="6" fillId="0" borderId="0" xfId="1" applyNumberFormat="1" applyFont="1" applyAlignment="1">
      <alignment horizontal="center" vertical="center" wrapText="1"/>
    </xf>
    <xf numFmtId="14" fontId="6" fillId="9" borderId="1" xfId="1" applyNumberFormat="1" applyFont="1" applyFill="1" applyBorder="1" applyAlignment="1">
      <alignment horizontal="center" vertical="center" wrapText="1"/>
    </xf>
    <xf numFmtId="14" fontId="6" fillId="10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wrapText="1"/>
    </xf>
    <xf numFmtId="0" fontId="6" fillId="0" borderId="1" xfId="1" applyFont="1" applyBorder="1" applyAlignment="1">
      <alignment horizontal="left" indent="9"/>
    </xf>
    <xf numFmtId="0" fontId="6" fillId="8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top"/>
    </xf>
    <xf numFmtId="0" fontId="2" fillId="0" borderId="0" xfId="1" applyAlignment="1">
      <alignment horizontal="left" vertical="top" wrapText="1"/>
    </xf>
    <xf numFmtId="4" fontId="2" fillId="0" borderId="0" xfId="1" applyNumberFormat="1"/>
    <xf numFmtId="0" fontId="2" fillId="4" borderId="0" xfId="1" applyFill="1"/>
    <xf numFmtId="0" fontId="2" fillId="6" borderId="0" xfId="1" applyFill="1"/>
    <xf numFmtId="0" fontId="2" fillId="7" borderId="0" xfId="1" applyFill="1"/>
    <xf numFmtId="165" fontId="0" fillId="4" borderId="2" xfId="0" applyNumberFormat="1" applyFill="1" applyBorder="1"/>
    <xf numFmtId="10" fontId="0" fillId="0" borderId="1" xfId="0" applyNumberFormat="1" applyBorder="1"/>
    <xf numFmtId="10" fontId="0" fillId="0" borderId="17" xfId="0" applyNumberFormat="1" applyBorder="1"/>
    <xf numFmtId="9" fontId="0" fillId="0" borderId="3" xfId="0" applyNumberFormat="1" applyBorder="1"/>
    <xf numFmtId="10" fontId="0" fillId="4" borderId="3" xfId="0" applyNumberFormat="1" applyFill="1" applyBorder="1"/>
    <xf numFmtId="14" fontId="0" fillId="0" borderId="1" xfId="0" applyNumberFormat="1" applyBorder="1"/>
    <xf numFmtId="165" fontId="0" fillId="0" borderId="1" xfId="0" applyNumberFormat="1" applyBorder="1"/>
    <xf numFmtId="168" fontId="0" fillId="0" borderId="2" xfId="0" applyNumberFormat="1" applyBorder="1"/>
    <xf numFmtId="169" fontId="11" fillId="0" borderId="2" xfId="0" applyNumberFormat="1" applyFont="1" applyBorder="1"/>
    <xf numFmtId="168" fontId="0" fillId="0" borderId="0" xfId="0" applyNumberFormat="1"/>
    <xf numFmtId="169" fontId="11" fillId="0" borderId="0" xfId="0" applyNumberFormat="1" applyFont="1"/>
    <xf numFmtId="0" fontId="0" fillId="0" borderId="0" xfId="0" applyAlignment="1">
      <alignment horizontal="right"/>
    </xf>
    <xf numFmtId="170" fontId="0" fillId="0" borderId="0" xfId="0" applyNumberFormat="1"/>
    <xf numFmtId="0" fontId="0" fillId="10" borderId="0" xfId="0" applyFill="1"/>
    <xf numFmtId="0" fontId="0" fillId="10" borderId="1" xfId="0" applyFill="1" applyBorder="1"/>
    <xf numFmtId="0" fontId="0" fillId="0" borderId="0" xfId="0" applyAlignment="1">
      <alignment horizontal="center"/>
    </xf>
    <xf numFmtId="3" fontId="0" fillId="0" borderId="0" xfId="0" applyNumberFormat="1"/>
    <xf numFmtId="3" fontId="0" fillId="0" borderId="2" xfId="0" applyNumberFormat="1" applyBorder="1"/>
    <xf numFmtId="0" fontId="0" fillId="0" borderId="2" xfId="0" applyBorder="1"/>
    <xf numFmtId="0" fontId="0" fillId="0" borderId="2" xfId="0" quotePrefix="1" applyBorder="1" applyAlignment="1">
      <alignment horizontal="center"/>
    </xf>
    <xf numFmtId="0" fontId="0" fillId="0" borderId="2" xfId="0" quotePrefix="1" applyBorder="1"/>
    <xf numFmtId="171" fontId="0" fillId="0" borderId="2" xfId="0" applyNumberFormat="1" applyBorder="1"/>
    <xf numFmtId="171" fontId="0" fillId="0" borderId="2" xfId="0" quotePrefix="1" applyNumberFormat="1" applyBorder="1"/>
    <xf numFmtId="0" fontId="1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7" xfId="0" applyBorder="1"/>
    <xf numFmtId="164" fontId="0" fillId="2" borderId="20" xfId="0" applyNumberFormat="1" applyFill="1" applyBorder="1" applyAlignment="1">
      <alignment horizontal="right"/>
    </xf>
    <xf numFmtId="164" fontId="0" fillId="2" borderId="21" xfId="0" applyNumberFormat="1" applyFill="1" applyBorder="1" applyAlignment="1">
      <alignment horizontal="right"/>
    </xf>
    <xf numFmtId="164" fontId="0" fillId="2" borderId="22" xfId="0" applyNumberForma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40" fontId="0" fillId="0" borderId="2" xfId="0" applyNumberFormat="1" applyBorder="1"/>
    <xf numFmtId="4" fontId="0" fillId="0" borderId="2" xfId="0" applyNumberFormat="1" applyBorder="1"/>
    <xf numFmtId="10" fontId="0" fillId="0" borderId="2" xfId="0" applyNumberFormat="1" applyBorder="1"/>
    <xf numFmtId="40" fontId="0" fillId="0" borderId="0" xfId="0" applyNumberFormat="1"/>
    <xf numFmtId="0" fontId="1" fillId="0" borderId="2" xfId="0" applyFont="1" applyBorder="1"/>
    <xf numFmtId="0" fontId="0" fillId="0" borderId="2" xfId="0" applyBorder="1" applyAlignment="1">
      <alignment horizontal="left" indent="1"/>
    </xf>
    <xf numFmtId="4" fontId="0" fillId="0" borderId="0" xfId="0" applyNumberFormat="1"/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165" fontId="1" fillId="2" borderId="2" xfId="0" applyNumberFormat="1" applyFont="1" applyFill="1" applyBorder="1"/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8" xfId="0" applyBorder="1" applyAlignment="1">
      <alignment horizontal="left"/>
    </xf>
    <xf numFmtId="0" fontId="1" fillId="0" borderId="0" xfId="0" applyFont="1" applyAlignment="1">
      <alignment horizontal="center"/>
    </xf>
    <xf numFmtId="0" fontId="8" fillId="10" borderId="0" xfId="1" applyFont="1" applyFill="1" applyAlignment="1">
      <alignment horizontal="center" vertical="center" wrapText="1"/>
    </xf>
    <xf numFmtId="0" fontId="7" fillId="9" borderId="0" xfId="1" applyFont="1" applyFill="1" applyAlignment="1">
      <alignment horizontal="center" vertical="center" wrapText="1"/>
    </xf>
  </cellXfs>
  <cellStyles count="3">
    <cellStyle name="Comma 2" xfId="2" xr:uid="{143B625A-70B0-4BFB-954C-42014EFFF647}"/>
    <cellStyle name="Normal" xfId="0" builtinId="0"/>
    <cellStyle name="Normal 2" xfId="1" xr:uid="{65872C74-A1E6-4948-999D-C1989881957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B39B8-E0D6-4309-97D4-174098027224}">
  <sheetPr>
    <pageSetUpPr fitToPage="1"/>
  </sheetPr>
  <dimension ref="A1:Q91"/>
  <sheetViews>
    <sheetView workbookViewId="0">
      <pane ySplit="2" topLeftCell="A46" activePane="bottomLeft" state="frozen"/>
      <selection pane="bottomLeft" activeCell="D97" sqref="D97"/>
    </sheetView>
  </sheetViews>
  <sheetFormatPr defaultRowHeight="15" x14ac:dyDescent="0.25"/>
  <cols>
    <col min="1" max="1" width="15.42578125" style="5" bestFit="1" customWidth="1"/>
    <col min="2" max="2" width="34.7109375" bestFit="1" customWidth="1"/>
    <col min="3" max="17" width="14.7109375" style="8" customWidth="1"/>
  </cols>
  <sheetData>
    <row r="1" spans="1:17" x14ac:dyDescent="0.25">
      <c r="A1" s="3"/>
      <c r="B1" s="1"/>
      <c r="C1" s="142" t="s">
        <v>0</v>
      </c>
      <c r="D1" s="142"/>
      <c r="E1" s="142" t="s">
        <v>1</v>
      </c>
      <c r="F1" s="142"/>
      <c r="G1" s="142" t="s">
        <v>2</v>
      </c>
      <c r="H1" s="142"/>
      <c r="I1" s="142" t="s">
        <v>195</v>
      </c>
      <c r="J1" s="142"/>
      <c r="K1" s="6"/>
      <c r="L1" s="6"/>
      <c r="M1" s="6"/>
      <c r="N1" s="6"/>
      <c r="O1" s="6"/>
      <c r="P1" s="6"/>
      <c r="Q1" s="6"/>
    </row>
    <row r="2" spans="1:17" x14ac:dyDescent="0.25">
      <c r="A2" s="4" t="s">
        <v>3</v>
      </c>
      <c r="B2" s="2" t="s">
        <v>4</v>
      </c>
      <c r="C2" s="7" t="s">
        <v>5</v>
      </c>
      <c r="D2" s="7" t="s">
        <v>6</v>
      </c>
      <c r="E2" s="7" t="s">
        <v>5</v>
      </c>
      <c r="F2" s="7" t="s">
        <v>6</v>
      </c>
      <c r="G2" s="7" t="s">
        <v>5</v>
      </c>
      <c r="H2" s="7" t="s">
        <v>6</v>
      </c>
      <c r="I2" s="7" t="s">
        <v>5</v>
      </c>
      <c r="J2" s="7" t="s">
        <v>6</v>
      </c>
      <c r="K2" s="7"/>
      <c r="L2" s="7"/>
      <c r="M2" s="7"/>
      <c r="N2" s="7"/>
      <c r="O2" s="7"/>
      <c r="P2" s="7"/>
      <c r="Q2" s="7"/>
    </row>
    <row r="4" spans="1:17" hidden="1" x14ac:dyDescent="0.25">
      <c r="A4" s="3" t="s">
        <v>7</v>
      </c>
    </row>
    <row r="5" spans="1:17" hidden="1" x14ac:dyDescent="0.25">
      <c r="A5" s="9" t="s">
        <v>8</v>
      </c>
      <c r="B5" s="10" t="s">
        <v>9</v>
      </c>
      <c r="C5" s="11">
        <v>92000</v>
      </c>
      <c r="D5" s="11">
        <v>88693.47</v>
      </c>
      <c r="E5" s="11">
        <v>90000</v>
      </c>
      <c r="F5" s="11">
        <v>85927.33</v>
      </c>
      <c r="G5" s="11">
        <v>87000</v>
      </c>
      <c r="H5" s="11">
        <v>97514.27</v>
      </c>
      <c r="I5" s="8">
        <v>102000</v>
      </c>
      <c r="J5" s="8">
        <v>11682.85</v>
      </c>
    </row>
    <row r="6" spans="1:17" hidden="1" x14ac:dyDescent="0.25">
      <c r="A6" s="9" t="s">
        <v>10</v>
      </c>
      <c r="B6" s="10" t="s">
        <v>11</v>
      </c>
      <c r="C6" s="11">
        <v>711000</v>
      </c>
      <c r="D6" s="11">
        <v>718848.5</v>
      </c>
      <c r="E6" s="11">
        <v>720000</v>
      </c>
      <c r="F6" s="11">
        <v>728709.91</v>
      </c>
      <c r="G6" s="11">
        <v>730000</v>
      </c>
      <c r="H6" s="11">
        <v>726446.78</v>
      </c>
      <c r="I6" s="8">
        <v>715000</v>
      </c>
      <c r="J6" s="8">
        <v>90076.45</v>
      </c>
    </row>
    <row r="7" spans="1:17" hidden="1" x14ac:dyDescent="0.25">
      <c r="A7" s="9" t="s">
        <v>12</v>
      </c>
      <c r="B7" s="10" t="s">
        <v>13</v>
      </c>
      <c r="C7" s="11">
        <v>20000</v>
      </c>
      <c r="D7" s="11">
        <v>19355.189999999999</v>
      </c>
      <c r="E7" s="11">
        <v>20000</v>
      </c>
      <c r="F7" s="11">
        <v>17778.47</v>
      </c>
      <c r="G7" s="11">
        <v>18000</v>
      </c>
      <c r="H7" s="11">
        <v>20300.46</v>
      </c>
      <c r="I7" s="8">
        <v>18000</v>
      </c>
      <c r="J7" s="8">
        <v>2755.27</v>
      </c>
    </row>
    <row r="8" spans="1:17" hidden="1" x14ac:dyDescent="0.25">
      <c r="A8" s="9" t="s">
        <v>14</v>
      </c>
      <c r="B8" s="10" t="s">
        <v>15</v>
      </c>
      <c r="C8" s="11">
        <v>2500</v>
      </c>
      <c r="D8" s="11">
        <v>2550</v>
      </c>
      <c r="E8" s="11">
        <v>3000</v>
      </c>
      <c r="F8" s="11">
        <v>1550</v>
      </c>
      <c r="G8" s="11">
        <v>2000</v>
      </c>
      <c r="H8" s="11">
        <v>1000</v>
      </c>
      <c r="I8" s="8">
        <v>1000</v>
      </c>
      <c r="J8" s="8">
        <v>0</v>
      </c>
    </row>
    <row r="9" spans="1:17" hidden="1" x14ac:dyDescent="0.25">
      <c r="A9" s="9" t="s">
        <v>16</v>
      </c>
      <c r="B9" s="10" t="s">
        <v>17</v>
      </c>
      <c r="C9" s="11">
        <v>-31000</v>
      </c>
      <c r="D9" s="11">
        <v>-40237.97</v>
      </c>
      <c r="E9" s="11">
        <v>0</v>
      </c>
      <c r="F9" s="11">
        <v>-40446.400000000001</v>
      </c>
      <c r="G9" s="11">
        <v>0</v>
      </c>
      <c r="H9" s="11">
        <v>-40691.42</v>
      </c>
      <c r="I9" s="8">
        <v>0</v>
      </c>
      <c r="J9" s="8">
        <v>-3680.22</v>
      </c>
    </row>
    <row r="10" spans="1:17" hidden="1" x14ac:dyDescent="0.25">
      <c r="A10" s="9" t="s">
        <v>18</v>
      </c>
      <c r="B10" s="10" t="s">
        <v>19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8">
        <v>0</v>
      </c>
      <c r="J10" s="8">
        <v>0</v>
      </c>
    </row>
    <row r="11" spans="1:17" hidden="1" x14ac:dyDescent="0.25">
      <c r="A11" s="9" t="s">
        <v>21</v>
      </c>
      <c r="B11" s="10" t="s">
        <v>22</v>
      </c>
      <c r="C11" s="11">
        <v>150</v>
      </c>
      <c r="D11" s="11">
        <v>137.18</v>
      </c>
      <c r="E11" s="11">
        <v>150</v>
      </c>
      <c r="F11" s="11">
        <v>126.77</v>
      </c>
      <c r="G11" s="11">
        <v>150</v>
      </c>
      <c r="H11" s="11">
        <v>581.25</v>
      </c>
      <c r="I11" s="8">
        <v>0</v>
      </c>
      <c r="J11" s="8">
        <v>51.69</v>
      </c>
    </row>
    <row r="12" spans="1:17" hidden="1" x14ac:dyDescent="0.25">
      <c r="A12" s="12" t="s">
        <v>23</v>
      </c>
      <c r="B12" s="13" t="s">
        <v>20</v>
      </c>
      <c r="C12" s="14">
        <v>34000</v>
      </c>
      <c r="D12" s="14">
        <v>40237.97</v>
      </c>
      <c r="E12" s="14">
        <v>41000</v>
      </c>
      <c r="F12" s="14">
        <v>40446.400000000001</v>
      </c>
      <c r="G12" s="14">
        <v>0</v>
      </c>
      <c r="H12" s="14">
        <v>40691.42</v>
      </c>
      <c r="I12" s="29">
        <v>0</v>
      </c>
      <c r="J12" s="29">
        <v>3680.22</v>
      </c>
    </row>
    <row r="13" spans="1:17" hidden="1" x14ac:dyDescent="0.25">
      <c r="A13" s="9"/>
      <c r="B13" s="10"/>
      <c r="C13" s="11">
        <f t="shared" ref="C13:J13" si="0">SUM(C5:C12)</f>
        <v>828650</v>
      </c>
      <c r="D13" s="11">
        <f t="shared" si="0"/>
        <v>829584.34</v>
      </c>
      <c r="E13" s="11">
        <f t="shared" si="0"/>
        <v>874150</v>
      </c>
      <c r="F13" s="11">
        <f t="shared" si="0"/>
        <v>834092.48</v>
      </c>
      <c r="G13" s="11">
        <f t="shared" si="0"/>
        <v>837150</v>
      </c>
      <c r="H13" s="11">
        <f t="shared" si="0"/>
        <v>845842.76</v>
      </c>
      <c r="I13" s="11">
        <f t="shared" si="0"/>
        <v>836000</v>
      </c>
      <c r="J13" s="11">
        <f t="shared" si="0"/>
        <v>104566.26000000001</v>
      </c>
    </row>
    <row r="15" spans="1:17" x14ac:dyDescent="0.25">
      <c r="A15" s="3" t="s">
        <v>157</v>
      </c>
    </row>
    <row r="16" spans="1:17" s="10" customFormat="1" x14ac:dyDescent="0.25">
      <c r="A16" s="9" t="s">
        <v>26</v>
      </c>
      <c r="B16" s="10" t="s">
        <v>27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/>
      <c r="L16" s="11"/>
      <c r="M16" s="11"/>
      <c r="N16" s="11"/>
      <c r="O16" s="11"/>
      <c r="P16" s="11"/>
      <c r="Q16" s="11"/>
    </row>
    <row r="17" spans="1:17" s="10" customFormat="1" x14ac:dyDescent="0.25">
      <c r="A17" s="9" t="s">
        <v>28</v>
      </c>
      <c r="B17" s="10" t="s">
        <v>29</v>
      </c>
      <c r="C17" s="11">
        <v>118000</v>
      </c>
      <c r="D17" s="11">
        <v>92521.78</v>
      </c>
      <c r="E17" s="11">
        <v>150000</v>
      </c>
      <c r="F17" s="11">
        <v>114536.62</v>
      </c>
      <c r="G17" s="11">
        <v>165000</v>
      </c>
      <c r="H17" s="11">
        <v>108175.53</v>
      </c>
      <c r="I17" s="11">
        <v>155000</v>
      </c>
      <c r="J17" s="11">
        <v>10655.08</v>
      </c>
      <c r="K17" s="11"/>
      <c r="L17" s="11"/>
      <c r="M17" s="11"/>
      <c r="N17" s="11"/>
      <c r="O17" s="11"/>
      <c r="P17" s="11"/>
      <c r="Q17" s="11"/>
    </row>
    <row r="18" spans="1:17" s="10" customFormat="1" x14ac:dyDescent="0.25">
      <c r="A18" s="9" t="s">
        <v>30</v>
      </c>
      <c r="B18" s="10" t="s">
        <v>31</v>
      </c>
      <c r="C18" s="11">
        <v>30000</v>
      </c>
      <c r="D18" s="11">
        <v>29884.240000000002</v>
      </c>
      <c r="E18" s="11">
        <v>6000</v>
      </c>
      <c r="F18" s="11">
        <v>12531.44</v>
      </c>
      <c r="G18" s="11">
        <v>13500</v>
      </c>
      <c r="H18" s="11">
        <v>21497.759999999998</v>
      </c>
      <c r="I18" s="11">
        <v>13500</v>
      </c>
      <c r="J18" s="11">
        <v>1598.96</v>
      </c>
      <c r="K18" s="11"/>
      <c r="L18" s="11"/>
      <c r="M18" s="11"/>
      <c r="N18" s="11"/>
      <c r="O18" s="11"/>
      <c r="P18" s="11"/>
      <c r="Q18" s="11"/>
    </row>
    <row r="19" spans="1:17" s="10" customFormat="1" x14ac:dyDescent="0.25">
      <c r="A19" s="9" t="s">
        <v>32</v>
      </c>
      <c r="B19" s="10" t="s">
        <v>33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/>
      <c r="L19" s="11"/>
      <c r="M19" s="11"/>
      <c r="N19" s="11"/>
      <c r="O19" s="11"/>
      <c r="P19" s="11"/>
      <c r="Q19" s="11"/>
    </row>
    <row r="20" spans="1:17" s="10" customFormat="1" x14ac:dyDescent="0.25">
      <c r="A20" s="9" t="s">
        <v>34</v>
      </c>
      <c r="B20" s="10" t="s">
        <v>35</v>
      </c>
      <c r="C20" s="11">
        <v>48000</v>
      </c>
      <c r="D20" s="11">
        <v>64285.919999999998</v>
      </c>
      <c r="E20" s="11">
        <v>47850</v>
      </c>
      <c r="F20" s="11">
        <v>39323.61</v>
      </c>
      <c r="G20" s="11">
        <v>41000</v>
      </c>
      <c r="H20" s="11">
        <v>38655.440000000002</v>
      </c>
      <c r="I20" s="11">
        <v>41500</v>
      </c>
      <c r="J20" s="11">
        <v>3034.23</v>
      </c>
      <c r="K20" s="11"/>
      <c r="L20" s="11"/>
      <c r="M20" s="11"/>
      <c r="N20" s="11"/>
      <c r="O20" s="11"/>
      <c r="P20" s="11"/>
      <c r="Q20" s="11"/>
    </row>
    <row r="21" spans="1:17" s="10" customFormat="1" x14ac:dyDescent="0.25">
      <c r="A21" s="9" t="s">
        <v>36</v>
      </c>
      <c r="B21" s="10" t="s">
        <v>37</v>
      </c>
      <c r="C21" s="11">
        <v>32000</v>
      </c>
      <c r="D21" s="11">
        <v>39125.269999999997</v>
      </c>
      <c r="E21" s="11">
        <v>41000</v>
      </c>
      <c r="F21" s="11">
        <v>37782.449999999997</v>
      </c>
      <c r="G21" s="11">
        <v>42500</v>
      </c>
      <c r="H21" s="11">
        <v>26405.13</v>
      </c>
      <c r="I21" s="11">
        <v>28642</v>
      </c>
      <c r="J21" s="11">
        <v>2438.6</v>
      </c>
      <c r="K21" s="11"/>
      <c r="L21" s="11"/>
      <c r="M21" s="11"/>
      <c r="N21" s="11"/>
      <c r="O21" s="11"/>
      <c r="P21" s="11"/>
      <c r="Q21" s="11"/>
    </row>
    <row r="22" spans="1:17" s="10" customFormat="1" x14ac:dyDescent="0.25">
      <c r="A22" s="9" t="s">
        <v>38</v>
      </c>
      <c r="B22" s="10" t="s">
        <v>39</v>
      </c>
      <c r="C22" s="11">
        <v>8900</v>
      </c>
      <c r="D22" s="11">
        <v>9977.1299999999992</v>
      </c>
      <c r="E22" s="11">
        <v>11200</v>
      </c>
      <c r="F22" s="11">
        <v>9447.4</v>
      </c>
      <c r="G22" s="11">
        <v>12500</v>
      </c>
      <c r="H22" s="11">
        <v>10809.08</v>
      </c>
      <c r="I22" s="11">
        <v>12000</v>
      </c>
      <c r="J22" s="11">
        <v>929.66</v>
      </c>
      <c r="K22" s="11"/>
      <c r="L22" s="11"/>
      <c r="M22" s="11"/>
      <c r="N22" s="11"/>
      <c r="O22" s="11"/>
      <c r="P22" s="11"/>
      <c r="Q22" s="11"/>
    </row>
    <row r="23" spans="1:17" s="10" customFormat="1" x14ac:dyDescent="0.25">
      <c r="A23" s="9" t="s">
        <v>40</v>
      </c>
      <c r="B23" s="10" t="s">
        <v>41</v>
      </c>
      <c r="C23" s="11">
        <v>17500</v>
      </c>
      <c r="D23" s="11">
        <v>17158.48</v>
      </c>
      <c r="E23" s="11">
        <v>17500</v>
      </c>
      <c r="F23" s="11">
        <v>5766.3</v>
      </c>
      <c r="G23" s="11">
        <v>5800</v>
      </c>
      <c r="H23" s="11">
        <v>6187.24</v>
      </c>
      <c r="I23" s="11">
        <v>6200</v>
      </c>
      <c r="J23" s="11">
        <v>2454.48</v>
      </c>
      <c r="K23" s="11"/>
      <c r="L23" s="11"/>
      <c r="M23" s="11"/>
      <c r="N23" s="11"/>
      <c r="O23" s="11"/>
      <c r="P23" s="11"/>
      <c r="Q23" s="11"/>
    </row>
    <row r="24" spans="1:17" s="10" customFormat="1" x14ac:dyDescent="0.25">
      <c r="A24" s="9" t="s">
        <v>42</v>
      </c>
      <c r="B24" s="10" t="s">
        <v>43</v>
      </c>
      <c r="C24" s="11">
        <v>0</v>
      </c>
      <c r="D24" s="11">
        <v>402.1</v>
      </c>
      <c r="E24" s="11">
        <v>500</v>
      </c>
      <c r="F24" s="11">
        <v>737.98</v>
      </c>
      <c r="G24" s="11">
        <v>850</v>
      </c>
      <c r="H24" s="11">
        <v>766.74</v>
      </c>
      <c r="I24" s="11">
        <v>850</v>
      </c>
      <c r="J24" s="11">
        <v>154.38999999999999</v>
      </c>
      <c r="K24" s="11"/>
      <c r="L24" s="11"/>
      <c r="M24" s="11"/>
      <c r="N24" s="11"/>
      <c r="O24" s="11"/>
      <c r="P24" s="11"/>
      <c r="Q24" s="11"/>
    </row>
    <row r="25" spans="1:17" s="10" customFormat="1" x14ac:dyDescent="0.25">
      <c r="A25" s="9" t="s">
        <v>44</v>
      </c>
      <c r="B25" s="10" t="s">
        <v>45</v>
      </c>
      <c r="C25" s="11">
        <v>170000</v>
      </c>
      <c r="D25" s="11">
        <v>144630.1</v>
      </c>
      <c r="E25" s="11">
        <v>145000</v>
      </c>
      <c r="F25" s="11">
        <v>196838.64</v>
      </c>
      <c r="G25" s="11">
        <v>210000</v>
      </c>
      <c r="H25" s="11">
        <v>197428.16</v>
      </c>
      <c r="I25" s="35">
        <v>225000</v>
      </c>
      <c r="J25" s="11">
        <v>5278.8</v>
      </c>
      <c r="K25" s="11"/>
      <c r="L25" s="11"/>
      <c r="M25" s="11"/>
      <c r="N25" s="11"/>
      <c r="O25" s="11"/>
      <c r="P25" s="11"/>
      <c r="Q25" s="11"/>
    </row>
    <row r="26" spans="1:17" s="10" customFormat="1" x14ac:dyDescent="0.25">
      <c r="A26" s="9" t="s">
        <v>46</v>
      </c>
      <c r="B26" s="10" t="s">
        <v>47</v>
      </c>
      <c r="C26" s="11">
        <v>5000</v>
      </c>
      <c r="D26" s="11">
        <v>4733.3</v>
      </c>
      <c r="E26" s="11">
        <v>5000</v>
      </c>
      <c r="F26" s="11">
        <v>5583.2</v>
      </c>
      <c r="G26" s="11">
        <v>6000</v>
      </c>
      <c r="H26" s="11">
        <v>4920.5</v>
      </c>
      <c r="I26" s="11">
        <v>6000</v>
      </c>
      <c r="J26" s="11">
        <v>1162</v>
      </c>
      <c r="K26" s="11"/>
      <c r="L26" s="11"/>
      <c r="M26" s="11"/>
      <c r="N26" s="11"/>
      <c r="O26" s="11"/>
      <c r="P26" s="11"/>
      <c r="Q26" s="11"/>
    </row>
    <row r="27" spans="1:17" s="10" customFormat="1" x14ac:dyDescent="0.25">
      <c r="A27" s="9" t="s">
        <v>48</v>
      </c>
      <c r="B27" s="10" t="s">
        <v>49</v>
      </c>
      <c r="C27" s="11">
        <v>1000</v>
      </c>
      <c r="D27" s="11">
        <v>953.86</v>
      </c>
      <c r="E27" s="11">
        <v>1000</v>
      </c>
      <c r="F27" s="11">
        <v>15.63</v>
      </c>
      <c r="G27" s="11">
        <v>500</v>
      </c>
      <c r="H27" s="11">
        <v>70</v>
      </c>
      <c r="I27" s="11">
        <v>500</v>
      </c>
      <c r="J27" s="11">
        <v>0</v>
      </c>
      <c r="K27" s="11"/>
      <c r="L27" s="11"/>
      <c r="M27" s="11"/>
      <c r="N27" s="11"/>
      <c r="O27" s="11"/>
      <c r="P27" s="11"/>
      <c r="Q27" s="11"/>
    </row>
    <row r="28" spans="1:17" s="10" customFormat="1" x14ac:dyDescent="0.25">
      <c r="A28" s="9" t="s">
        <v>50</v>
      </c>
      <c r="B28" s="10" t="s">
        <v>51</v>
      </c>
      <c r="C28" s="11">
        <v>7300</v>
      </c>
      <c r="D28" s="11">
        <v>3126.39</v>
      </c>
      <c r="E28" s="11">
        <v>3500</v>
      </c>
      <c r="F28" s="11">
        <v>6096.48</v>
      </c>
      <c r="G28" s="11">
        <v>6200</v>
      </c>
      <c r="H28" s="11">
        <v>6153.78</v>
      </c>
      <c r="I28" s="35">
        <v>23737</v>
      </c>
      <c r="J28" s="11">
        <v>503.09</v>
      </c>
      <c r="K28" s="11"/>
      <c r="L28" s="11"/>
      <c r="M28" s="11"/>
      <c r="N28" s="11"/>
      <c r="O28" s="11"/>
      <c r="P28" s="11"/>
      <c r="Q28" s="11"/>
    </row>
    <row r="29" spans="1:17" s="10" customFormat="1" x14ac:dyDescent="0.25">
      <c r="A29" s="9" t="s">
        <v>52</v>
      </c>
      <c r="B29" s="10" t="s">
        <v>53</v>
      </c>
      <c r="C29" s="11">
        <v>9000</v>
      </c>
      <c r="D29" s="11">
        <v>8472.6299999999992</v>
      </c>
      <c r="E29" s="11">
        <v>8700</v>
      </c>
      <c r="F29" s="11">
        <v>8985.2999999999993</v>
      </c>
      <c r="G29" s="11">
        <v>9000</v>
      </c>
      <c r="H29" s="11">
        <v>10216.209999999999</v>
      </c>
      <c r="I29" s="11">
        <v>9000</v>
      </c>
      <c r="J29" s="11">
        <v>203.77</v>
      </c>
      <c r="K29" s="11"/>
      <c r="L29" s="11"/>
      <c r="M29" s="11"/>
      <c r="N29" s="11"/>
      <c r="O29" s="11"/>
      <c r="P29" s="11"/>
      <c r="Q29" s="11"/>
    </row>
    <row r="30" spans="1:17" s="10" customFormat="1" x14ac:dyDescent="0.25">
      <c r="A30" s="9" t="s">
        <v>54</v>
      </c>
      <c r="B30" s="10" t="s">
        <v>55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/>
      <c r="L30" s="11"/>
      <c r="M30" s="11"/>
      <c r="N30" s="11"/>
      <c r="O30" s="11"/>
      <c r="P30" s="11"/>
      <c r="Q30" s="11"/>
    </row>
    <row r="31" spans="1:17" s="10" customFormat="1" x14ac:dyDescent="0.25">
      <c r="A31" s="9" t="s">
        <v>56</v>
      </c>
      <c r="B31" s="10" t="s">
        <v>57</v>
      </c>
      <c r="C31" s="11">
        <v>1500</v>
      </c>
      <c r="D31" s="11">
        <v>1333.5</v>
      </c>
      <c r="E31" s="11">
        <v>1350</v>
      </c>
      <c r="F31" s="11">
        <v>1322.5</v>
      </c>
      <c r="G31" s="11">
        <v>1350</v>
      </c>
      <c r="H31" s="11">
        <v>1325</v>
      </c>
      <c r="I31" s="11">
        <v>1350</v>
      </c>
      <c r="J31" s="11">
        <v>0</v>
      </c>
      <c r="K31" s="11"/>
      <c r="L31" s="11"/>
      <c r="M31" s="11"/>
      <c r="N31" s="11"/>
      <c r="O31" s="11"/>
      <c r="P31" s="11"/>
      <c r="Q31" s="11"/>
    </row>
    <row r="32" spans="1:17" s="10" customFormat="1" x14ac:dyDescent="0.25">
      <c r="A32" s="9" t="s">
        <v>58</v>
      </c>
      <c r="B32" s="10" t="s">
        <v>59</v>
      </c>
      <c r="C32" s="11">
        <v>21000</v>
      </c>
      <c r="D32" s="11">
        <v>19857.54</v>
      </c>
      <c r="E32" s="11">
        <v>21500</v>
      </c>
      <c r="F32" s="11">
        <v>16970.73</v>
      </c>
      <c r="G32" s="11">
        <v>17000</v>
      </c>
      <c r="H32" s="11">
        <v>16887.349999999999</v>
      </c>
      <c r="I32" s="11">
        <v>17000</v>
      </c>
      <c r="J32" s="11">
        <v>8049.08</v>
      </c>
      <c r="K32" s="11"/>
      <c r="L32" s="11"/>
      <c r="M32" s="11"/>
      <c r="N32" s="11"/>
      <c r="O32" s="11"/>
      <c r="P32" s="11"/>
      <c r="Q32" s="11"/>
    </row>
    <row r="33" spans="1:17" s="10" customFormat="1" x14ac:dyDescent="0.25">
      <c r="A33" s="9" t="s">
        <v>60</v>
      </c>
      <c r="B33" s="10" t="s">
        <v>24</v>
      </c>
      <c r="C33" s="11">
        <v>12000</v>
      </c>
      <c r="D33" s="11">
        <v>14111</v>
      </c>
      <c r="E33" s="11">
        <v>16000</v>
      </c>
      <c r="F33" s="11">
        <v>13933</v>
      </c>
      <c r="G33" s="11">
        <v>15500</v>
      </c>
      <c r="H33" s="11">
        <v>13790</v>
      </c>
      <c r="I33" s="11">
        <v>15500</v>
      </c>
      <c r="J33" s="11">
        <v>0</v>
      </c>
      <c r="K33" s="11"/>
      <c r="L33" s="11"/>
      <c r="M33" s="11"/>
      <c r="N33" s="11"/>
      <c r="O33" s="11"/>
      <c r="P33" s="11"/>
      <c r="Q33" s="11"/>
    </row>
    <row r="34" spans="1:17" s="10" customFormat="1" x14ac:dyDescent="0.25">
      <c r="A34" s="9" t="s">
        <v>61</v>
      </c>
      <c r="B34" s="10" t="s">
        <v>25</v>
      </c>
      <c r="C34" s="11">
        <v>420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/>
      <c r="L34" s="11"/>
      <c r="M34" s="11"/>
      <c r="N34" s="11"/>
      <c r="O34" s="11"/>
      <c r="P34" s="11"/>
      <c r="Q34" s="11"/>
    </row>
    <row r="35" spans="1:17" s="10" customFormat="1" x14ac:dyDescent="0.25">
      <c r="A35" s="9" t="s">
        <v>62</v>
      </c>
      <c r="B35" s="10" t="s">
        <v>63</v>
      </c>
      <c r="C35" s="11">
        <v>15000</v>
      </c>
      <c r="D35" s="11">
        <v>26828.07</v>
      </c>
      <c r="E35" s="11">
        <v>27000</v>
      </c>
      <c r="F35" s="11">
        <v>17772.66</v>
      </c>
      <c r="G35" s="11">
        <v>20000</v>
      </c>
      <c r="H35" s="11">
        <v>23708.97</v>
      </c>
      <c r="I35" s="11">
        <v>20000</v>
      </c>
      <c r="J35" s="11">
        <v>576.29</v>
      </c>
      <c r="K35" s="11"/>
      <c r="L35" s="11"/>
      <c r="M35" s="11"/>
      <c r="N35" s="11"/>
      <c r="O35" s="11"/>
      <c r="P35" s="11"/>
      <c r="Q35" s="11"/>
    </row>
    <row r="36" spans="1:17" s="10" customFormat="1" x14ac:dyDescent="0.25">
      <c r="A36" s="9" t="s">
        <v>64</v>
      </c>
      <c r="B36" s="10" t="s">
        <v>65</v>
      </c>
      <c r="C36" s="11">
        <v>2500</v>
      </c>
      <c r="D36" s="11">
        <v>0</v>
      </c>
      <c r="E36" s="11">
        <v>2000</v>
      </c>
      <c r="F36" s="11">
        <v>596.48</v>
      </c>
      <c r="G36" s="11">
        <v>2000</v>
      </c>
      <c r="H36" s="11">
        <v>0</v>
      </c>
      <c r="I36" s="11">
        <v>2000</v>
      </c>
      <c r="J36" s="11">
        <v>0</v>
      </c>
      <c r="K36" s="11"/>
      <c r="L36" s="11"/>
      <c r="M36" s="11"/>
      <c r="N36" s="11"/>
      <c r="O36" s="11"/>
      <c r="P36" s="11"/>
      <c r="Q36" s="11"/>
    </row>
    <row r="37" spans="1:17" s="10" customFormat="1" x14ac:dyDescent="0.25">
      <c r="A37" s="9" t="s">
        <v>66</v>
      </c>
      <c r="B37" s="10" t="s">
        <v>67</v>
      </c>
      <c r="C37" s="11">
        <v>2500</v>
      </c>
      <c r="D37" s="11">
        <v>937</v>
      </c>
      <c r="E37" s="11">
        <v>2500</v>
      </c>
      <c r="F37" s="11">
        <v>743</v>
      </c>
      <c r="G37" s="11">
        <v>2500</v>
      </c>
      <c r="H37" s="11">
        <v>1256</v>
      </c>
      <c r="I37" s="11">
        <v>2500</v>
      </c>
      <c r="J37" s="11">
        <v>0</v>
      </c>
      <c r="K37" s="11"/>
      <c r="L37" s="11"/>
      <c r="M37" s="11"/>
      <c r="N37" s="11"/>
      <c r="O37" s="11"/>
      <c r="P37" s="11"/>
      <c r="Q37" s="11"/>
    </row>
    <row r="38" spans="1:17" s="10" customFormat="1" x14ac:dyDescent="0.25">
      <c r="A38" s="9" t="s">
        <v>68</v>
      </c>
      <c r="B38" s="10" t="s">
        <v>69</v>
      </c>
      <c r="C38" s="11">
        <v>1000</v>
      </c>
      <c r="D38" s="11">
        <v>943.58</v>
      </c>
      <c r="E38" s="11">
        <v>1000</v>
      </c>
      <c r="F38" s="11">
        <v>894.66</v>
      </c>
      <c r="G38" s="11">
        <v>1250</v>
      </c>
      <c r="H38" s="11">
        <v>914.24</v>
      </c>
      <c r="I38" s="11">
        <v>1250</v>
      </c>
      <c r="J38" s="11">
        <v>72.39</v>
      </c>
      <c r="K38" s="11"/>
      <c r="L38" s="11"/>
      <c r="M38" s="11"/>
      <c r="N38" s="11"/>
      <c r="O38" s="11"/>
      <c r="P38" s="11"/>
      <c r="Q38" s="11"/>
    </row>
    <row r="39" spans="1:17" s="10" customFormat="1" x14ac:dyDescent="0.25">
      <c r="A39" s="9" t="s">
        <v>70</v>
      </c>
      <c r="B39" s="10" t="s">
        <v>71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/>
      <c r="L39" s="11"/>
      <c r="M39" s="11"/>
      <c r="N39" s="11"/>
      <c r="O39" s="11"/>
      <c r="P39" s="11"/>
      <c r="Q39" s="11"/>
    </row>
    <row r="40" spans="1:17" s="10" customFormat="1" x14ac:dyDescent="0.25">
      <c r="A40" s="9" t="s">
        <v>72</v>
      </c>
      <c r="B40" s="10" t="s">
        <v>73</v>
      </c>
      <c r="C40" s="11">
        <v>3000</v>
      </c>
      <c r="D40" s="11">
        <v>3714.69</v>
      </c>
      <c r="E40" s="11">
        <v>3800</v>
      </c>
      <c r="F40" s="11">
        <v>3588.67</v>
      </c>
      <c r="G40" s="11">
        <v>3800</v>
      </c>
      <c r="H40" s="11">
        <v>3662.45</v>
      </c>
      <c r="I40" s="11">
        <v>3800</v>
      </c>
      <c r="J40" s="11">
        <v>341.47</v>
      </c>
      <c r="K40" s="11"/>
      <c r="L40" s="11"/>
      <c r="M40" s="11"/>
      <c r="N40" s="11"/>
      <c r="O40" s="11"/>
      <c r="P40" s="11"/>
      <c r="Q40" s="11"/>
    </row>
    <row r="41" spans="1:17" s="10" customFormat="1" x14ac:dyDescent="0.25">
      <c r="A41" s="9" t="s">
        <v>74</v>
      </c>
      <c r="B41" s="10" t="s">
        <v>75</v>
      </c>
      <c r="C41" s="11">
        <v>500</v>
      </c>
      <c r="D41" s="11">
        <v>577</v>
      </c>
      <c r="E41" s="11">
        <v>1500</v>
      </c>
      <c r="F41" s="11">
        <v>543.21</v>
      </c>
      <c r="G41" s="11">
        <v>1500</v>
      </c>
      <c r="H41" s="11">
        <v>2019.13</v>
      </c>
      <c r="I41" s="11">
        <v>1500</v>
      </c>
      <c r="J41" s="11">
        <v>119.68</v>
      </c>
      <c r="K41" s="11"/>
      <c r="L41" s="11"/>
      <c r="M41" s="11"/>
      <c r="N41" s="11"/>
      <c r="O41" s="11"/>
      <c r="P41" s="11"/>
      <c r="Q41" s="11"/>
    </row>
    <row r="42" spans="1:17" s="10" customFormat="1" x14ac:dyDescent="0.25">
      <c r="A42" s="9" t="s">
        <v>76</v>
      </c>
      <c r="B42" s="10" t="s">
        <v>77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/>
      <c r="L42" s="11"/>
      <c r="M42" s="11"/>
      <c r="N42" s="11"/>
      <c r="O42" s="11"/>
      <c r="P42" s="11"/>
      <c r="Q42" s="11"/>
    </row>
    <row r="43" spans="1:17" s="10" customFormat="1" x14ac:dyDescent="0.25">
      <c r="A43" s="9" t="s">
        <v>78</v>
      </c>
      <c r="B43" s="10" t="s">
        <v>79</v>
      </c>
      <c r="C43" s="11">
        <v>20000</v>
      </c>
      <c r="D43" s="11">
        <v>14164.63</v>
      </c>
      <c r="E43" s="11">
        <v>15000</v>
      </c>
      <c r="F43" s="11">
        <v>15911.72</v>
      </c>
      <c r="G43" s="11">
        <v>16000</v>
      </c>
      <c r="H43" s="11">
        <v>14804.95</v>
      </c>
      <c r="I43" s="11">
        <v>16000</v>
      </c>
      <c r="J43" s="11">
        <v>168.73</v>
      </c>
      <c r="K43" s="11"/>
      <c r="L43" s="11"/>
      <c r="M43" s="11"/>
      <c r="N43" s="11"/>
      <c r="O43" s="11"/>
      <c r="P43" s="11"/>
      <c r="Q43" s="11"/>
    </row>
    <row r="44" spans="1:17" s="10" customFormat="1" x14ac:dyDescent="0.25">
      <c r="A44" s="9" t="s">
        <v>80</v>
      </c>
      <c r="B44" s="10" t="s">
        <v>81</v>
      </c>
      <c r="C44" s="11">
        <v>850</v>
      </c>
      <c r="D44" s="11">
        <v>788.92</v>
      </c>
      <c r="E44" s="11">
        <v>1000</v>
      </c>
      <c r="F44" s="11">
        <v>993.7</v>
      </c>
      <c r="G44" s="11">
        <v>1000</v>
      </c>
      <c r="H44" s="11">
        <v>910.84</v>
      </c>
      <c r="I44" s="11">
        <v>750</v>
      </c>
      <c r="J44" s="11">
        <v>0</v>
      </c>
      <c r="K44" s="11"/>
      <c r="L44" s="11"/>
      <c r="M44" s="11"/>
      <c r="N44" s="11"/>
      <c r="O44" s="11"/>
      <c r="P44" s="11"/>
      <c r="Q44" s="11"/>
    </row>
    <row r="45" spans="1:17" s="10" customFormat="1" x14ac:dyDescent="0.25">
      <c r="A45" s="9" t="s">
        <v>82</v>
      </c>
      <c r="B45" s="10" t="s">
        <v>83</v>
      </c>
      <c r="C45" s="11">
        <v>5500</v>
      </c>
      <c r="D45" s="11">
        <v>7152.95</v>
      </c>
      <c r="E45" s="11">
        <v>7300</v>
      </c>
      <c r="F45" s="11">
        <v>11900.9</v>
      </c>
      <c r="G45" s="11">
        <v>13000</v>
      </c>
      <c r="H45" s="11">
        <v>7862.13</v>
      </c>
      <c r="I45" s="11">
        <v>10000</v>
      </c>
      <c r="J45" s="11">
        <v>905.76</v>
      </c>
      <c r="K45" s="11"/>
      <c r="L45" s="11"/>
      <c r="M45" s="11"/>
      <c r="N45" s="11"/>
      <c r="O45" s="11"/>
      <c r="P45" s="11"/>
      <c r="Q45" s="11"/>
    </row>
    <row r="46" spans="1:17" s="10" customFormat="1" x14ac:dyDescent="0.25">
      <c r="A46" s="9" t="s">
        <v>84</v>
      </c>
      <c r="B46" s="10" t="s">
        <v>85</v>
      </c>
      <c r="C46" s="11">
        <v>1600</v>
      </c>
      <c r="D46" s="11">
        <v>1525</v>
      </c>
      <c r="E46" s="11">
        <v>1600</v>
      </c>
      <c r="F46" s="11">
        <v>1525</v>
      </c>
      <c r="G46" s="11">
        <v>1600</v>
      </c>
      <c r="H46" s="11">
        <v>1538</v>
      </c>
      <c r="I46" s="11">
        <v>1600</v>
      </c>
      <c r="J46" s="11">
        <v>0</v>
      </c>
      <c r="K46" s="11"/>
      <c r="L46" s="11"/>
      <c r="M46" s="11"/>
      <c r="N46" s="11"/>
      <c r="O46" s="11"/>
      <c r="P46" s="11"/>
      <c r="Q46" s="11"/>
    </row>
    <row r="47" spans="1:17" s="10" customFormat="1" x14ac:dyDescent="0.25">
      <c r="A47" s="9" t="s">
        <v>86</v>
      </c>
      <c r="B47" s="10" t="s">
        <v>87</v>
      </c>
      <c r="C47" s="11">
        <v>500</v>
      </c>
      <c r="D47" s="11">
        <v>138.65</v>
      </c>
      <c r="E47" s="11">
        <v>500</v>
      </c>
      <c r="F47" s="11">
        <v>25.75</v>
      </c>
      <c r="G47" s="11">
        <v>500</v>
      </c>
      <c r="H47" s="11">
        <v>124.61</v>
      </c>
      <c r="I47" s="11">
        <v>1000</v>
      </c>
      <c r="J47" s="11">
        <v>0</v>
      </c>
      <c r="K47" s="11"/>
      <c r="L47" s="11"/>
      <c r="M47" s="11"/>
      <c r="N47" s="11"/>
      <c r="O47" s="11"/>
      <c r="P47" s="11"/>
      <c r="Q47" s="11"/>
    </row>
    <row r="48" spans="1:17" s="10" customFormat="1" x14ac:dyDescent="0.25">
      <c r="A48" s="9" t="s">
        <v>88</v>
      </c>
      <c r="B48" s="10" t="s">
        <v>89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/>
      <c r="L48" s="11"/>
      <c r="M48" s="11"/>
      <c r="N48" s="11"/>
      <c r="O48" s="11"/>
      <c r="P48" s="11"/>
      <c r="Q48" s="11"/>
    </row>
    <row r="49" spans="1:17" s="10" customFormat="1" x14ac:dyDescent="0.25">
      <c r="A49" s="9" t="s">
        <v>90</v>
      </c>
      <c r="B49" s="10" t="s">
        <v>91</v>
      </c>
      <c r="C49" s="11">
        <v>10000</v>
      </c>
      <c r="D49" s="11">
        <v>1231</v>
      </c>
      <c r="E49" s="11">
        <v>20000</v>
      </c>
      <c r="F49" s="11">
        <v>25909.33</v>
      </c>
      <c r="G49" s="11">
        <v>10000</v>
      </c>
      <c r="H49" s="11">
        <v>34102</v>
      </c>
      <c r="I49" s="11">
        <v>10000</v>
      </c>
      <c r="J49" s="11">
        <v>0</v>
      </c>
      <c r="K49" s="11"/>
      <c r="L49" s="11"/>
      <c r="M49" s="11"/>
      <c r="N49" s="11"/>
      <c r="O49" s="11"/>
      <c r="P49" s="11"/>
      <c r="Q49" s="11"/>
    </row>
    <row r="50" spans="1:17" s="10" customFormat="1" x14ac:dyDescent="0.25">
      <c r="A50" s="9" t="s">
        <v>151</v>
      </c>
      <c r="B50" s="10" t="s">
        <v>152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/>
      <c r="L50" s="11"/>
      <c r="M50" s="11"/>
      <c r="N50" s="11"/>
      <c r="O50" s="11"/>
      <c r="P50" s="11"/>
      <c r="Q50" s="11"/>
    </row>
    <row r="51" spans="1:17" s="10" customFormat="1" x14ac:dyDescent="0.25">
      <c r="A51" s="12" t="s">
        <v>155</v>
      </c>
      <c r="B51" s="13" t="s">
        <v>152</v>
      </c>
      <c r="C51" s="14">
        <v>45000</v>
      </c>
      <c r="D51" s="14">
        <v>35089.949999999997</v>
      </c>
      <c r="E51" s="14">
        <v>0</v>
      </c>
      <c r="F51" s="14">
        <v>42123.41</v>
      </c>
      <c r="G51" s="14">
        <v>0</v>
      </c>
      <c r="H51" s="14">
        <v>29374</v>
      </c>
      <c r="I51" s="14">
        <v>0</v>
      </c>
      <c r="J51" s="14">
        <v>0</v>
      </c>
      <c r="K51" s="11"/>
      <c r="L51" s="11"/>
      <c r="M51" s="11"/>
      <c r="N51" s="11"/>
      <c r="O51" s="11"/>
      <c r="P51" s="11"/>
      <c r="Q51" s="11"/>
    </row>
    <row r="52" spans="1:17" s="10" customFormat="1" x14ac:dyDescent="0.25">
      <c r="A52" s="9"/>
      <c r="C52" s="11"/>
      <c r="D52" s="11">
        <f>SUM(D16:D51)</f>
        <v>543664.68000000005</v>
      </c>
      <c r="E52" s="11"/>
      <c r="F52" s="11">
        <f>SUM(F16:F51)</f>
        <v>592399.7699999999</v>
      </c>
      <c r="G52" s="11"/>
      <c r="H52" s="11">
        <f>SUM(H16:H51)</f>
        <v>583565.24</v>
      </c>
      <c r="I52" s="11">
        <f>SUM(I16:I51)</f>
        <v>626179</v>
      </c>
      <c r="J52" s="11"/>
      <c r="K52" s="11"/>
      <c r="L52" s="11"/>
      <c r="M52" s="11"/>
      <c r="N52" s="11"/>
      <c r="O52" s="11"/>
      <c r="P52" s="11"/>
      <c r="Q52" s="11"/>
    </row>
    <row r="53" spans="1:17" s="10" customFormat="1" x14ac:dyDescent="0.25">
      <c r="A53" s="9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s="10" customFormat="1" x14ac:dyDescent="0.25">
      <c r="A54" s="3" t="s">
        <v>158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1:17" s="10" customFormat="1" x14ac:dyDescent="0.25">
      <c r="A55" s="9" t="s">
        <v>92</v>
      </c>
      <c r="B55" s="10" t="s">
        <v>93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L55" s="11"/>
      <c r="M55" s="11"/>
      <c r="N55" s="11"/>
      <c r="O55" s="11"/>
      <c r="P55" s="11"/>
      <c r="Q55" s="11"/>
    </row>
    <row r="56" spans="1:17" s="10" customFormat="1" x14ac:dyDescent="0.25">
      <c r="A56" s="9" t="s">
        <v>94</v>
      </c>
      <c r="B56" s="10" t="s">
        <v>95</v>
      </c>
      <c r="C56" s="11">
        <v>77100</v>
      </c>
      <c r="D56" s="11">
        <v>58067.16</v>
      </c>
      <c r="E56" s="11">
        <v>81000</v>
      </c>
      <c r="F56" s="11">
        <v>82737.919999999998</v>
      </c>
      <c r="G56" s="11">
        <v>94000</v>
      </c>
      <c r="H56" s="11">
        <v>96523.12</v>
      </c>
      <c r="I56" s="11">
        <v>97000</v>
      </c>
      <c r="J56" s="11">
        <v>9011.1</v>
      </c>
      <c r="L56" s="11"/>
      <c r="M56" s="11"/>
      <c r="N56" s="11"/>
      <c r="O56" s="11"/>
      <c r="P56" s="11"/>
      <c r="Q56" s="11"/>
    </row>
    <row r="57" spans="1:17" s="10" customFormat="1" x14ac:dyDescent="0.25">
      <c r="A57" s="9" t="s">
        <v>96</v>
      </c>
      <c r="B57" s="10" t="s">
        <v>97</v>
      </c>
      <c r="C57" s="11">
        <v>2500</v>
      </c>
      <c r="D57" s="11">
        <v>2450.36</v>
      </c>
      <c r="E57" s="11">
        <v>2500</v>
      </c>
      <c r="F57" s="11">
        <v>2457.14</v>
      </c>
      <c r="G57" s="11">
        <v>2600</v>
      </c>
      <c r="H57" s="11">
        <v>2797.61</v>
      </c>
      <c r="I57" s="11">
        <v>2500</v>
      </c>
      <c r="J57" s="11">
        <v>327.51</v>
      </c>
      <c r="L57" s="11"/>
      <c r="M57" s="11"/>
      <c r="N57" s="11"/>
      <c r="O57" s="11"/>
      <c r="P57" s="11"/>
      <c r="Q57" s="11"/>
    </row>
    <row r="58" spans="1:17" s="10" customFormat="1" x14ac:dyDescent="0.25">
      <c r="A58" s="9" t="s">
        <v>98</v>
      </c>
      <c r="B58" s="10" t="s">
        <v>99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L58" s="11"/>
      <c r="M58" s="11"/>
      <c r="N58" s="11"/>
      <c r="O58" s="11"/>
      <c r="P58" s="11"/>
      <c r="Q58" s="11"/>
    </row>
    <row r="59" spans="1:17" s="10" customFormat="1" x14ac:dyDescent="0.25">
      <c r="A59" s="9" t="s">
        <v>100</v>
      </c>
      <c r="B59" s="10" t="s">
        <v>101</v>
      </c>
      <c r="C59" s="11">
        <v>29000</v>
      </c>
      <c r="D59" s="11">
        <v>32561.88</v>
      </c>
      <c r="E59" s="11">
        <v>25100</v>
      </c>
      <c r="F59" s="11">
        <v>22340.18</v>
      </c>
      <c r="G59" s="11">
        <v>26500</v>
      </c>
      <c r="H59" s="11">
        <v>27765.09</v>
      </c>
      <c r="I59" s="11">
        <v>26000</v>
      </c>
      <c r="J59" s="11">
        <v>2303.19</v>
      </c>
      <c r="L59" s="11"/>
      <c r="M59" s="11"/>
      <c r="N59" s="11"/>
      <c r="O59" s="11"/>
      <c r="P59" s="11"/>
      <c r="Q59" s="11"/>
    </row>
    <row r="60" spans="1:17" s="10" customFormat="1" x14ac:dyDescent="0.25">
      <c r="A60" s="9" t="s">
        <v>102</v>
      </c>
      <c r="B60" s="10" t="s">
        <v>103</v>
      </c>
      <c r="C60" s="11">
        <v>27000</v>
      </c>
      <c r="D60" s="11">
        <v>23966.15</v>
      </c>
      <c r="E60" s="11">
        <v>25000</v>
      </c>
      <c r="F60" s="11">
        <v>23518.959999999999</v>
      </c>
      <c r="G60" s="11">
        <v>24000</v>
      </c>
      <c r="H60" s="11">
        <v>24020.48</v>
      </c>
      <c r="I60" s="11">
        <v>26350</v>
      </c>
      <c r="J60" s="11">
        <v>2204.46</v>
      </c>
      <c r="L60" s="11"/>
      <c r="M60" s="11"/>
      <c r="N60" s="11"/>
      <c r="O60" s="11"/>
      <c r="P60" s="11"/>
      <c r="Q60" s="11"/>
    </row>
    <row r="61" spans="1:17" s="10" customFormat="1" x14ac:dyDescent="0.25">
      <c r="A61" s="9" t="s">
        <v>104</v>
      </c>
      <c r="B61" s="10" t="s">
        <v>105</v>
      </c>
      <c r="C61" s="11">
        <v>5800</v>
      </c>
      <c r="D61" s="11">
        <v>5859.64</v>
      </c>
      <c r="E61" s="11">
        <v>6000</v>
      </c>
      <c r="F61" s="11">
        <v>6439.55</v>
      </c>
      <c r="G61" s="11">
        <v>7200</v>
      </c>
      <c r="H61" s="11">
        <v>8015.91</v>
      </c>
      <c r="I61" s="11">
        <v>7400</v>
      </c>
      <c r="J61" s="11">
        <v>706.12</v>
      </c>
      <c r="L61" s="11"/>
      <c r="M61" s="11"/>
      <c r="N61" s="11"/>
      <c r="O61" s="11"/>
      <c r="P61" s="11"/>
      <c r="Q61" s="11"/>
    </row>
    <row r="62" spans="1:17" s="10" customFormat="1" x14ac:dyDescent="0.25">
      <c r="A62" s="9" t="s">
        <v>106</v>
      </c>
      <c r="B62" s="10" t="s">
        <v>107</v>
      </c>
      <c r="C62" s="11">
        <v>12500</v>
      </c>
      <c r="D62" s="11">
        <v>15846.17</v>
      </c>
      <c r="E62" s="11">
        <v>16000</v>
      </c>
      <c r="F62" s="11">
        <v>3243.56</v>
      </c>
      <c r="G62" s="11">
        <v>3300</v>
      </c>
      <c r="H62" s="11">
        <v>3664.5</v>
      </c>
      <c r="I62" s="11">
        <v>4000</v>
      </c>
      <c r="J62" s="11">
        <v>1193.0999999999999</v>
      </c>
      <c r="L62" s="11"/>
      <c r="M62" s="11"/>
      <c r="N62" s="11"/>
      <c r="O62" s="11"/>
      <c r="P62" s="11"/>
      <c r="Q62" s="11"/>
    </row>
    <row r="63" spans="1:17" s="10" customFormat="1" x14ac:dyDescent="0.25">
      <c r="A63" s="9" t="s">
        <v>108</v>
      </c>
      <c r="B63" s="10" t="s">
        <v>109</v>
      </c>
      <c r="C63" s="11">
        <v>50</v>
      </c>
      <c r="D63" s="11">
        <v>402.11</v>
      </c>
      <c r="E63" s="11">
        <v>500</v>
      </c>
      <c r="F63" s="11">
        <v>737.98</v>
      </c>
      <c r="G63" s="11">
        <v>750</v>
      </c>
      <c r="H63" s="11">
        <v>766.73</v>
      </c>
      <c r="I63" s="11">
        <v>800</v>
      </c>
      <c r="J63" s="11">
        <v>154.38999999999999</v>
      </c>
      <c r="L63" s="11"/>
      <c r="M63" s="11"/>
      <c r="N63" s="11"/>
      <c r="O63" s="11"/>
      <c r="P63" s="11"/>
      <c r="Q63" s="11"/>
    </row>
    <row r="64" spans="1:17" s="10" customFormat="1" x14ac:dyDescent="0.25">
      <c r="A64" s="9" t="s">
        <v>110</v>
      </c>
      <c r="B64" s="10" t="s">
        <v>111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L64" s="11"/>
      <c r="M64" s="11"/>
      <c r="N64" s="11"/>
      <c r="O64" s="11"/>
      <c r="P64" s="11"/>
      <c r="Q64" s="11"/>
    </row>
    <row r="65" spans="1:17" s="10" customFormat="1" x14ac:dyDescent="0.25">
      <c r="A65" s="9" t="s">
        <v>112</v>
      </c>
      <c r="B65" s="10" t="s">
        <v>113</v>
      </c>
      <c r="C65" s="11">
        <v>100</v>
      </c>
      <c r="D65" s="11">
        <v>0</v>
      </c>
      <c r="E65" s="11">
        <v>100</v>
      </c>
      <c r="F65" s="11">
        <v>0</v>
      </c>
      <c r="G65" s="11">
        <v>100</v>
      </c>
      <c r="H65" s="11">
        <v>0</v>
      </c>
      <c r="I65" s="11">
        <v>100</v>
      </c>
      <c r="J65" s="11">
        <v>0</v>
      </c>
      <c r="L65" s="11"/>
      <c r="M65" s="11"/>
      <c r="N65" s="11"/>
      <c r="O65" s="11"/>
      <c r="P65" s="11"/>
      <c r="Q65" s="11"/>
    </row>
    <row r="66" spans="1:17" s="10" customFormat="1" x14ac:dyDescent="0.25">
      <c r="A66" s="31" t="s">
        <v>197</v>
      </c>
      <c r="B66" s="30" t="s">
        <v>196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24000</v>
      </c>
      <c r="J66" s="11">
        <v>4119.96</v>
      </c>
      <c r="L66" s="11"/>
      <c r="M66" s="11"/>
      <c r="N66" s="11"/>
      <c r="O66" s="11"/>
      <c r="P66" s="11"/>
      <c r="Q66" s="11"/>
    </row>
    <row r="67" spans="1:17" s="10" customFormat="1" x14ac:dyDescent="0.25">
      <c r="A67" s="9" t="s">
        <v>114</v>
      </c>
      <c r="B67" s="10" t="s">
        <v>115</v>
      </c>
      <c r="C67" s="11">
        <v>8500</v>
      </c>
      <c r="D67" s="11">
        <v>7631.11</v>
      </c>
      <c r="E67" s="11">
        <v>8000</v>
      </c>
      <c r="F67" s="11">
        <v>8187.69</v>
      </c>
      <c r="G67" s="11">
        <v>8200</v>
      </c>
      <c r="H67" s="11">
        <v>9100.68</v>
      </c>
      <c r="I67" s="11">
        <v>9400</v>
      </c>
      <c r="J67" s="11">
        <v>155.76</v>
      </c>
      <c r="L67" s="11"/>
      <c r="M67" s="11"/>
      <c r="N67" s="11"/>
      <c r="O67" s="11"/>
      <c r="P67" s="11"/>
      <c r="Q67" s="11"/>
    </row>
    <row r="68" spans="1:17" s="10" customFormat="1" x14ac:dyDescent="0.25">
      <c r="A68" s="9" t="s">
        <v>116</v>
      </c>
      <c r="B68" s="10" t="s">
        <v>117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L68" s="11"/>
      <c r="M68" s="11"/>
      <c r="N68" s="11"/>
      <c r="O68" s="11"/>
      <c r="P68" s="11"/>
      <c r="Q68" s="11"/>
    </row>
    <row r="69" spans="1:17" s="10" customFormat="1" x14ac:dyDescent="0.25">
      <c r="A69" s="9" t="s">
        <v>118</v>
      </c>
      <c r="B69" s="10" t="s">
        <v>119</v>
      </c>
      <c r="C69" s="11">
        <v>2500</v>
      </c>
      <c r="D69" s="11">
        <v>1333.5</v>
      </c>
      <c r="E69" s="11">
        <v>1350</v>
      </c>
      <c r="F69" s="11">
        <v>1322.5</v>
      </c>
      <c r="G69" s="11">
        <v>1350</v>
      </c>
      <c r="H69" s="11">
        <v>1325</v>
      </c>
      <c r="I69" s="11">
        <v>1350</v>
      </c>
      <c r="J69" s="11">
        <v>0</v>
      </c>
      <c r="L69" s="11"/>
      <c r="M69" s="11"/>
      <c r="N69" s="11"/>
      <c r="O69" s="11"/>
      <c r="P69" s="11"/>
      <c r="Q69" s="11"/>
    </row>
    <row r="70" spans="1:17" s="10" customFormat="1" x14ac:dyDescent="0.25">
      <c r="A70" s="9" t="s">
        <v>120</v>
      </c>
      <c r="B70" s="10" t="s">
        <v>121</v>
      </c>
      <c r="C70" s="11">
        <v>14000</v>
      </c>
      <c r="D70" s="11">
        <v>12588.92</v>
      </c>
      <c r="E70" s="11">
        <v>13500</v>
      </c>
      <c r="F70" s="11">
        <v>6971.14</v>
      </c>
      <c r="G70" s="11">
        <v>7000</v>
      </c>
      <c r="H70" s="11">
        <v>6950.48</v>
      </c>
      <c r="I70" s="11">
        <v>7000</v>
      </c>
      <c r="J70" s="11">
        <v>3138.16</v>
      </c>
      <c r="L70" s="11"/>
      <c r="M70" s="11"/>
      <c r="N70" s="11"/>
      <c r="O70" s="11"/>
      <c r="P70" s="11"/>
      <c r="Q70" s="11"/>
    </row>
    <row r="71" spans="1:17" s="10" customFormat="1" x14ac:dyDescent="0.25">
      <c r="A71" s="9" t="s">
        <v>122</v>
      </c>
      <c r="B71" s="10" t="s">
        <v>25</v>
      </c>
      <c r="C71" s="11">
        <v>420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L71" s="11"/>
      <c r="M71" s="11"/>
      <c r="N71" s="11"/>
      <c r="O71" s="11"/>
      <c r="P71" s="11"/>
      <c r="Q71" s="11"/>
    </row>
    <row r="72" spans="1:17" s="10" customFormat="1" x14ac:dyDescent="0.25">
      <c r="A72" s="9" t="s">
        <v>123</v>
      </c>
      <c r="B72" s="10" t="s">
        <v>124</v>
      </c>
      <c r="C72" s="11">
        <v>200</v>
      </c>
      <c r="D72" s="11">
        <v>0</v>
      </c>
      <c r="E72" s="11">
        <v>200</v>
      </c>
      <c r="F72" s="11">
        <v>0</v>
      </c>
      <c r="G72" s="11">
        <v>200</v>
      </c>
      <c r="H72" s="11">
        <v>0</v>
      </c>
      <c r="I72" s="11">
        <v>200</v>
      </c>
      <c r="J72" s="11">
        <v>0</v>
      </c>
      <c r="L72" s="11"/>
      <c r="M72" s="11"/>
      <c r="N72" s="11"/>
      <c r="O72" s="11"/>
      <c r="P72" s="11"/>
      <c r="Q72" s="11"/>
    </row>
    <row r="73" spans="1:17" s="10" customFormat="1" x14ac:dyDescent="0.25">
      <c r="A73" s="9" t="s">
        <v>125</v>
      </c>
      <c r="B73" s="10" t="s">
        <v>126</v>
      </c>
      <c r="C73" s="11">
        <v>6500</v>
      </c>
      <c r="D73" s="11">
        <v>2451.04</v>
      </c>
      <c r="E73" s="11">
        <v>4000</v>
      </c>
      <c r="F73" s="11">
        <v>3793.55</v>
      </c>
      <c r="G73" s="11">
        <v>5000</v>
      </c>
      <c r="H73" s="11">
        <v>5577.98</v>
      </c>
      <c r="I73" s="11">
        <v>5300</v>
      </c>
      <c r="J73" s="11">
        <v>1522.17</v>
      </c>
      <c r="L73" s="11"/>
      <c r="M73" s="11"/>
      <c r="N73" s="11"/>
      <c r="O73" s="11"/>
      <c r="P73" s="11"/>
      <c r="Q73" s="11"/>
    </row>
    <row r="74" spans="1:17" s="10" customFormat="1" x14ac:dyDescent="0.25">
      <c r="A74" s="9" t="s">
        <v>127</v>
      </c>
      <c r="B74" s="10" t="s">
        <v>128</v>
      </c>
      <c r="C74" s="11">
        <v>1000</v>
      </c>
      <c r="D74" s="11">
        <v>0</v>
      </c>
      <c r="E74" s="11">
        <v>1000</v>
      </c>
      <c r="F74" s="11">
        <v>0</v>
      </c>
      <c r="G74" s="11">
        <v>1000</v>
      </c>
      <c r="H74" s="11">
        <v>0</v>
      </c>
      <c r="I74" s="11">
        <v>1000</v>
      </c>
      <c r="J74" s="11">
        <v>0</v>
      </c>
      <c r="L74" s="11"/>
      <c r="M74" s="11"/>
      <c r="N74" s="11"/>
      <c r="O74" s="11"/>
      <c r="P74" s="11"/>
      <c r="Q74" s="11"/>
    </row>
    <row r="75" spans="1:17" s="10" customFormat="1" x14ac:dyDescent="0.25">
      <c r="A75" s="9" t="s">
        <v>129</v>
      </c>
      <c r="B75" s="10" t="s">
        <v>130</v>
      </c>
      <c r="C75" s="11">
        <v>1000</v>
      </c>
      <c r="D75" s="11">
        <v>882</v>
      </c>
      <c r="E75" s="11">
        <v>1000</v>
      </c>
      <c r="F75" s="11">
        <v>483</v>
      </c>
      <c r="G75" s="11">
        <v>1000</v>
      </c>
      <c r="H75" s="11">
        <v>515</v>
      </c>
      <c r="I75" s="11">
        <v>1000</v>
      </c>
      <c r="J75" s="11">
        <v>0</v>
      </c>
      <c r="L75" s="11"/>
      <c r="M75" s="11"/>
      <c r="N75" s="11"/>
      <c r="O75" s="11"/>
      <c r="P75" s="11"/>
      <c r="Q75" s="11"/>
    </row>
    <row r="76" spans="1:17" s="10" customFormat="1" x14ac:dyDescent="0.25">
      <c r="A76" s="9" t="s">
        <v>131</v>
      </c>
      <c r="B76" s="10" t="s">
        <v>132</v>
      </c>
      <c r="C76" s="11">
        <v>900</v>
      </c>
      <c r="D76" s="11">
        <v>935.72</v>
      </c>
      <c r="E76" s="11">
        <v>900</v>
      </c>
      <c r="F76" s="11">
        <v>894.66</v>
      </c>
      <c r="G76" s="11">
        <v>950</v>
      </c>
      <c r="H76" s="11">
        <v>914.22</v>
      </c>
      <c r="I76" s="11">
        <v>950</v>
      </c>
      <c r="J76" s="11">
        <v>72.39</v>
      </c>
      <c r="L76" s="11"/>
      <c r="M76" s="11"/>
      <c r="N76" s="11"/>
      <c r="O76" s="11"/>
      <c r="P76" s="11"/>
      <c r="Q76" s="11"/>
    </row>
    <row r="77" spans="1:17" s="10" customFormat="1" x14ac:dyDescent="0.25">
      <c r="A77" s="9" t="s">
        <v>133</v>
      </c>
      <c r="B77" s="10" t="s">
        <v>134</v>
      </c>
      <c r="C77" s="11">
        <v>250</v>
      </c>
      <c r="D77" s="11">
        <v>0</v>
      </c>
      <c r="E77" s="11">
        <v>1500</v>
      </c>
      <c r="F77" s="11">
        <v>0</v>
      </c>
      <c r="G77" s="11">
        <v>1500</v>
      </c>
      <c r="H77" s="11">
        <v>75</v>
      </c>
      <c r="I77" s="11">
        <v>1500</v>
      </c>
      <c r="J77" s="11">
        <v>0</v>
      </c>
      <c r="L77" s="11"/>
      <c r="M77" s="11"/>
      <c r="N77" s="11"/>
      <c r="O77" s="11"/>
      <c r="P77" s="11"/>
      <c r="Q77" s="11"/>
    </row>
    <row r="78" spans="1:17" s="10" customFormat="1" x14ac:dyDescent="0.25">
      <c r="A78" s="9" t="s">
        <v>135</v>
      </c>
      <c r="B78" s="10" t="s">
        <v>136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L78" s="11"/>
      <c r="M78" s="11"/>
      <c r="N78" s="11"/>
      <c r="O78" s="11"/>
      <c r="P78" s="11"/>
      <c r="Q78" s="11"/>
    </row>
    <row r="79" spans="1:17" s="10" customFormat="1" x14ac:dyDescent="0.25">
      <c r="A79" s="9" t="s">
        <v>137</v>
      </c>
      <c r="B79" s="10" t="s">
        <v>138</v>
      </c>
      <c r="C79" s="11">
        <v>8000</v>
      </c>
      <c r="D79" s="11">
        <v>8469.36</v>
      </c>
      <c r="E79" s="11">
        <v>9000</v>
      </c>
      <c r="F79" s="11">
        <v>4549.12</v>
      </c>
      <c r="G79" s="11">
        <v>7500</v>
      </c>
      <c r="H79" s="11">
        <v>10980.49</v>
      </c>
      <c r="I79" s="11">
        <v>12000</v>
      </c>
      <c r="J79" s="11">
        <v>29.51</v>
      </c>
      <c r="L79" s="11"/>
      <c r="M79" s="11"/>
      <c r="N79" s="11"/>
      <c r="O79" s="11"/>
      <c r="P79" s="11"/>
      <c r="Q79" s="11"/>
    </row>
    <row r="80" spans="1:17" s="10" customFormat="1" x14ac:dyDescent="0.25">
      <c r="A80" s="9" t="s">
        <v>139</v>
      </c>
      <c r="B80" s="10" t="s">
        <v>140</v>
      </c>
      <c r="C80" s="11">
        <v>2000</v>
      </c>
      <c r="D80" s="11">
        <v>709.06</v>
      </c>
      <c r="E80" s="11">
        <v>1000</v>
      </c>
      <c r="F80" s="11">
        <v>551.08000000000004</v>
      </c>
      <c r="G80" s="11">
        <v>1000</v>
      </c>
      <c r="H80" s="11">
        <v>445</v>
      </c>
      <c r="I80" s="11">
        <v>800</v>
      </c>
      <c r="J80" s="11">
        <v>0</v>
      </c>
      <c r="L80" s="11"/>
      <c r="M80" s="11"/>
      <c r="N80" s="11"/>
      <c r="O80" s="11"/>
      <c r="P80" s="11"/>
      <c r="Q80" s="11"/>
    </row>
    <row r="81" spans="1:17" s="10" customFormat="1" x14ac:dyDescent="0.25">
      <c r="A81" s="9" t="s">
        <v>141</v>
      </c>
      <c r="B81" s="10" t="s">
        <v>142</v>
      </c>
      <c r="C81" s="11">
        <v>2000</v>
      </c>
      <c r="D81" s="11">
        <v>1199.06</v>
      </c>
      <c r="E81" s="11">
        <v>1500</v>
      </c>
      <c r="F81" s="11">
        <v>2475.4699999999998</v>
      </c>
      <c r="G81" s="11">
        <v>3500</v>
      </c>
      <c r="H81" s="11">
        <v>3413.54</v>
      </c>
      <c r="I81" s="11">
        <v>3500</v>
      </c>
      <c r="J81" s="11">
        <v>194.38</v>
      </c>
      <c r="L81" s="11"/>
      <c r="M81" s="11"/>
      <c r="N81" s="11"/>
      <c r="O81" s="11"/>
      <c r="P81" s="11"/>
      <c r="Q81" s="11"/>
    </row>
    <row r="82" spans="1:17" s="10" customFormat="1" x14ac:dyDescent="0.25">
      <c r="A82" s="9" t="s">
        <v>143</v>
      </c>
      <c r="B82" s="10" t="s">
        <v>144</v>
      </c>
      <c r="C82" s="11">
        <v>500</v>
      </c>
      <c r="D82" s="11">
        <v>415</v>
      </c>
      <c r="E82" s="11">
        <v>500</v>
      </c>
      <c r="F82" s="11">
        <v>415</v>
      </c>
      <c r="G82" s="11">
        <v>500</v>
      </c>
      <c r="H82" s="11">
        <v>428</v>
      </c>
      <c r="I82" s="11">
        <v>500</v>
      </c>
      <c r="J82" s="11">
        <v>0</v>
      </c>
      <c r="L82" s="11"/>
      <c r="M82" s="11"/>
      <c r="N82" s="11"/>
      <c r="O82" s="11"/>
      <c r="P82" s="11"/>
      <c r="Q82" s="11"/>
    </row>
    <row r="83" spans="1:17" s="10" customFormat="1" x14ac:dyDescent="0.25">
      <c r="A83" s="9" t="s">
        <v>145</v>
      </c>
      <c r="B83" s="10" t="s">
        <v>146</v>
      </c>
      <c r="C83" s="11">
        <v>2000</v>
      </c>
      <c r="D83" s="11">
        <v>27.9</v>
      </c>
      <c r="E83" s="11">
        <v>1000</v>
      </c>
      <c r="F83" s="11">
        <v>0</v>
      </c>
      <c r="G83" s="11">
        <v>1000</v>
      </c>
      <c r="H83" s="11">
        <v>0</v>
      </c>
      <c r="I83" s="11">
        <v>1000</v>
      </c>
      <c r="J83" s="11">
        <v>0</v>
      </c>
      <c r="L83" s="11"/>
      <c r="M83" s="11"/>
      <c r="N83" s="11"/>
      <c r="O83" s="11"/>
      <c r="P83" s="11"/>
      <c r="Q83" s="11"/>
    </row>
    <row r="84" spans="1:17" s="10" customFormat="1" x14ac:dyDescent="0.25">
      <c r="A84" s="9" t="s">
        <v>147</v>
      </c>
      <c r="B84" s="10" t="s">
        <v>148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L84" s="11"/>
      <c r="M84" s="11"/>
      <c r="N84" s="11"/>
      <c r="O84" s="11"/>
      <c r="P84" s="11"/>
      <c r="Q84" s="11"/>
    </row>
    <row r="85" spans="1:17" s="10" customFormat="1" x14ac:dyDescent="0.25">
      <c r="A85" s="9" t="s">
        <v>149</v>
      </c>
      <c r="B85" s="10" t="s">
        <v>150</v>
      </c>
      <c r="C85" s="11">
        <v>10000</v>
      </c>
      <c r="D85" s="11">
        <v>12097.51</v>
      </c>
      <c r="E85" s="11">
        <v>10000</v>
      </c>
      <c r="F85" s="11">
        <v>1364.33</v>
      </c>
      <c r="G85" s="11">
        <v>10000</v>
      </c>
      <c r="H85" s="11">
        <v>10000</v>
      </c>
      <c r="I85" s="11">
        <v>12000</v>
      </c>
      <c r="J85" s="11">
        <v>0</v>
      </c>
      <c r="L85" s="11"/>
      <c r="M85" s="11"/>
      <c r="N85" s="11"/>
      <c r="O85" s="11"/>
      <c r="P85" s="11"/>
      <c r="Q85" s="11"/>
    </row>
    <row r="86" spans="1:17" s="10" customFormat="1" x14ac:dyDescent="0.25">
      <c r="A86" s="9" t="s">
        <v>153</v>
      </c>
      <c r="B86" s="10" t="s">
        <v>154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L86" s="11"/>
      <c r="M86" s="11"/>
      <c r="N86" s="11"/>
      <c r="O86" s="11"/>
      <c r="P86" s="11"/>
      <c r="Q86" s="11"/>
    </row>
    <row r="87" spans="1:17" s="10" customFormat="1" x14ac:dyDescent="0.25">
      <c r="A87" s="12" t="s">
        <v>156</v>
      </c>
      <c r="B87" s="13" t="s">
        <v>154</v>
      </c>
      <c r="C87" s="14">
        <v>56000</v>
      </c>
      <c r="D87" s="14">
        <v>0</v>
      </c>
      <c r="E87" s="14">
        <v>0</v>
      </c>
      <c r="F87" s="14">
        <v>0</v>
      </c>
      <c r="G87" s="14">
        <v>0</v>
      </c>
      <c r="H87" s="14">
        <v>12483.75</v>
      </c>
      <c r="I87" s="14">
        <v>0</v>
      </c>
      <c r="J87" s="14">
        <v>0</v>
      </c>
      <c r="K87" s="11"/>
      <c r="L87" s="11"/>
      <c r="M87" s="11"/>
      <c r="N87" s="11"/>
      <c r="O87" s="11"/>
      <c r="P87" s="11"/>
      <c r="Q87" s="11"/>
    </row>
    <row r="88" spans="1:17" x14ac:dyDescent="0.25">
      <c r="D88" s="8">
        <f>SUM(D55:D87)</f>
        <v>187893.65</v>
      </c>
      <c r="F88" s="8">
        <f>SUM(F55:F87)</f>
        <v>172482.82999999996</v>
      </c>
      <c r="H88" s="8">
        <f>SUM(H55:H87)</f>
        <v>225762.58000000002</v>
      </c>
      <c r="I88" s="8">
        <f>SUM(I55:I87)</f>
        <v>245650</v>
      </c>
    </row>
    <row r="90" spans="1:17" x14ac:dyDescent="0.25">
      <c r="B90" s="10" t="s">
        <v>159</v>
      </c>
      <c r="D90" s="15">
        <f>D52+D88</f>
        <v>731558.33000000007</v>
      </c>
      <c r="F90" s="15">
        <f>F52+F88</f>
        <v>764882.59999999986</v>
      </c>
      <c r="H90" s="15">
        <f>H52+H88</f>
        <v>809327.82000000007</v>
      </c>
      <c r="I90" s="15">
        <f>I52+I88</f>
        <v>871829</v>
      </c>
    </row>
    <row r="91" spans="1:17" x14ac:dyDescent="0.25">
      <c r="F91" s="32">
        <f>(F90-D90)/D90</f>
        <v>4.5552444191292008E-2</v>
      </c>
      <c r="H91" s="32">
        <f>(H90-F90)/F90</f>
        <v>5.8107244170543575E-2</v>
      </c>
    </row>
  </sheetData>
  <mergeCells count="4">
    <mergeCell ref="C1:D1"/>
    <mergeCell ref="E1:F1"/>
    <mergeCell ref="G1:H1"/>
    <mergeCell ref="I1:J1"/>
  </mergeCells>
  <pageMargins left="0.25" right="0.25" top="0.83333333333333304" bottom="0.75" header="0.25" footer="0.3"/>
  <pageSetup scale="80" fitToHeight="0" orientation="landscape" r:id="rId1"/>
  <headerFooter>
    <oddHeader>&amp;L&amp;BA17100  Oper:RW 
Date &amp;D&amp;C&amp;C &amp;BCITY OF FALMOUTH,  KY 
Budget Analysis&amp;R&amp;BPage &amp;P
Time &amp;T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476F5-7991-4ABF-B288-1E5E9793265B}">
  <sheetPr>
    <pageSetUpPr fitToPage="1"/>
  </sheetPr>
  <dimension ref="D2:P111"/>
  <sheetViews>
    <sheetView topLeftCell="A52" workbookViewId="0">
      <selection activeCell="F115" sqref="F115"/>
    </sheetView>
  </sheetViews>
  <sheetFormatPr defaultRowHeight="15" x14ac:dyDescent="0.25"/>
  <cols>
    <col min="4" max="4" width="10.7109375" customWidth="1"/>
    <col min="5" max="5" width="20.7109375" customWidth="1"/>
    <col min="6" max="7" width="15.7109375" customWidth="1"/>
    <col min="8" max="8" width="12.7109375" customWidth="1"/>
    <col min="9" max="9" width="15.7109375" customWidth="1"/>
    <col min="10" max="10" width="10.7109375" customWidth="1"/>
    <col min="11" max="16" width="15.7109375" customWidth="1"/>
  </cols>
  <sheetData>
    <row r="2" spans="4:16" x14ac:dyDescent="0.25">
      <c r="D2" s="1" t="s">
        <v>287</v>
      </c>
    </row>
    <row r="3" spans="4:16" x14ac:dyDescent="0.25">
      <c r="D3" t="s">
        <v>286</v>
      </c>
    </row>
    <row r="5" spans="4:16" x14ac:dyDescent="0.25">
      <c r="D5" s="2" t="s">
        <v>276</v>
      </c>
      <c r="E5" s="2"/>
      <c r="F5" s="2" t="s">
        <v>277</v>
      </c>
      <c r="G5" s="2" t="s">
        <v>278</v>
      </c>
      <c r="H5" s="2" t="s">
        <v>279</v>
      </c>
      <c r="I5" s="2" t="s">
        <v>280</v>
      </c>
      <c r="K5" s="1"/>
      <c r="L5" s="1"/>
      <c r="M5" s="1"/>
      <c r="N5" s="1"/>
      <c r="O5" s="1"/>
      <c r="P5" s="1"/>
    </row>
    <row r="6" spans="4:16" x14ac:dyDescent="0.25">
      <c r="D6">
        <v>645</v>
      </c>
      <c r="E6" s="36">
        <v>44763</v>
      </c>
      <c r="F6">
        <v>9479000</v>
      </c>
      <c r="G6">
        <f>F6/1000</f>
        <v>9479</v>
      </c>
      <c r="H6">
        <v>1.98</v>
      </c>
      <c r="I6" s="19">
        <f>G6*H6</f>
        <v>18768.419999999998</v>
      </c>
      <c r="L6" s="36"/>
      <c r="P6" s="19"/>
    </row>
    <row r="7" spans="4:16" x14ac:dyDescent="0.25">
      <c r="D7">
        <v>645</v>
      </c>
      <c r="E7" s="36">
        <v>44797</v>
      </c>
      <c r="F7">
        <v>10211000</v>
      </c>
      <c r="G7">
        <f t="shared" ref="G7:G17" si="0">F7/1000</f>
        <v>10211</v>
      </c>
      <c r="H7">
        <v>1.98</v>
      </c>
      <c r="I7" s="19">
        <f t="shared" ref="I7:I17" si="1">G7*H7</f>
        <v>20217.78</v>
      </c>
      <c r="L7" s="36"/>
      <c r="P7" s="19"/>
    </row>
    <row r="8" spans="4:16" x14ac:dyDescent="0.25">
      <c r="D8">
        <v>645</v>
      </c>
      <c r="E8" s="36">
        <v>44827</v>
      </c>
      <c r="F8">
        <v>8388000</v>
      </c>
      <c r="G8">
        <f t="shared" si="0"/>
        <v>8388</v>
      </c>
      <c r="H8">
        <v>1.98</v>
      </c>
      <c r="I8" s="19">
        <f t="shared" si="1"/>
        <v>16608.240000000002</v>
      </c>
      <c r="L8" s="36"/>
      <c r="P8" s="19"/>
    </row>
    <row r="9" spans="4:16" x14ac:dyDescent="0.25">
      <c r="D9">
        <v>645</v>
      </c>
      <c r="E9" s="36">
        <v>44858</v>
      </c>
      <c r="F9">
        <v>8700000</v>
      </c>
      <c r="G9">
        <f t="shared" si="0"/>
        <v>8700</v>
      </c>
      <c r="H9">
        <v>1.98</v>
      </c>
      <c r="I9" s="19">
        <f t="shared" si="1"/>
        <v>17226</v>
      </c>
      <c r="L9" s="36"/>
      <c r="P9" s="19"/>
    </row>
    <row r="10" spans="4:16" x14ac:dyDescent="0.25">
      <c r="D10">
        <v>645</v>
      </c>
      <c r="E10" s="36">
        <v>44886</v>
      </c>
      <c r="F10">
        <v>7703000</v>
      </c>
      <c r="G10">
        <f t="shared" si="0"/>
        <v>7703</v>
      </c>
      <c r="H10">
        <v>1.98</v>
      </c>
      <c r="I10" s="19">
        <f t="shared" si="1"/>
        <v>15251.94</v>
      </c>
      <c r="L10" s="36"/>
      <c r="P10" s="19"/>
    </row>
    <row r="11" spans="4:16" x14ac:dyDescent="0.25">
      <c r="D11">
        <v>645</v>
      </c>
      <c r="E11" s="36">
        <v>44915</v>
      </c>
      <c r="F11">
        <v>8275000</v>
      </c>
      <c r="G11">
        <f t="shared" si="0"/>
        <v>8275</v>
      </c>
      <c r="H11">
        <v>1.98</v>
      </c>
      <c r="I11" s="19">
        <f t="shared" si="1"/>
        <v>16384.5</v>
      </c>
      <c r="L11" s="36"/>
      <c r="P11" s="19"/>
    </row>
    <row r="12" spans="4:16" x14ac:dyDescent="0.25">
      <c r="D12">
        <v>645</v>
      </c>
      <c r="E12" s="36">
        <v>44951</v>
      </c>
      <c r="F12">
        <v>10343000</v>
      </c>
      <c r="G12">
        <f t="shared" si="0"/>
        <v>10343</v>
      </c>
      <c r="H12">
        <v>1.98</v>
      </c>
      <c r="I12" s="19">
        <f t="shared" si="1"/>
        <v>20479.14</v>
      </c>
      <c r="L12" s="36"/>
      <c r="P12" s="19"/>
    </row>
    <row r="13" spans="4:16" x14ac:dyDescent="0.25">
      <c r="D13">
        <v>645</v>
      </c>
      <c r="E13" s="36">
        <v>44979</v>
      </c>
      <c r="F13">
        <v>7336000</v>
      </c>
      <c r="G13">
        <f t="shared" si="0"/>
        <v>7336</v>
      </c>
      <c r="H13">
        <v>1.98</v>
      </c>
      <c r="I13" s="19">
        <f t="shared" si="1"/>
        <v>14525.28</v>
      </c>
      <c r="L13" s="36"/>
      <c r="P13" s="19"/>
    </row>
    <row r="14" spans="4:16" x14ac:dyDescent="0.25">
      <c r="D14">
        <v>645</v>
      </c>
      <c r="E14" s="36">
        <v>45008</v>
      </c>
      <c r="F14">
        <v>6626000</v>
      </c>
      <c r="G14">
        <f t="shared" si="0"/>
        <v>6626</v>
      </c>
      <c r="H14">
        <v>1.98</v>
      </c>
      <c r="I14" s="19">
        <f t="shared" si="1"/>
        <v>13119.48</v>
      </c>
      <c r="L14" s="36"/>
      <c r="P14" s="19"/>
    </row>
    <row r="15" spans="4:16" x14ac:dyDescent="0.25">
      <c r="D15">
        <v>645</v>
      </c>
      <c r="E15" s="36">
        <v>45036</v>
      </c>
      <c r="F15">
        <v>7378000</v>
      </c>
      <c r="G15">
        <f t="shared" si="0"/>
        <v>7378</v>
      </c>
      <c r="H15">
        <v>1.98</v>
      </c>
      <c r="I15" s="19">
        <f t="shared" si="1"/>
        <v>14608.44</v>
      </c>
      <c r="L15" s="36"/>
      <c r="P15" s="19"/>
    </row>
    <row r="16" spans="4:16" x14ac:dyDescent="0.25">
      <c r="D16">
        <v>645</v>
      </c>
      <c r="E16" s="36">
        <v>45070</v>
      </c>
      <c r="F16">
        <v>988900</v>
      </c>
      <c r="G16">
        <f t="shared" si="0"/>
        <v>988.9</v>
      </c>
      <c r="H16">
        <v>1.98</v>
      </c>
      <c r="I16" s="19">
        <f t="shared" si="1"/>
        <v>1958.0219999999999</v>
      </c>
      <c r="L16" s="36"/>
      <c r="P16" s="19"/>
    </row>
    <row r="17" spans="4:16" x14ac:dyDescent="0.25">
      <c r="D17" s="17">
        <v>645</v>
      </c>
      <c r="E17" s="104">
        <v>45099</v>
      </c>
      <c r="F17" s="17">
        <v>9389000</v>
      </c>
      <c r="G17" s="17">
        <f t="shared" si="0"/>
        <v>9389</v>
      </c>
      <c r="H17" s="17">
        <v>1.98</v>
      </c>
      <c r="I17" s="105">
        <f t="shared" si="1"/>
        <v>18590.22</v>
      </c>
      <c r="L17" s="36"/>
      <c r="P17" s="19"/>
    </row>
    <row r="18" spans="4:16" x14ac:dyDescent="0.25">
      <c r="F18">
        <f>SUM(F6:F17)</f>
        <v>94816900</v>
      </c>
      <c r="I18" s="19">
        <f>SUM(I6:I17)</f>
        <v>187737.46200000003</v>
      </c>
      <c r="P18" s="19"/>
    </row>
    <row r="20" spans="4:16" x14ac:dyDescent="0.25">
      <c r="D20" s="2" t="s">
        <v>276</v>
      </c>
      <c r="E20" s="2"/>
      <c r="F20" s="2" t="s">
        <v>277</v>
      </c>
      <c r="G20" s="2" t="s">
        <v>278</v>
      </c>
      <c r="H20" s="2" t="s">
        <v>279</v>
      </c>
      <c r="I20" s="2" t="s">
        <v>280</v>
      </c>
      <c r="K20" s="1"/>
      <c r="L20" s="1"/>
      <c r="M20" s="1"/>
      <c r="N20" s="1"/>
      <c r="O20" s="1"/>
      <c r="P20" s="1"/>
    </row>
    <row r="21" spans="4:16" x14ac:dyDescent="0.25">
      <c r="D21">
        <v>721</v>
      </c>
      <c r="E21" s="36">
        <v>44763</v>
      </c>
      <c r="F21">
        <v>43700</v>
      </c>
      <c r="G21">
        <f>F21/1000</f>
        <v>43.7</v>
      </c>
      <c r="H21">
        <v>1.98</v>
      </c>
      <c r="I21" s="19">
        <f>G21*H21</f>
        <v>86.52600000000001</v>
      </c>
      <c r="L21" s="36"/>
      <c r="P21" s="19"/>
    </row>
    <row r="22" spans="4:16" x14ac:dyDescent="0.25">
      <c r="D22">
        <v>721</v>
      </c>
      <c r="E22" s="36">
        <v>44797</v>
      </c>
      <c r="F22">
        <v>28800</v>
      </c>
      <c r="G22">
        <f t="shared" ref="G22:G32" si="2">F22/1000</f>
        <v>28.8</v>
      </c>
      <c r="H22">
        <v>1.98</v>
      </c>
      <c r="I22" s="19">
        <f t="shared" ref="I22:I32" si="3">G22*H22</f>
        <v>57.024000000000001</v>
      </c>
      <c r="L22" s="36"/>
      <c r="P22" s="19"/>
    </row>
    <row r="23" spans="4:16" x14ac:dyDescent="0.25">
      <c r="D23">
        <v>721</v>
      </c>
      <c r="E23" s="36">
        <v>44827</v>
      </c>
      <c r="F23">
        <v>90100</v>
      </c>
      <c r="G23">
        <f t="shared" si="2"/>
        <v>90.1</v>
      </c>
      <c r="H23">
        <v>1.98</v>
      </c>
      <c r="I23" s="19">
        <f t="shared" si="3"/>
        <v>178.398</v>
      </c>
      <c r="L23" s="36"/>
      <c r="P23" s="19"/>
    </row>
    <row r="24" spans="4:16" x14ac:dyDescent="0.25">
      <c r="D24">
        <v>721</v>
      </c>
      <c r="E24" s="36">
        <v>44858</v>
      </c>
      <c r="F24">
        <v>24300</v>
      </c>
      <c r="G24">
        <f t="shared" si="2"/>
        <v>24.3</v>
      </c>
      <c r="H24">
        <v>1.98</v>
      </c>
      <c r="I24" s="19">
        <f t="shared" si="3"/>
        <v>48.114000000000004</v>
      </c>
      <c r="L24" s="36"/>
      <c r="P24" s="19"/>
    </row>
    <row r="25" spans="4:16" x14ac:dyDescent="0.25">
      <c r="D25">
        <v>721</v>
      </c>
      <c r="E25" s="36">
        <v>44886</v>
      </c>
      <c r="F25">
        <v>5700</v>
      </c>
      <c r="G25">
        <f t="shared" si="2"/>
        <v>5.7</v>
      </c>
      <c r="H25">
        <v>1.98</v>
      </c>
      <c r="I25" s="19">
        <f t="shared" si="3"/>
        <v>11.286</v>
      </c>
      <c r="L25" s="36"/>
      <c r="P25" s="19"/>
    </row>
    <row r="26" spans="4:16" x14ac:dyDescent="0.25">
      <c r="D26">
        <v>721</v>
      </c>
      <c r="E26" s="36">
        <v>44915</v>
      </c>
      <c r="F26">
        <v>2400</v>
      </c>
      <c r="G26">
        <f t="shared" si="2"/>
        <v>2.4</v>
      </c>
      <c r="H26">
        <v>1.98</v>
      </c>
      <c r="I26" s="19">
        <f t="shared" si="3"/>
        <v>4.7519999999999998</v>
      </c>
      <c r="L26" s="36"/>
      <c r="P26" s="19"/>
    </row>
    <row r="27" spans="4:16" x14ac:dyDescent="0.25">
      <c r="D27">
        <v>721</v>
      </c>
      <c r="E27" s="36">
        <v>44951</v>
      </c>
      <c r="F27">
        <v>77800</v>
      </c>
      <c r="G27">
        <f t="shared" si="2"/>
        <v>77.8</v>
      </c>
      <c r="H27">
        <v>1.98</v>
      </c>
      <c r="I27" s="19">
        <f t="shared" si="3"/>
        <v>154.04399999999998</v>
      </c>
      <c r="L27" s="36"/>
      <c r="P27" s="19"/>
    </row>
    <row r="28" spans="4:16" x14ac:dyDescent="0.25">
      <c r="D28">
        <v>721</v>
      </c>
      <c r="E28" s="36">
        <v>44979</v>
      </c>
      <c r="F28">
        <v>9300</v>
      </c>
      <c r="G28">
        <f t="shared" si="2"/>
        <v>9.3000000000000007</v>
      </c>
      <c r="H28">
        <v>1.98</v>
      </c>
      <c r="I28" s="19">
        <f t="shared" si="3"/>
        <v>18.414000000000001</v>
      </c>
      <c r="L28" s="36"/>
      <c r="P28" s="19"/>
    </row>
    <row r="29" spans="4:16" x14ac:dyDescent="0.25">
      <c r="D29">
        <v>721</v>
      </c>
      <c r="E29" s="36">
        <v>45008</v>
      </c>
      <c r="F29">
        <v>18500</v>
      </c>
      <c r="G29">
        <f t="shared" si="2"/>
        <v>18.5</v>
      </c>
      <c r="H29">
        <v>1.98</v>
      </c>
      <c r="I29" s="19">
        <f t="shared" si="3"/>
        <v>36.630000000000003</v>
      </c>
      <c r="L29" s="36"/>
      <c r="P29" s="19"/>
    </row>
    <row r="30" spans="4:16" x14ac:dyDescent="0.25">
      <c r="D30">
        <v>721</v>
      </c>
      <c r="E30" s="36">
        <v>45036</v>
      </c>
      <c r="F30">
        <v>32000</v>
      </c>
      <c r="G30">
        <f t="shared" si="2"/>
        <v>32</v>
      </c>
      <c r="H30">
        <v>1.98</v>
      </c>
      <c r="I30" s="19">
        <f t="shared" si="3"/>
        <v>63.36</v>
      </c>
      <c r="L30" s="36"/>
      <c r="P30" s="19"/>
    </row>
    <row r="31" spans="4:16" x14ac:dyDescent="0.25">
      <c r="D31">
        <v>721</v>
      </c>
      <c r="E31" s="36">
        <v>45070</v>
      </c>
      <c r="F31">
        <v>51000</v>
      </c>
      <c r="G31">
        <f t="shared" si="2"/>
        <v>51</v>
      </c>
      <c r="H31">
        <v>1.98</v>
      </c>
      <c r="I31" s="19">
        <f t="shared" si="3"/>
        <v>100.98</v>
      </c>
      <c r="L31" s="36"/>
      <c r="P31" s="19"/>
    </row>
    <row r="32" spans="4:16" x14ac:dyDescent="0.25">
      <c r="D32" s="17">
        <v>721</v>
      </c>
      <c r="E32" s="104">
        <v>45099</v>
      </c>
      <c r="F32" s="17">
        <v>58000</v>
      </c>
      <c r="G32" s="17">
        <f t="shared" si="2"/>
        <v>58</v>
      </c>
      <c r="H32" s="17">
        <v>1.98</v>
      </c>
      <c r="I32" s="105">
        <f t="shared" si="3"/>
        <v>114.84</v>
      </c>
      <c r="L32" s="36"/>
      <c r="P32" s="19"/>
    </row>
    <row r="33" spans="4:16" x14ac:dyDescent="0.25">
      <c r="F33">
        <f>SUM(F21:F32)</f>
        <v>441600</v>
      </c>
      <c r="I33" s="19">
        <f>SUM(I21:I32)</f>
        <v>874.36800000000005</v>
      </c>
      <c r="P33" s="19"/>
    </row>
    <row r="35" spans="4:16" x14ac:dyDescent="0.25">
      <c r="D35" s="2" t="s">
        <v>276</v>
      </c>
      <c r="E35" s="2"/>
      <c r="F35" s="2" t="s">
        <v>277</v>
      </c>
      <c r="G35" s="2" t="s">
        <v>278</v>
      </c>
      <c r="H35" s="2" t="s">
        <v>279</v>
      </c>
      <c r="I35" s="2" t="s">
        <v>280</v>
      </c>
    </row>
    <row r="36" spans="4:16" x14ac:dyDescent="0.25">
      <c r="D36">
        <v>722</v>
      </c>
      <c r="E36" s="36">
        <v>44763</v>
      </c>
      <c r="F36">
        <v>534730</v>
      </c>
      <c r="G36">
        <f>F36/1000</f>
        <v>534.73</v>
      </c>
      <c r="H36">
        <v>1.98</v>
      </c>
      <c r="I36" s="19">
        <f>G36*H36</f>
        <v>1058.7654</v>
      </c>
    </row>
    <row r="37" spans="4:16" x14ac:dyDescent="0.25">
      <c r="D37">
        <v>722</v>
      </c>
      <c r="E37" s="36">
        <v>44797</v>
      </c>
      <c r="F37">
        <v>576550</v>
      </c>
      <c r="G37">
        <f t="shared" ref="G37:G47" si="4">F37/1000</f>
        <v>576.54999999999995</v>
      </c>
      <c r="H37">
        <v>1.98</v>
      </c>
      <c r="I37" s="19">
        <f t="shared" ref="I37:I47" si="5">G37*H37</f>
        <v>1141.569</v>
      </c>
    </row>
    <row r="38" spans="4:16" x14ac:dyDescent="0.25">
      <c r="D38">
        <v>722</v>
      </c>
      <c r="E38" s="36">
        <v>44827</v>
      </c>
      <c r="F38">
        <v>507290</v>
      </c>
      <c r="G38">
        <f t="shared" si="4"/>
        <v>507.29</v>
      </c>
      <c r="H38">
        <v>1.98</v>
      </c>
      <c r="I38" s="19">
        <f t="shared" si="5"/>
        <v>1004.4342</v>
      </c>
    </row>
    <row r="39" spans="4:16" x14ac:dyDescent="0.25">
      <c r="D39">
        <v>722</v>
      </c>
      <c r="E39" s="36">
        <v>44858</v>
      </c>
      <c r="F39">
        <v>491040</v>
      </c>
      <c r="G39">
        <f t="shared" si="4"/>
        <v>491.04</v>
      </c>
      <c r="H39">
        <v>1.98</v>
      </c>
      <c r="I39" s="19">
        <f t="shared" si="5"/>
        <v>972.25920000000008</v>
      </c>
    </row>
    <row r="40" spans="4:16" x14ac:dyDescent="0.25">
      <c r="D40">
        <v>722</v>
      </c>
      <c r="E40" s="36">
        <v>44886</v>
      </c>
      <c r="F40">
        <v>381200</v>
      </c>
      <c r="G40">
        <f t="shared" si="4"/>
        <v>381.2</v>
      </c>
      <c r="H40">
        <v>1.98</v>
      </c>
      <c r="I40" s="19">
        <f t="shared" si="5"/>
        <v>754.77599999999995</v>
      </c>
      <c r="M40" s="108"/>
      <c r="P40" s="109"/>
    </row>
    <row r="41" spans="4:16" x14ac:dyDescent="0.25">
      <c r="D41">
        <v>722</v>
      </c>
      <c r="E41" s="36">
        <v>44915</v>
      </c>
      <c r="F41">
        <v>343230</v>
      </c>
      <c r="G41">
        <f t="shared" si="4"/>
        <v>343.23</v>
      </c>
      <c r="H41">
        <v>1.98</v>
      </c>
      <c r="I41" s="19">
        <f t="shared" si="5"/>
        <v>679.59540000000004</v>
      </c>
    </row>
    <row r="42" spans="4:16" x14ac:dyDescent="0.25">
      <c r="D42">
        <v>722</v>
      </c>
      <c r="E42" s="36">
        <v>44951</v>
      </c>
      <c r="F42">
        <v>570330</v>
      </c>
      <c r="G42">
        <f t="shared" si="4"/>
        <v>570.33000000000004</v>
      </c>
      <c r="H42">
        <v>1.98</v>
      </c>
      <c r="I42" s="19">
        <f t="shared" si="5"/>
        <v>1129.2534000000001</v>
      </c>
    </row>
    <row r="43" spans="4:16" x14ac:dyDescent="0.25">
      <c r="D43">
        <v>722</v>
      </c>
      <c r="E43" s="36">
        <v>44979</v>
      </c>
      <c r="F43">
        <v>405930</v>
      </c>
      <c r="G43">
        <f t="shared" si="4"/>
        <v>405.93</v>
      </c>
      <c r="H43">
        <v>1.98</v>
      </c>
      <c r="I43" s="19">
        <f t="shared" si="5"/>
        <v>803.7414</v>
      </c>
    </row>
    <row r="44" spans="4:16" x14ac:dyDescent="0.25">
      <c r="D44">
        <v>722</v>
      </c>
      <c r="E44" s="36">
        <v>45008</v>
      </c>
      <c r="F44">
        <v>399580</v>
      </c>
      <c r="G44">
        <f t="shared" si="4"/>
        <v>399.58</v>
      </c>
      <c r="H44">
        <v>1.98</v>
      </c>
      <c r="I44" s="19">
        <f t="shared" si="5"/>
        <v>791.16839999999991</v>
      </c>
    </row>
    <row r="45" spans="4:16" x14ac:dyDescent="0.25">
      <c r="D45">
        <v>722</v>
      </c>
      <c r="E45" s="36">
        <v>45036</v>
      </c>
      <c r="F45">
        <v>414140</v>
      </c>
      <c r="G45">
        <f t="shared" si="4"/>
        <v>414.14</v>
      </c>
      <c r="H45">
        <v>1.98</v>
      </c>
      <c r="I45" s="19">
        <f t="shared" si="5"/>
        <v>819.99720000000002</v>
      </c>
    </row>
    <row r="46" spans="4:16" x14ac:dyDescent="0.25">
      <c r="D46">
        <v>722</v>
      </c>
      <c r="E46" s="36">
        <v>45070</v>
      </c>
      <c r="F46">
        <v>527550</v>
      </c>
      <c r="G46">
        <f t="shared" si="4"/>
        <v>527.54999999999995</v>
      </c>
      <c r="H46">
        <v>1.98</v>
      </c>
      <c r="I46" s="19">
        <f t="shared" si="5"/>
        <v>1044.549</v>
      </c>
    </row>
    <row r="47" spans="4:16" x14ac:dyDescent="0.25">
      <c r="D47" s="17">
        <v>722</v>
      </c>
      <c r="E47" s="104">
        <v>45099</v>
      </c>
      <c r="F47" s="17">
        <v>459140</v>
      </c>
      <c r="G47" s="17">
        <f t="shared" si="4"/>
        <v>459.14</v>
      </c>
      <c r="H47" s="17">
        <v>1.98</v>
      </c>
      <c r="I47" s="105">
        <f t="shared" si="5"/>
        <v>909.09719999999993</v>
      </c>
    </row>
    <row r="48" spans="4:16" x14ac:dyDescent="0.25">
      <c r="F48">
        <f>SUM(F36:F47)</f>
        <v>5610710</v>
      </c>
      <c r="I48" s="19">
        <f>SUM(I36:I47)</f>
        <v>11109.2058</v>
      </c>
    </row>
    <row r="50" spans="4:9" x14ac:dyDescent="0.25">
      <c r="D50" s="2" t="s">
        <v>276</v>
      </c>
      <c r="E50" s="2"/>
      <c r="F50" s="2" t="s">
        <v>277</v>
      </c>
      <c r="G50" s="2" t="s">
        <v>278</v>
      </c>
      <c r="H50" s="2" t="s">
        <v>279</v>
      </c>
      <c r="I50" s="2" t="s">
        <v>280</v>
      </c>
    </row>
    <row r="51" spans="4:9" x14ac:dyDescent="0.25">
      <c r="D51">
        <v>2555</v>
      </c>
      <c r="E51" s="36">
        <v>44763</v>
      </c>
      <c r="F51">
        <v>1792400</v>
      </c>
      <c r="G51">
        <f>F51/1000</f>
        <v>1792.4</v>
      </c>
      <c r="H51">
        <v>1.98</v>
      </c>
      <c r="I51" s="19">
        <f>G51*H51</f>
        <v>3548.9520000000002</v>
      </c>
    </row>
    <row r="52" spans="4:9" x14ac:dyDescent="0.25">
      <c r="D52">
        <v>2555</v>
      </c>
      <c r="E52" s="36">
        <v>44797</v>
      </c>
      <c r="F52">
        <v>1705100</v>
      </c>
      <c r="G52">
        <f t="shared" ref="G52:G62" si="6">F52/1000</f>
        <v>1705.1</v>
      </c>
      <c r="H52">
        <v>1.98</v>
      </c>
      <c r="I52" s="19">
        <f t="shared" ref="I52:I62" si="7">G52*H52</f>
        <v>3376.098</v>
      </c>
    </row>
    <row r="53" spans="4:9" x14ac:dyDescent="0.25">
      <c r="D53">
        <v>2555</v>
      </c>
      <c r="E53" s="36">
        <v>44827</v>
      </c>
      <c r="F53">
        <v>1455300</v>
      </c>
      <c r="G53">
        <f t="shared" si="6"/>
        <v>1455.3</v>
      </c>
      <c r="H53">
        <v>1.98</v>
      </c>
      <c r="I53" s="19">
        <f t="shared" si="7"/>
        <v>2881.4939999999997</v>
      </c>
    </row>
    <row r="54" spans="4:9" x14ac:dyDescent="0.25">
      <c r="D54">
        <v>2555</v>
      </c>
      <c r="E54" s="36">
        <v>44858</v>
      </c>
      <c r="F54">
        <v>1630300</v>
      </c>
      <c r="G54">
        <f t="shared" si="6"/>
        <v>1630.3</v>
      </c>
      <c r="H54">
        <v>1.98</v>
      </c>
      <c r="I54" s="19">
        <f t="shared" si="7"/>
        <v>3227.9939999999997</v>
      </c>
    </row>
    <row r="55" spans="4:9" x14ac:dyDescent="0.25">
      <c r="D55">
        <v>2555</v>
      </c>
      <c r="E55" s="36">
        <v>44886</v>
      </c>
      <c r="F55">
        <v>1293900</v>
      </c>
      <c r="G55">
        <f t="shared" si="6"/>
        <v>1293.9000000000001</v>
      </c>
      <c r="H55">
        <v>1.98</v>
      </c>
      <c r="I55" s="19">
        <f t="shared" si="7"/>
        <v>2561.922</v>
      </c>
    </row>
    <row r="56" spans="4:9" x14ac:dyDescent="0.25">
      <c r="D56">
        <v>2555</v>
      </c>
      <c r="E56" s="36">
        <v>44915</v>
      </c>
      <c r="F56">
        <v>1226900</v>
      </c>
      <c r="G56">
        <f t="shared" si="6"/>
        <v>1226.9000000000001</v>
      </c>
      <c r="H56">
        <v>1.98</v>
      </c>
      <c r="I56" s="19">
        <f t="shared" si="7"/>
        <v>2429.2620000000002</v>
      </c>
    </row>
    <row r="57" spans="4:9" x14ac:dyDescent="0.25">
      <c r="D57">
        <v>2555</v>
      </c>
      <c r="E57" s="36">
        <v>44951</v>
      </c>
      <c r="F57">
        <v>1557400</v>
      </c>
      <c r="G57">
        <f t="shared" si="6"/>
        <v>1557.4</v>
      </c>
      <c r="H57">
        <v>1.98</v>
      </c>
      <c r="I57" s="19">
        <f t="shared" si="7"/>
        <v>3083.652</v>
      </c>
    </row>
    <row r="58" spans="4:9" x14ac:dyDescent="0.25">
      <c r="D58">
        <v>2555</v>
      </c>
      <c r="E58" s="36">
        <v>44979</v>
      </c>
      <c r="F58">
        <v>1118500</v>
      </c>
      <c r="G58">
        <f t="shared" si="6"/>
        <v>1118.5</v>
      </c>
      <c r="H58">
        <v>1.98</v>
      </c>
      <c r="I58" s="19">
        <f t="shared" si="7"/>
        <v>2214.63</v>
      </c>
    </row>
    <row r="59" spans="4:9" x14ac:dyDescent="0.25">
      <c r="D59">
        <v>2555</v>
      </c>
      <c r="E59" s="36">
        <v>45008</v>
      </c>
      <c r="F59">
        <v>1208300</v>
      </c>
      <c r="G59">
        <f t="shared" si="6"/>
        <v>1208.3</v>
      </c>
      <c r="H59">
        <v>1.98</v>
      </c>
      <c r="I59" s="19">
        <f t="shared" si="7"/>
        <v>2392.4339999999997</v>
      </c>
    </row>
    <row r="60" spans="4:9" x14ac:dyDescent="0.25">
      <c r="D60">
        <v>2555</v>
      </c>
      <c r="E60" s="36">
        <v>45036</v>
      </c>
      <c r="F60">
        <v>1343800</v>
      </c>
      <c r="G60">
        <f t="shared" si="6"/>
        <v>1343.8</v>
      </c>
      <c r="H60">
        <v>1.98</v>
      </c>
      <c r="I60" s="19">
        <f t="shared" si="7"/>
        <v>2660.7239999999997</v>
      </c>
    </row>
    <row r="61" spans="4:9" x14ac:dyDescent="0.25">
      <c r="D61">
        <v>2555</v>
      </c>
      <c r="E61" s="36">
        <v>45070</v>
      </c>
      <c r="F61">
        <v>1608200</v>
      </c>
      <c r="G61">
        <f t="shared" si="6"/>
        <v>1608.2</v>
      </c>
      <c r="H61">
        <v>1.98</v>
      </c>
      <c r="I61" s="19">
        <f t="shared" si="7"/>
        <v>3184.2359999999999</v>
      </c>
    </row>
    <row r="62" spans="4:9" x14ac:dyDescent="0.25">
      <c r="D62" s="17">
        <v>2555</v>
      </c>
      <c r="E62" s="104">
        <v>45099</v>
      </c>
      <c r="F62" s="17">
        <v>1781500</v>
      </c>
      <c r="G62" s="17">
        <f t="shared" si="6"/>
        <v>1781.5</v>
      </c>
      <c r="H62" s="17">
        <v>1.98</v>
      </c>
      <c r="I62" s="105">
        <f t="shared" si="7"/>
        <v>3527.37</v>
      </c>
    </row>
    <row r="63" spans="4:9" x14ac:dyDescent="0.25">
      <c r="F63">
        <f>SUM(F51:F62)</f>
        <v>17721600</v>
      </c>
      <c r="I63" s="19">
        <f>SUM(I51:I62)</f>
        <v>35088.768000000004</v>
      </c>
    </row>
    <row r="66" spans="4:9" x14ac:dyDescent="0.25">
      <c r="D66" t="s">
        <v>281</v>
      </c>
      <c r="E66" t="s">
        <v>282</v>
      </c>
      <c r="F66" s="117">
        <f>F18+F33+F48+F63</f>
        <v>118590810</v>
      </c>
      <c r="I66" s="19">
        <f>I18+I33+I48+I63</f>
        <v>234809.80380000002</v>
      </c>
    </row>
    <row r="68" spans="4:9" x14ac:dyDescent="0.25">
      <c r="E68" t="s">
        <v>283</v>
      </c>
      <c r="F68" s="117">
        <f>'Water Production and Sales'!K64</f>
        <v>126558929</v>
      </c>
    </row>
    <row r="70" spans="4:9" x14ac:dyDescent="0.25">
      <c r="E70" t="s">
        <v>284</v>
      </c>
      <c r="F70" s="106">
        <f>F66-F68</f>
        <v>-7968119</v>
      </c>
      <c r="G70">
        <f>F70/1000</f>
        <v>-7968.1189999999997</v>
      </c>
      <c r="H70">
        <v>1.98</v>
      </c>
      <c r="I70" s="107">
        <f>G70*H70</f>
        <v>-15776.875619999999</v>
      </c>
    </row>
    <row r="73" spans="4:9" x14ac:dyDescent="0.25">
      <c r="D73" s="1" t="s">
        <v>287</v>
      </c>
    </row>
    <row r="74" spans="4:9" x14ac:dyDescent="0.25">
      <c r="D74" t="s">
        <v>286</v>
      </c>
      <c r="E74" s="36"/>
      <c r="I74" s="19"/>
    </row>
    <row r="75" spans="4:9" x14ac:dyDescent="0.25">
      <c r="E75" s="36"/>
      <c r="I75" s="19"/>
    </row>
    <row r="76" spans="4:9" x14ac:dyDescent="0.25">
      <c r="D76" s="2" t="s">
        <v>285</v>
      </c>
      <c r="E76" s="2"/>
      <c r="F76" s="2" t="s">
        <v>277</v>
      </c>
      <c r="G76" s="2" t="s">
        <v>278</v>
      </c>
      <c r="H76" s="2" t="s">
        <v>279</v>
      </c>
      <c r="I76" s="2" t="s">
        <v>280</v>
      </c>
    </row>
    <row r="77" spans="4:9" x14ac:dyDescent="0.25">
      <c r="D77">
        <v>1970</v>
      </c>
      <c r="E77" s="36">
        <v>44766</v>
      </c>
      <c r="F77">
        <v>6119000</v>
      </c>
      <c r="G77">
        <f>F77/1000</f>
        <v>6119</v>
      </c>
      <c r="H77">
        <v>1.98</v>
      </c>
      <c r="I77" s="19">
        <f>G77*H77</f>
        <v>12115.619999999999</v>
      </c>
    </row>
    <row r="78" spans="4:9" x14ac:dyDescent="0.25">
      <c r="D78">
        <v>1970</v>
      </c>
      <c r="E78" s="36">
        <v>44797</v>
      </c>
      <c r="F78">
        <v>4282000</v>
      </c>
      <c r="G78">
        <f t="shared" ref="G78:G88" si="8">F78/1000</f>
        <v>4282</v>
      </c>
      <c r="H78">
        <v>1.98</v>
      </c>
      <c r="I78" s="19">
        <f t="shared" ref="I78:I88" si="9">G78*H78</f>
        <v>8478.36</v>
      </c>
    </row>
    <row r="79" spans="4:9" x14ac:dyDescent="0.25">
      <c r="D79">
        <v>1970</v>
      </c>
      <c r="E79" s="36">
        <v>44827</v>
      </c>
      <c r="F79">
        <v>3317000</v>
      </c>
      <c r="G79">
        <f t="shared" si="8"/>
        <v>3317</v>
      </c>
      <c r="H79">
        <v>1.98</v>
      </c>
      <c r="I79" s="19">
        <f t="shared" si="9"/>
        <v>6567.66</v>
      </c>
    </row>
    <row r="80" spans="4:9" x14ac:dyDescent="0.25">
      <c r="D80">
        <v>1970</v>
      </c>
      <c r="E80" s="36">
        <v>44858</v>
      </c>
      <c r="F80">
        <v>5098000</v>
      </c>
      <c r="G80">
        <f t="shared" si="8"/>
        <v>5098</v>
      </c>
      <c r="H80">
        <v>1.98</v>
      </c>
      <c r="I80" s="19">
        <f t="shared" si="9"/>
        <v>10094.039999999999</v>
      </c>
    </row>
    <row r="81" spans="4:9" x14ac:dyDescent="0.25">
      <c r="D81">
        <v>1970</v>
      </c>
      <c r="E81" s="36">
        <v>44886</v>
      </c>
      <c r="F81">
        <v>4410000</v>
      </c>
      <c r="G81">
        <f t="shared" si="8"/>
        <v>4410</v>
      </c>
      <c r="H81">
        <v>1.98</v>
      </c>
      <c r="I81" s="19">
        <f t="shared" si="9"/>
        <v>8731.7999999999993</v>
      </c>
    </row>
    <row r="82" spans="4:9" x14ac:dyDescent="0.25">
      <c r="D82">
        <v>1970</v>
      </c>
      <c r="E82" s="36">
        <v>44915</v>
      </c>
      <c r="F82">
        <v>4443000</v>
      </c>
      <c r="G82">
        <f t="shared" si="8"/>
        <v>4443</v>
      </c>
      <c r="H82">
        <v>1.98</v>
      </c>
      <c r="I82" s="19">
        <f t="shared" si="9"/>
        <v>8797.14</v>
      </c>
    </row>
    <row r="83" spans="4:9" x14ac:dyDescent="0.25">
      <c r="D83">
        <v>1970</v>
      </c>
      <c r="E83" s="36">
        <v>44951</v>
      </c>
      <c r="F83">
        <v>6923000</v>
      </c>
      <c r="G83">
        <f t="shared" si="8"/>
        <v>6923</v>
      </c>
      <c r="H83">
        <v>1.98</v>
      </c>
      <c r="I83" s="19">
        <f t="shared" si="9"/>
        <v>13707.539999999999</v>
      </c>
    </row>
    <row r="84" spans="4:9" x14ac:dyDescent="0.25">
      <c r="D84">
        <v>1970</v>
      </c>
      <c r="E84" s="36">
        <v>44979</v>
      </c>
      <c r="F84">
        <v>4820000</v>
      </c>
      <c r="G84">
        <f t="shared" si="8"/>
        <v>4820</v>
      </c>
      <c r="H84">
        <v>1.98</v>
      </c>
      <c r="I84" s="19">
        <f t="shared" si="9"/>
        <v>9543.6</v>
      </c>
    </row>
    <row r="85" spans="4:9" x14ac:dyDescent="0.25">
      <c r="D85">
        <v>1970</v>
      </c>
      <c r="E85" s="36">
        <v>45008</v>
      </c>
      <c r="F85">
        <v>4401000</v>
      </c>
      <c r="G85">
        <f t="shared" si="8"/>
        <v>4401</v>
      </c>
      <c r="H85">
        <v>1.98</v>
      </c>
      <c r="I85" s="19">
        <f t="shared" si="9"/>
        <v>8713.98</v>
      </c>
    </row>
    <row r="86" spans="4:9" x14ac:dyDescent="0.25">
      <c r="D86">
        <v>1970</v>
      </c>
      <c r="E86" s="36">
        <v>45036</v>
      </c>
      <c r="F86">
        <v>4890000</v>
      </c>
      <c r="G86">
        <f t="shared" si="8"/>
        <v>4890</v>
      </c>
      <c r="H86">
        <v>1.98</v>
      </c>
      <c r="I86" s="19">
        <f t="shared" si="9"/>
        <v>9682.2000000000007</v>
      </c>
    </row>
    <row r="87" spans="4:9" x14ac:dyDescent="0.25">
      <c r="D87">
        <v>1970</v>
      </c>
      <c r="E87" s="36">
        <v>45070</v>
      </c>
      <c r="F87">
        <v>5692000</v>
      </c>
      <c r="G87">
        <f t="shared" si="8"/>
        <v>5692</v>
      </c>
      <c r="H87">
        <v>1.98</v>
      </c>
      <c r="I87" s="19">
        <f t="shared" si="9"/>
        <v>11270.16</v>
      </c>
    </row>
    <row r="88" spans="4:9" x14ac:dyDescent="0.25">
      <c r="D88" s="17">
        <v>1970</v>
      </c>
      <c r="E88" s="104">
        <v>45099</v>
      </c>
      <c r="F88" s="17">
        <v>5669000</v>
      </c>
      <c r="G88" s="17">
        <f t="shared" si="8"/>
        <v>5669</v>
      </c>
      <c r="H88" s="17">
        <v>1.98</v>
      </c>
      <c r="I88" s="105">
        <f t="shared" si="9"/>
        <v>11224.62</v>
      </c>
    </row>
    <row r="89" spans="4:9" x14ac:dyDescent="0.25">
      <c r="F89">
        <f>SUM(F77:F88)</f>
        <v>60064000</v>
      </c>
      <c r="I89" s="19">
        <f>SUM(I77:I88)</f>
        <v>118926.71999999999</v>
      </c>
    </row>
    <row r="91" spans="4:9" x14ac:dyDescent="0.25">
      <c r="D91" s="2" t="s">
        <v>285</v>
      </c>
      <c r="E91" s="2"/>
      <c r="F91" s="2" t="s">
        <v>277</v>
      </c>
      <c r="G91" s="2" t="s">
        <v>278</v>
      </c>
      <c r="H91" s="2" t="s">
        <v>279</v>
      </c>
      <c r="I91" s="2" t="s">
        <v>280</v>
      </c>
    </row>
    <row r="92" spans="4:9" x14ac:dyDescent="0.25">
      <c r="D92">
        <v>1971</v>
      </c>
      <c r="E92" s="36">
        <v>44763</v>
      </c>
      <c r="F92">
        <v>1008320</v>
      </c>
      <c r="G92">
        <f>F92/1000</f>
        <v>1008.32</v>
      </c>
      <c r="H92">
        <v>1.98</v>
      </c>
      <c r="I92" s="19">
        <f>G92*H92</f>
        <v>1996.4736</v>
      </c>
    </row>
    <row r="93" spans="4:9" x14ac:dyDescent="0.25">
      <c r="D93">
        <v>1971</v>
      </c>
      <c r="E93" s="36">
        <v>44797</v>
      </c>
      <c r="F93">
        <v>864460</v>
      </c>
      <c r="G93">
        <f t="shared" ref="G93:G103" si="10">F93/1000</f>
        <v>864.46</v>
      </c>
      <c r="H93">
        <v>1.98</v>
      </c>
      <c r="I93" s="19">
        <f t="shared" ref="I93:I103" si="11">G93*H93</f>
        <v>1711.6308000000001</v>
      </c>
    </row>
    <row r="94" spans="4:9" x14ac:dyDescent="0.25">
      <c r="D94">
        <v>1971</v>
      </c>
      <c r="E94" s="36">
        <v>44827</v>
      </c>
      <c r="F94">
        <v>699790</v>
      </c>
      <c r="G94">
        <f t="shared" si="10"/>
        <v>699.79</v>
      </c>
      <c r="H94">
        <v>1.98</v>
      </c>
      <c r="I94" s="19">
        <f t="shared" si="11"/>
        <v>1385.5842</v>
      </c>
    </row>
    <row r="95" spans="4:9" x14ac:dyDescent="0.25">
      <c r="D95">
        <v>1971</v>
      </c>
      <c r="E95" s="36">
        <v>44858</v>
      </c>
      <c r="F95">
        <v>900390</v>
      </c>
      <c r="G95">
        <f t="shared" si="10"/>
        <v>900.39</v>
      </c>
      <c r="H95">
        <v>1.98</v>
      </c>
      <c r="I95" s="19">
        <f t="shared" si="11"/>
        <v>1782.7721999999999</v>
      </c>
    </row>
    <row r="96" spans="4:9" x14ac:dyDescent="0.25">
      <c r="D96">
        <v>1971</v>
      </c>
      <c r="E96" s="36">
        <v>44886</v>
      </c>
      <c r="F96">
        <v>776790</v>
      </c>
      <c r="G96">
        <f t="shared" si="10"/>
        <v>776.79</v>
      </c>
      <c r="H96">
        <v>1.98</v>
      </c>
      <c r="I96" s="19">
        <f t="shared" si="11"/>
        <v>1538.0441999999998</v>
      </c>
    </row>
    <row r="97" spans="4:9" x14ac:dyDescent="0.25">
      <c r="D97">
        <v>1971</v>
      </c>
      <c r="E97" s="36">
        <v>44915</v>
      </c>
      <c r="F97">
        <v>793210</v>
      </c>
      <c r="G97">
        <f t="shared" si="10"/>
        <v>793.21</v>
      </c>
      <c r="H97">
        <v>1.98</v>
      </c>
      <c r="I97" s="19">
        <f t="shared" si="11"/>
        <v>1570.5558000000001</v>
      </c>
    </row>
    <row r="98" spans="4:9" x14ac:dyDescent="0.25">
      <c r="D98">
        <v>1971</v>
      </c>
      <c r="E98" s="36">
        <v>44951</v>
      </c>
      <c r="F98">
        <v>1116790</v>
      </c>
      <c r="G98">
        <f t="shared" si="10"/>
        <v>1116.79</v>
      </c>
      <c r="H98">
        <v>1.98</v>
      </c>
      <c r="I98" s="19">
        <f t="shared" si="11"/>
        <v>2211.2442000000001</v>
      </c>
    </row>
    <row r="99" spans="4:9" x14ac:dyDescent="0.25">
      <c r="D99">
        <v>1971</v>
      </c>
      <c r="E99" s="36">
        <v>44979</v>
      </c>
      <c r="F99">
        <v>759740</v>
      </c>
      <c r="G99">
        <f t="shared" si="10"/>
        <v>759.74</v>
      </c>
      <c r="H99">
        <v>1.98</v>
      </c>
      <c r="I99" s="19">
        <f t="shared" si="11"/>
        <v>1504.2852</v>
      </c>
    </row>
    <row r="100" spans="4:9" x14ac:dyDescent="0.25">
      <c r="D100">
        <v>1971</v>
      </c>
      <c r="E100" s="36">
        <v>45008</v>
      </c>
      <c r="F100">
        <v>708060</v>
      </c>
      <c r="G100">
        <f t="shared" si="10"/>
        <v>708.06</v>
      </c>
      <c r="H100">
        <v>1.98</v>
      </c>
      <c r="I100" s="19">
        <f t="shared" si="11"/>
        <v>1401.9587999999999</v>
      </c>
    </row>
    <row r="101" spans="4:9" x14ac:dyDescent="0.25">
      <c r="D101">
        <v>1971</v>
      </c>
      <c r="E101" s="36">
        <v>45036</v>
      </c>
      <c r="F101">
        <v>789140</v>
      </c>
      <c r="G101">
        <f t="shared" si="10"/>
        <v>789.14</v>
      </c>
      <c r="H101">
        <v>1.98</v>
      </c>
      <c r="I101" s="19">
        <f t="shared" si="11"/>
        <v>1562.4972</v>
      </c>
    </row>
    <row r="102" spans="4:9" x14ac:dyDescent="0.25">
      <c r="D102">
        <v>1971</v>
      </c>
      <c r="E102" s="36">
        <v>45070</v>
      </c>
      <c r="F102">
        <v>940280</v>
      </c>
      <c r="G102">
        <f t="shared" si="10"/>
        <v>940.28</v>
      </c>
      <c r="H102">
        <v>1.98</v>
      </c>
      <c r="I102" s="19">
        <f t="shared" si="11"/>
        <v>1861.7544</v>
      </c>
    </row>
    <row r="103" spans="4:9" x14ac:dyDescent="0.25">
      <c r="D103" s="17">
        <v>1971</v>
      </c>
      <c r="E103" s="104">
        <v>45099</v>
      </c>
      <c r="F103" s="17">
        <v>912430</v>
      </c>
      <c r="G103" s="17">
        <f t="shared" si="10"/>
        <v>912.43</v>
      </c>
      <c r="H103" s="17">
        <v>1.98</v>
      </c>
      <c r="I103" s="105">
        <f t="shared" si="11"/>
        <v>1806.6113999999998</v>
      </c>
    </row>
    <row r="104" spans="4:9" x14ac:dyDescent="0.25">
      <c r="F104">
        <f>SUM(F92:F103)</f>
        <v>10269400</v>
      </c>
      <c r="I104" s="19">
        <f>SUM(I92:I103)</f>
        <v>20333.412000000004</v>
      </c>
    </row>
    <row r="107" spans="4:9" x14ac:dyDescent="0.25">
      <c r="D107" t="s">
        <v>281</v>
      </c>
      <c r="E107" t="s">
        <v>282</v>
      </c>
      <c r="F107" s="117">
        <f>F89+F104</f>
        <v>70333400</v>
      </c>
      <c r="I107" s="19">
        <f>I89+I104</f>
        <v>139260.13199999998</v>
      </c>
    </row>
    <row r="109" spans="4:9" x14ac:dyDescent="0.25">
      <c r="E109" t="s">
        <v>283</v>
      </c>
      <c r="F109" s="117">
        <f>'Water Production and Sales'!I64</f>
        <v>70585970</v>
      </c>
    </row>
    <row r="111" spans="4:9" x14ac:dyDescent="0.25">
      <c r="E111" t="s">
        <v>284</v>
      </c>
      <c r="F111" s="106">
        <f>F107-F109</f>
        <v>-252570</v>
      </c>
      <c r="G111">
        <f>F111/1000</f>
        <v>-252.57</v>
      </c>
      <c r="H111">
        <v>1.98</v>
      </c>
      <c r="I111" s="107">
        <f>G111*H111</f>
        <v>-500.08859999999999</v>
      </c>
    </row>
  </sheetData>
  <pageMargins left="0.7" right="0.7" top="0.75" bottom="0.75" header="0.3" footer="0.3"/>
  <pageSetup scale="77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81466-AA35-4805-A211-9CE4C30B5BB0}">
  <sheetPr>
    <pageSetUpPr fitToPage="1"/>
  </sheetPr>
  <dimension ref="C1:N134"/>
  <sheetViews>
    <sheetView topLeftCell="B32" workbookViewId="0">
      <selection activeCell="H48" sqref="H48"/>
    </sheetView>
  </sheetViews>
  <sheetFormatPr defaultRowHeight="15" x14ac:dyDescent="0.25"/>
  <cols>
    <col min="3" max="3" width="11.85546875" customWidth="1"/>
    <col min="4" max="4" width="11.5703125" customWidth="1"/>
    <col min="5" max="5" width="11.140625" customWidth="1"/>
    <col min="6" max="6" width="13.5703125" customWidth="1"/>
    <col min="7" max="7" width="11.28515625" customWidth="1"/>
    <col min="8" max="8" width="14.28515625" customWidth="1"/>
    <col min="9" max="9" width="1.5703125" customWidth="1"/>
    <col min="10" max="10" width="1.42578125" customWidth="1"/>
    <col min="13" max="13" width="12.28515625" customWidth="1"/>
  </cols>
  <sheetData>
    <row r="1" spans="3:8" x14ac:dyDescent="0.25">
      <c r="C1" s="1" t="s">
        <v>207</v>
      </c>
    </row>
    <row r="3" spans="3:8" ht="15.75" thickBot="1" x14ac:dyDescent="0.3">
      <c r="C3" s="17" t="s">
        <v>201</v>
      </c>
      <c r="D3" s="17" t="s">
        <v>202</v>
      </c>
      <c r="E3" s="17" t="s">
        <v>203</v>
      </c>
      <c r="F3" s="17" t="s">
        <v>206</v>
      </c>
      <c r="G3" s="17" t="s">
        <v>204</v>
      </c>
      <c r="H3" s="17" t="s">
        <v>205</v>
      </c>
    </row>
    <row r="4" spans="3:8" hidden="1" x14ac:dyDescent="0.25">
      <c r="C4" s="36">
        <v>43851</v>
      </c>
      <c r="D4">
        <v>80800</v>
      </c>
      <c r="E4">
        <v>0.108</v>
      </c>
      <c r="F4" s="19">
        <f>D4*E4</f>
        <v>8726.4</v>
      </c>
      <c r="G4" s="19">
        <v>20.204799999999999</v>
      </c>
      <c r="H4" s="19">
        <f>F4+G4</f>
        <v>8746.6047999999992</v>
      </c>
    </row>
    <row r="5" spans="3:8" hidden="1" x14ac:dyDescent="0.25">
      <c r="C5" s="36">
        <v>43881</v>
      </c>
      <c r="D5">
        <v>73920</v>
      </c>
      <c r="E5">
        <v>0.108</v>
      </c>
      <c r="F5" s="19">
        <f t="shared" ref="F5:F21" si="0">D5*E5</f>
        <v>7983.36</v>
      </c>
      <c r="G5" s="19">
        <v>20.204799999999999</v>
      </c>
      <c r="H5" s="19">
        <f t="shared" ref="H5:H21" si="1">F5+G5</f>
        <v>8003.5648000000001</v>
      </c>
    </row>
    <row r="6" spans="3:8" hidden="1" x14ac:dyDescent="0.25">
      <c r="C6" s="36">
        <v>43907</v>
      </c>
      <c r="D6">
        <v>60960</v>
      </c>
      <c r="E6">
        <v>0.108</v>
      </c>
      <c r="F6" s="19">
        <f t="shared" si="0"/>
        <v>6583.68</v>
      </c>
      <c r="G6" s="19">
        <v>20.204799999999999</v>
      </c>
      <c r="H6" s="19">
        <f t="shared" si="1"/>
        <v>6603.8848000000007</v>
      </c>
    </row>
    <row r="7" spans="3:8" hidden="1" x14ac:dyDescent="0.25">
      <c r="C7" s="36">
        <v>43941</v>
      </c>
      <c r="D7">
        <v>75600</v>
      </c>
      <c r="E7">
        <v>0.108</v>
      </c>
      <c r="F7" s="19">
        <f t="shared" si="0"/>
        <v>8164.8</v>
      </c>
      <c r="G7" s="19">
        <v>20.204799999999999</v>
      </c>
      <c r="H7" s="19">
        <f t="shared" si="1"/>
        <v>8185.0048000000006</v>
      </c>
    </row>
    <row r="8" spans="3:8" hidden="1" x14ac:dyDescent="0.25">
      <c r="C8" s="36">
        <v>43971</v>
      </c>
      <c r="D8">
        <v>68640</v>
      </c>
      <c r="E8">
        <v>0.108</v>
      </c>
      <c r="F8" s="19">
        <f t="shared" si="0"/>
        <v>7413.12</v>
      </c>
      <c r="G8" s="19">
        <v>20.204799999999999</v>
      </c>
      <c r="H8" s="19">
        <f t="shared" si="1"/>
        <v>7433.3248000000003</v>
      </c>
    </row>
    <row r="9" spans="3:8" ht="15.75" hidden="1" thickBot="1" x14ac:dyDescent="0.3">
      <c r="C9" s="36">
        <v>44004</v>
      </c>
      <c r="D9">
        <v>72960</v>
      </c>
      <c r="E9">
        <v>0.108</v>
      </c>
      <c r="F9" s="19">
        <f t="shared" si="0"/>
        <v>7879.68</v>
      </c>
      <c r="G9" s="19">
        <v>20.204799999999999</v>
      </c>
      <c r="H9" s="19">
        <f t="shared" si="1"/>
        <v>7899.8848000000007</v>
      </c>
    </row>
    <row r="10" spans="3:8" x14ac:dyDescent="0.25">
      <c r="C10" s="37">
        <v>44035</v>
      </c>
      <c r="D10" s="38">
        <v>47040</v>
      </c>
      <c r="E10" s="38">
        <v>0.108</v>
      </c>
      <c r="F10" s="39">
        <f t="shared" si="0"/>
        <v>5080.32</v>
      </c>
      <c r="G10" s="39">
        <v>20.204799999999999</v>
      </c>
      <c r="H10" s="40">
        <f t="shared" si="1"/>
        <v>5100.5248000000001</v>
      </c>
    </row>
    <row r="11" spans="3:8" x14ac:dyDescent="0.25">
      <c r="C11" s="41">
        <v>44068</v>
      </c>
      <c r="D11">
        <v>50880</v>
      </c>
      <c r="E11">
        <v>0.108</v>
      </c>
      <c r="F11" s="19">
        <f t="shared" si="0"/>
        <v>5495.04</v>
      </c>
      <c r="G11" s="19">
        <v>20.204799999999999</v>
      </c>
      <c r="H11" s="42">
        <f t="shared" si="1"/>
        <v>5515.2448000000004</v>
      </c>
    </row>
    <row r="12" spans="3:8" x14ac:dyDescent="0.25">
      <c r="C12" s="41">
        <v>44103</v>
      </c>
      <c r="D12">
        <v>52800</v>
      </c>
      <c r="E12">
        <v>0.108</v>
      </c>
      <c r="F12" s="19">
        <f t="shared" si="0"/>
        <v>5702.4</v>
      </c>
      <c r="G12" s="19">
        <v>20.204799999999999</v>
      </c>
      <c r="H12" s="42">
        <f t="shared" si="1"/>
        <v>5722.6048000000001</v>
      </c>
    </row>
    <row r="13" spans="3:8" x14ac:dyDescent="0.25">
      <c r="C13" s="41">
        <v>44127</v>
      </c>
      <c r="D13">
        <v>38160</v>
      </c>
      <c r="E13" s="53">
        <v>0.11</v>
      </c>
      <c r="F13" s="19">
        <f t="shared" si="0"/>
        <v>4197.6000000000004</v>
      </c>
      <c r="G13" s="19">
        <v>20.204799999999999</v>
      </c>
      <c r="H13" s="42">
        <f t="shared" si="1"/>
        <v>4217.8048000000008</v>
      </c>
    </row>
    <row r="14" spans="3:8" x14ac:dyDescent="0.25">
      <c r="C14" s="41">
        <v>44155</v>
      </c>
      <c r="D14">
        <v>53040</v>
      </c>
      <c r="E14" s="53">
        <v>0.11</v>
      </c>
      <c r="F14" s="19">
        <f t="shared" si="0"/>
        <v>5834.4</v>
      </c>
      <c r="G14" s="19">
        <v>20.204799999999999</v>
      </c>
      <c r="H14" s="42">
        <f t="shared" si="1"/>
        <v>5854.6048000000001</v>
      </c>
    </row>
    <row r="15" spans="3:8" x14ac:dyDescent="0.25">
      <c r="C15" s="41">
        <v>44183</v>
      </c>
      <c r="D15">
        <v>58320</v>
      </c>
      <c r="E15" s="53">
        <v>0.11</v>
      </c>
      <c r="F15" s="19">
        <f t="shared" si="0"/>
        <v>6415.2</v>
      </c>
      <c r="G15" s="19">
        <v>20.204799999999999</v>
      </c>
      <c r="H15" s="42">
        <f t="shared" si="1"/>
        <v>6435.4048000000003</v>
      </c>
    </row>
    <row r="16" spans="3:8" x14ac:dyDescent="0.25">
      <c r="C16" s="41">
        <v>44224</v>
      </c>
      <c r="D16">
        <v>97920</v>
      </c>
      <c r="E16" s="53">
        <v>0.11</v>
      </c>
      <c r="F16" s="19">
        <f t="shared" si="0"/>
        <v>10771.2</v>
      </c>
      <c r="G16" s="19">
        <v>20.204799999999999</v>
      </c>
      <c r="H16" s="42">
        <f t="shared" si="1"/>
        <v>10791.4048</v>
      </c>
    </row>
    <row r="17" spans="3:8" x14ac:dyDescent="0.25">
      <c r="C17" s="41">
        <v>44244</v>
      </c>
      <c r="D17">
        <v>47280</v>
      </c>
      <c r="E17" s="53">
        <v>0.11</v>
      </c>
      <c r="F17" s="19">
        <f t="shared" si="0"/>
        <v>5200.8</v>
      </c>
      <c r="G17" s="19">
        <v>20.204799999999999</v>
      </c>
      <c r="H17" s="42">
        <f t="shared" si="1"/>
        <v>5221.0048000000006</v>
      </c>
    </row>
    <row r="18" spans="3:8" x14ac:dyDescent="0.25">
      <c r="C18" s="41">
        <v>44278</v>
      </c>
      <c r="D18">
        <v>73200</v>
      </c>
      <c r="E18" s="53">
        <v>0.11</v>
      </c>
      <c r="F18" s="19">
        <f t="shared" si="0"/>
        <v>8052</v>
      </c>
      <c r="G18" s="19">
        <v>20.204799999999999</v>
      </c>
      <c r="H18" s="42">
        <f t="shared" si="1"/>
        <v>8072.2048000000004</v>
      </c>
    </row>
    <row r="19" spans="3:8" x14ac:dyDescent="0.25">
      <c r="C19" s="41">
        <v>44307</v>
      </c>
      <c r="D19">
        <v>51120</v>
      </c>
      <c r="E19" s="53">
        <v>0.11</v>
      </c>
      <c r="F19" s="19">
        <f t="shared" si="0"/>
        <v>5623.2</v>
      </c>
      <c r="G19" s="19">
        <v>20.204799999999999</v>
      </c>
      <c r="H19" s="42">
        <f t="shared" si="1"/>
        <v>5643.4048000000003</v>
      </c>
    </row>
    <row r="20" spans="3:8" x14ac:dyDescent="0.25">
      <c r="C20" s="41">
        <v>44335</v>
      </c>
      <c r="D20">
        <v>52560</v>
      </c>
      <c r="E20" s="53">
        <v>0.11</v>
      </c>
      <c r="F20" s="19">
        <f t="shared" si="0"/>
        <v>5781.6</v>
      </c>
      <c r="G20" s="19">
        <v>20.204799999999999</v>
      </c>
      <c r="H20" s="42">
        <f t="shared" si="1"/>
        <v>5801.8048000000008</v>
      </c>
    </row>
    <row r="21" spans="3:8" ht="15.75" thickBot="1" x14ac:dyDescent="0.3">
      <c r="C21" s="43">
        <v>44375</v>
      </c>
      <c r="D21" s="44">
        <v>55920</v>
      </c>
      <c r="E21" s="54">
        <v>0.11</v>
      </c>
      <c r="F21" s="45">
        <f t="shared" si="0"/>
        <v>6151.2</v>
      </c>
      <c r="G21" s="45">
        <v>20.204799999999999</v>
      </c>
      <c r="H21" s="46">
        <f t="shared" si="1"/>
        <v>6171.4048000000003</v>
      </c>
    </row>
    <row r="22" spans="3:8" ht="15.75" thickBot="1" x14ac:dyDescent="0.3">
      <c r="C22" s="47" t="s">
        <v>186</v>
      </c>
      <c r="D22" s="48">
        <f>SUM(D10:D21)</f>
        <v>678240</v>
      </c>
      <c r="E22" s="48"/>
      <c r="F22" s="49"/>
      <c r="G22" s="49" t="s">
        <v>186</v>
      </c>
      <c r="H22" s="50">
        <f>SUM(H10:H21)</f>
        <v>74547.417600000015</v>
      </c>
    </row>
    <row r="23" spans="3:8" x14ac:dyDescent="0.25">
      <c r="C23" s="41">
        <v>44398</v>
      </c>
      <c r="D23">
        <v>36720</v>
      </c>
      <c r="E23" s="53">
        <v>0.11</v>
      </c>
      <c r="F23" s="19">
        <f t="shared" ref="F23:F50" si="2">D23*E23</f>
        <v>4039.2</v>
      </c>
      <c r="G23" s="19">
        <v>20.204799999999999</v>
      </c>
      <c r="H23" s="42">
        <f t="shared" ref="H23:H50" si="3">F23+G23</f>
        <v>4059.4047999999998</v>
      </c>
    </row>
    <row r="24" spans="3:8" x14ac:dyDescent="0.25">
      <c r="C24" s="41">
        <v>44431</v>
      </c>
      <c r="D24">
        <v>52320</v>
      </c>
      <c r="E24" s="53">
        <v>0.11</v>
      </c>
      <c r="F24" s="19">
        <f t="shared" si="2"/>
        <v>5755.2</v>
      </c>
      <c r="G24" s="19">
        <v>20.204799999999999</v>
      </c>
      <c r="H24" s="42">
        <f t="shared" si="3"/>
        <v>5775.4048000000003</v>
      </c>
    </row>
    <row r="25" spans="3:8" x14ac:dyDescent="0.25">
      <c r="C25" s="41">
        <v>44461</v>
      </c>
      <c r="D25">
        <v>45840</v>
      </c>
      <c r="E25" s="53">
        <v>0.11</v>
      </c>
      <c r="F25" s="19">
        <f t="shared" si="2"/>
        <v>5042.3999999999996</v>
      </c>
      <c r="G25" s="19">
        <v>20.204799999999999</v>
      </c>
      <c r="H25" s="42">
        <f t="shared" si="3"/>
        <v>5062.6048000000001</v>
      </c>
    </row>
    <row r="26" spans="3:8" x14ac:dyDescent="0.25">
      <c r="C26" s="41">
        <v>44489</v>
      </c>
      <c r="D26">
        <v>42720</v>
      </c>
      <c r="E26" s="53">
        <v>0.11</v>
      </c>
      <c r="F26" s="19">
        <f t="shared" si="2"/>
        <v>4699.2</v>
      </c>
      <c r="G26" s="19">
        <v>20.204799999999999</v>
      </c>
      <c r="H26" s="42">
        <f t="shared" si="3"/>
        <v>4719.4048000000003</v>
      </c>
    </row>
    <row r="27" spans="3:8" x14ac:dyDescent="0.25">
      <c r="C27" s="41">
        <v>44519</v>
      </c>
      <c r="D27">
        <v>57360</v>
      </c>
      <c r="E27" s="53">
        <v>0.11</v>
      </c>
      <c r="F27" s="19">
        <f t="shared" si="2"/>
        <v>6309.6</v>
      </c>
      <c r="G27" s="19">
        <v>20.204799999999999</v>
      </c>
      <c r="H27" s="42">
        <f t="shared" si="3"/>
        <v>6329.8048000000008</v>
      </c>
    </row>
    <row r="28" spans="3:8" x14ac:dyDescent="0.25">
      <c r="C28" s="41">
        <v>44552</v>
      </c>
      <c r="D28">
        <v>66960</v>
      </c>
      <c r="E28">
        <v>0.113</v>
      </c>
      <c r="F28" s="19">
        <f t="shared" si="2"/>
        <v>7566.4800000000005</v>
      </c>
      <c r="G28" s="19">
        <v>20.204799999999999</v>
      </c>
      <c r="H28" s="42">
        <f t="shared" si="3"/>
        <v>7586.6848000000009</v>
      </c>
    </row>
    <row r="29" spans="3:8" x14ac:dyDescent="0.25">
      <c r="C29" s="41">
        <v>44585</v>
      </c>
      <c r="D29">
        <v>79440</v>
      </c>
      <c r="E29">
        <v>0.113</v>
      </c>
      <c r="F29" s="19">
        <f t="shared" si="2"/>
        <v>8976.7200000000012</v>
      </c>
      <c r="G29" s="19">
        <v>20.204799999999999</v>
      </c>
      <c r="H29" s="42">
        <f t="shared" si="3"/>
        <v>8996.9248000000007</v>
      </c>
    </row>
    <row r="30" spans="3:8" x14ac:dyDescent="0.25">
      <c r="C30" s="41">
        <v>44614</v>
      </c>
      <c r="D30">
        <v>68400</v>
      </c>
      <c r="E30">
        <v>0.113</v>
      </c>
      <c r="F30" s="19">
        <f t="shared" si="2"/>
        <v>7729.2</v>
      </c>
      <c r="G30" s="19">
        <v>20.204799999999999</v>
      </c>
      <c r="H30" s="42">
        <f t="shared" si="3"/>
        <v>7749.4048000000003</v>
      </c>
    </row>
    <row r="31" spans="3:8" x14ac:dyDescent="0.25">
      <c r="C31" s="41">
        <v>44643</v>
      </c>
      <c r="D31">
        <v>59760</v>
      </c>
      <c r="E31">
        <v>0.113</v>
      </c>
      <c r="F31" s="19">
        <f t="shared" si="2"/>
        <v>6752.88</v>
      </c>
      <c r="G31" s="19">
        <v>20.204799999999999</v>
      </c>
      <c r="H31" s="42">
        <f t="shared" si="3"/>
        <v>6773.0848000000005</v>
      </c>
    </row>
    <row r="32" spans="3:8" x14ac:dyDescent="0.25">
      <c r="C32" s="41">
        <v>44676</v>
      </c>
      <c r="D32">
        <v>65520</v>
      </c>
      <c r="E32">
        <v>0.113</v>
      </c>
      <c r="F32" s="19">
        <f t="shared" si="2"/>
        <v>7403.76</v>
      </c>
      <c r="G32" s="19">
        <v>20.204799999999999</v>
      </c>
      <c r="H32" s="42">
        <f t="shared" si="3"/>
        <v>7423.9648000000007</v>
      </c>
    </row>
    <row r="33" spans="3:14" x14ac:dyDescent="0.25">
      <c r="C33" s="41">
        <v>44705</v>
      </c>
      <c r="D33">
        <v>45600</v>
      </c>
      <c r="E33">
        <v>0.113</v>
      </c>
      <c r="F33" s="19">
        <f t="shared" si="2"/>
        <v>5152.8</v>
      </c>
      <c r="G33" s="19">
        <v>20.204799999999999</v>
      </c>
      <c r="H33" s="42">
        <f t="shared" si="3"/>
        <v>5173.0048000000006</v>
      </c>
    </row>
    <row r="34" spans="3:14" ht="15.75" thickBot="1" x14ac:dyDescent="0.3">
      <c r="C34" s="43">
        <v>44733</v>
      </c>
      <c r="D34" s="44">
        <v>43920</v>
      </c>
      <c r="E34" s="44">
        <v>0.113</v>
      </c>
      <c r="F34" s="45">
        <f t="shared" si="2"/>
        <v>4962.96</v>
      </c>
      <c r="G34" s="45">
        <v>20.204799999999999</v>
      </c>
      <c r="H34" s="46">
        <f t="shared" si="3"/>
        <v>4983.1648000000005</v>
      </c>
    </row>
    <row r="35" spans="3:14" ht="15.75" thickBot="1" x14ac:dyDescent="0.3">
      <c r="C35" s="41" t="s">
        <v>186</v>
      </c>
      <c r="D35" s="48">
        <f>SUM(D23:D34)</f>
        <v>664560</v>
      </c>
      <c r="F35" s="19"/>
      <c r="G35" s="19" t="s">
        <v>186</v>
      </c>
      <c r="H35" s="42">
        <f>SUM(H23:H34)</f>
        <v>74632.857600000003</v>
      </c>
    </row>
    <row r="36" spans="3:14" x14ac:dyDescent="0.25">
      <c r="C36" s="37">
        <v>44763</v>
      </c>
      <c r="D36" s="38">
        <v>51840</v>
      </c>
      <c r="E36" s="38">
        <v>0.113</v>
      </c>
      <c r="F36" s="39">
        <f t="shared" si="2"/>
        <v>5857.92</v>
      </c>
      <c r="G36" s="39">
        <v>20.204799999999999</v>
      </c>
      <c r="H36" s="40">
        <f t="shared" si="3"/>
        <v>5878.1248000000005</v>
      </c>
    </row>
    <row r="37" spans="3:14" x14ac:dyDescent="0.25">
      <c r="C37" s="41">
        <v>44797</v>
      </c>
      <c r="D37">
        <v>52560</v>
      </c>
      <c r="E37">
        <v>0.113</v>
      </c>
      <c r="F37" s="19">
        <f t="shared" si="2"/>
        <v>5939.28</v>
      </c>
      <c r="G37" s="19">
        <v>20.204799999999999</v>
      </c>
      <c r="H37" s="42">
        <f t="shared" si="3"/>
        <v>5959.4848000000002</v>
      </c>
    </row>
    <row r="38" spans="3:14" x14ac:dyDescent="0.25">
      <c r="C38" s="41">
        <v>44827</v>
      </c>
      <c r="D38">
        <v>44160</v>
      </c>
      <c r="E38">
        <v>0.113</v>
      </c>
      <c r="F38" s="19">
        <f t="shared" si="2"/>
        <v>4990.08</v>
      </c>
      <c r="G38" s="19">
        <v>20.204799999999999</v>
      </c>
      <c r="H38" s="42">
        <f t="shared" si="3"/>
        <v>5010.2848000000004</v>
      </c>
    </row>
    <row r="39" spans="3:14" x14ac:dyDescent="0.25">
      <c r="C39" s="41">
        <v>44858</v>
      </c>
      <c r="D39">
        <v>55920</v>
      </c>
      <c r="E39">
        <v>0.113</v>
      </c>
      <c r="F39" s="19">
        <f t="shared" si="2"/>
        <v>6318.96</v>
      </c>
      <c r="G39" s="19">
        <v>20.204799999999999</v>
      </c>
      <c r="H39" s="42">
        <f t="shared" si="3"/>
        <v>6339.1648000000005</v>
      </c>
    </row>
    <row r="40" spans="3:14" x14ac:dyDescent="0.25">
      <c r="C40" s="41">
        <v>44886</v>
      </c>
      <c r="D40">
        <v>56400</v>
      </c>
      <c r="E40">
        <v>0.113</v>
      </c>
      <c r="F40" s="19">
        <f t="shared" si="2"/>
        <v>6373.2</v>
      </c>
      <c r="G40" s="19">
        <v>20.204799999999999</v>
      </c>
      <c r="H40" s="42">
        <f t="shared" si="3"/>
        <v>6393.4048000000003</v>
      </c>
    </row>
    <row r="41" spans="3:14" x14ac:dyDescent="0.25">
      <c r="C41" s="41">
        <v>44915</v>
      </c>
      <c r="D41">
        <v>63360</v>
      </c>
      <c r="E41">
        <v>0.113</v>
      </c>
      <c r="F41" s="19">
        <f t="shared" si="2"/>
        <v>7159.68</v>
      </c>
      <c r="G41" s="19">
        <v>20.204799999999999</v>
      </c>
      <c r="H41" s="42">
        <f t="shared" si="3"/>
        <v>7179.8848000000007</v>
      </c>
    </row>
    <row r="42" spans="3:14" x14ac:dyDescent="0.25">
      <c r="C42" s="41">
        <v>44951</v>
      </c>
      <c r="D42">
        <v>88560</v>
      </c>
      <c r="E42">
        <v>0.113</v>
      </c>
      <c r="F42" s="19">
        <f t="shared" si="2"/>
        <v>10007.280000000001</v>
      </c>
      <c r="G42" s="19">
        <v>20.204799999999999</v>
      </c>
      <c r="H42" s="42">
        <f t="shared" si="3"/>
        <v>10027.4848</v>
      </c>
    </row>
    <row r="43" spans="3:14" x14ac:dyDescent="0.25">
      <c r="C43" s="41">
        <v>44979</v>
      </c>
      <c r="D43">
        <v>59760</v>
      </c>
      <c r="E43">
        <v>0.113</v>
      </c>
      <c r="F43" s="19">
        <f t="shared" si="2"/>
        <v>6752.88</v>
      </c>
      <c r="G43" s="19">
        <v>20.204799999999999</v>
      </c>
      <c r="H43" s="42">
        <f t="shared" si="3"/>
        <v>6773.0848000000005</v>
      </c>
    </row>
    <row r="44" spans="3:14" x14ac:dyDescent="0.25">
      <c r="C44" s="41">
        <v>45008</v>
      </c>
      <c r="D44">
        <v>53280</v>
      </c>
      <c r="E44">
        <v>0.113</v>
      </c>
      <c r="F44" s="19">
        <f t="shared" si="2"/>
        <v>6020.64</v>
      </c>
      <c r="G44" s="19">
        <v>20.204799999999999</v>
      </c>
      <c r="H44" s="42">
        <f t="shared" si="3"/>
        <v>6040.8448000000008</v>
      </c>
    </row>
    <row r="45" spans="3:14" x14ac:dyDescent="0.25">
      <c r="C45" s="41">
        <v>45036</v>
      </c>
      <c r="D45">
        <v>49680</v>
      </c>
      <c r="E45">
        <v>0.113</v>
      </c>
      <c r="F45" s="19">
        <f t="shared" si="2"/>
        <v>5613.84</v>
      </c>
      <c r="G45" s="19">
        <v>20.204799999999999</v>
      </c>
      <c r="H45" s="42">
        <f t="shared" si="3"/>
        <v>5634.0448000000006</v>
      </c>
    </row>
    <row r="46" spans="3:14" x14ac:dyDescent="0.25">
      <c r="C46" s="41">
        <v>45070</v>
      </c>
      <c r="D46">
        <v>50880</v>
      </c>
      <c r="E46">
        <v>0.113</v>
      </c>
      <c r="F46" s="19">
        <f t="shared" si="2"/>
        <v>5749.4400000000005</v>
      </c>
      <c r="G46" s="19">
        <v>20.204799999999999</v>
      </c>
      <c r="H46" s="42">
        <f t="shared" si="3"/>
        <v>5769.6448000000009</v>
      </c>
    </row>
    <row r="47" spans="3:14" ht="15.75" thickBot="1" x14ac:dyDescent="0.3">
      <c r="C47" s="43">
        <v>45099</v>
      </c>
      <c r="D47" s="44">
        <v>48240</v>
      </c>
      <c r="E47" s="44">
        <v>0.113</v>
      </c>
      <c r="F47" s="45">
        <f t="shared" si="2"/>
        <v>5451.12</v>
      </c>
      <c r="G47" s="45">
        <v>20.204799999999999</v>
      </c>
      <c r="H47" s="46">
        <f t="shared" si="3"/>
        <v>5471.3248000000003</v>
      </c>
    </row>
    <row r="48" spans="3:14" ht="15.75" thickBot="1" x14ac:dyDescent="0.3">
      <c r="C48" s="47" t="s">
        <v>186</v>
      </c>
      <c r="D48" s="48">
        <f>SUM(D36:D47)</f>
        <v>674640</v>
      </c>
      <c r="E48" s="48"/>
      <c r="F48" s="49"/>
      <c r="G48" s="49" t="s">
        <v>186</v>
      </c>
      <c r="H48" s="50">
        <f>SUM(H36:H47)</f>
        <v>76476.777600000016</v>
      </c>
      <c r="K48" t="s">
        <v>211</v>
      </c>
      <c r="M48" s="55">
        <f>AVERAGE(D22,D35,D48)</f>
        <v>672480</v>
      </c>
      <c r="N48" t="s">
        <v>212</v>
      </c>
    </row>
    <row r="49" spans="3:14" ht="15.75" thickBot="1" x14ac:dyDescent="0.3">
      <c r="C49" s="36">
        <v>45127</v>
      </c>
      <c r="D49">
        <v>40560</v>
      </c>
      <c r="E49">
        <v>0.113</v>
      </c>
      <c r="F49" s="19">
        <f t="shared" si="2"/>
        <v>4583.28</v>
      </c>
      <c r="G49" s="19">
        <v>20.204799999999999</v>
      </c>
      <c r="H49" s="19">
        <f t="shared" si="3"/>
        <v>4603.4848000000002</v>
      </c>
      <c r="M49">
        <v>0.113</v>
      </c>
      <c r="N49" t="s">
        <v>213</v>
      </c>
    </row>
    <row r="50" spans="3:14" ht="15.75" thickBot="1" x14ac:dyDescent="0.3">
      <c r="C50" s="36">
        <v>45160</v>
      </c>
      <c r="D50">
        <v>48480</v>
      </c>
      <c r="E50">
        <v>0.113</v>
      </c>
      <c r="F50" s="19">
        <f t="shared" si="2"/>
        <v>5478.24</v>
      </c>
      <c r="G50" s="19">
        <v>20.204799999999999</v>
      </c>
      <c r="H50" s="19">
        <f t="shared" si="3"/>
        <v>5498.4448000000002</v>
      </c>
      <c r="K50" t="s">
        <v>214</v>
      </c>
      <c r="M50" s="56">
        <f>M48*M49</f>
        <v>75990.240000000005</v>
      </c>
    </row>
    <row r="51" spans="3:14" x14ac:dyDescent="0.25">
      <c r="C51" s="36"/>
    </row>
    <row r="52" spans="3:14" x14ac:dyDescent="0.25">
      <c r="C52" s="36"/>
    </row>
    <row r="53" spans="3:14" x14ac:dyDescent="0.25">
      <c r="C53" s="36"/>
    </row>
    <row r="54" spans="3:14" x14ac:dyDescent="0.25">
      <c r="C54" s="36"/>
    </row>
    <row r="55" spans="3:14" x14ac:dyDescent="0.25">
      <c r="C55" s="36"/>
    </row>
    <row r="56" spans="3:14" x14ac:dyDescent="0.25">
      <c r="C56" s="36"/>
    </row>
    <row r="57" spans="3:14" x14ac:dyDescent="0.25">
      <c r="C57" s="36"/>
    </row>
    <row r="58" spans="3:14" x14ac:dyDescent="0.25">
      <c r="C58" s="36"/>
    </row>
    <row r="59" spans="3:14" x14ac:dyDescent="0.25">
      <c r="C59" s="36"/>
    </row>
    <row r="60" spans="3:14" x14ac:dyDescent="0.25">
      <c r="C60" s="36"/>
    </row>
    <row r="61" spans="3:14" x14ac:dyDescent="0.25">
      <c r="C61" s="36"/>
    </row>
    <row r="62" spans="3:14" x14ac:dyDescent="0.25">
      <c r="C62" s="36"/>
    </row>
    <row r="63" spans="3:14" x14ac:dyDescent="0.25">
      <c r="C63" s="36"/>
    </row>
    <row r="64" spans="3:14" x14ac:dyDescent="0.25">
      <c r="C64" s="36"/>
    </row>
    <row r="65" spans="3:3" x14ac:dyDescent="0.25">
      <c r="C65" s="36"/>
    </row>
    <row r="66" spans="3:3" x14ac:dyDescent="0.25">
      <c r="C66" s="36"/>
    </row>
    <row r="67" spans="3:3" x14ac:dyDescent="0.25">
      <c r="C67" s="36"/>
    </row>
    <row r="68" spans="3:3" x14ac:dyDescent="0.25">
      <c r="C68" s="36"/>
    </row>
    <row r="69" spans="3:3" x14ac:dyDescent="0.25">
      <c r="C69" s="36"/>
    </row>
    <row r="70" spans="3:3" x14ac:dyDescent="0.25">
      <c r="C70" s="36"/>
    </row>
    <row r="71" spans="3:3" x14ac:dyDescent="0.25">
      <c r="C71" s="36"/>
    </row>
    <row r="72" spans="3:3" x14ac:dyDescent="0.25">
      <c r="C72" s="36"/>
    </row>
    <row r="73" spans="3:3" x14ac:dyDescent="0.25">
      <c r="C73" s="36"/>
    </row>
    <row r="74" spans="3:3" x14ac:dyDescent="0.25">
      <c r="C74" s="36"/>
    </row>
    <row r="75" spans="3:3" x14ac:dyDescent="0.25">
      <c r="C75" s="36"/>
    </row>
    <row r="76" spans="3:3" x14ac:dyDescent="0.25">
      <c r="C76" s="36"/>
    </row>
    <row r="77" spans="3:3" x14ac:dyDescent="0.25">
      <c r="C77" s="36"/>
    </row>
    <row r="78" spans="3:3" x14ac:dyDescent="0.25">
      <c r="C78" s="36"/>
    </row>
    <row r="79" spans="3:3" x14ac:dyDescent="0.25">
      <c r="C79" s="36"/>
    </row>
    <row r="80" spans="3:3" x14ac:dyDescent="0.25">
      <c r="C80" s="36"/>
    </row>
    <row r="81" spans="3:3" x14ac:dyDescent="0.25">
      <c r="C81" s="36"/>
    </row>
    <row r="82" spans="3:3" x14ac:dyDescent="0.25">
      <c r="C82" s="36"/>
    </row>
    <row r="83" spans="3:3" x14ac:dyDescent="0.25">
      <c r="C83" s="36"/>
    </row>
    <row r="84" spans="3:3" x14ac:dyDescent="0.25">
      <c r="C84" s="36"/>
    </row>
    <row r="85" spans="3:3" x14ac:dyDescent="0.25">
      <c r="C85" s="36"/>
    </row>
    <row r="86" spans="3:3" x14ac:dyDescent="0.25">
      <c r="C86" s="36"/>
    </row>
    <row r="87" spans="3:3" x14ac:dyDescent="0.25">
      <c r="C87" s="36"/>
    </row>
    <row r="88" spans="3:3" x14ac:dyDescent="0.25">
      <c r="C88" s="36"/>
    </row>
    <row r="89" spans="3:3" x14ac:dyDescent="0.25">
      <c r="C89" s="36"/>
    </row>
    <row r="90" spans="3:3" x14ac:dyDescent="0.25">
      <c r="C90" s="36"/>
    </row>
    <row r="91" spans="3:3" x14ac:dyDescent="0.25">
      <c r="C91" s="36"/>
    </row>
    <row r="92" spans="3:3" x14ac:dyDescent="0.25">
      <c r="C92" s="36"/>
    </row>
    <row r="93" spans="3:3" x14ac:dyDescent="0.25">
      <c r="C93" s="36"/>
    </row>
    <row r="94" spans="3:3" x14ac:dyDescent="0.25">
      <c r="C94" s="36"/>
    </row>
    <row r="95" spans="3:3" x14ac:dyDescent="0.25">
      <c r="C95" s="36"/>
    </row>
    <row r="96" spans="3:3" x14ac:dyDescent="0.25">
      <c r="C96" s="36"/>
    </row>
    <row r="97" spans="3:3" x14ac:dyDescent="0.25">
      <c r="C97" s="36"/>
    </row>
    <row r="98" spans="3:3" x14ac:dyDescent="0.25">
      <c r="C98" s="36"/>
    </row>
    <row r="99" spans="3:3" x14ac:dyDescent="0.25">
      <c r="C99" s="36"/>
    </row>
    <row r="100" spans="3:3" x14ac:dyDescent="0.25">
      <c r="C100" s="36"/>
    </row>
    <row r="101" spans="3:3" x14ac:dyDescent="0.25">
      <c r="C101" s="36"/>
    </row>
    <row r="102" spans="3:3" x14ac:dyDescent="0.25">
      <c r="C102" s="36"/>
    </row>
    <row r="103" spans="3:3" x14ac:dyDescent="0.25">
      <c r="C103" s="36"/>
    </row>
    <row r="104" spans="3:3" x14ac:dyDescent="0.25">
      <c r="C104" s="36"/>
    </row>
    <row r="105" spans="3:3" x14ac:dyDescent="0.25">
      <c r="C105" s="36"/>
    </row>
    <row r="106" spans="3:3" x14ac:dyDescent="0.25">
      <c r="C106" s="36"/>
    </row>
    <row r="107" spans="3:3" x14ac:dyDescent="0.25">
      <c r="C107" s="36"/>
    </row>
    <row r="108" spans="3:3" x14ac:dyDescent="0.25">
      <c r="C108" s="36"/>
    </row>
    <row r="109" spans="3:3" x14ac:dyDescent="0.25">
      <c r="C109" s="36"/>
    </row>
    <row r="110" spans="3:3" x14ac:dyDescent="0.25">
      <c r="C110" s="36"/>
    </row>
    <row r="111" spans="3:3" x14ac:dyDescent="0.25">
      <c r="C111" s="36"/>
    </row>
    <row r="112" spans="3:3" x14ac:dyDescent="0.25">
      <c r="C112" s="36"/>
    </row>
    <row r="113" spans="3:3" x14ac:dyDescent="0.25">
      <c r="C113" s="36"/>
    </row>
    <row r="114" spans="3:3" x14ac:dyDescent="0.25">
      <c r="C114" s="36"/>
    </row>
    <row r="115" spans="3:3" x14ac:dyDescent="0.25">
      <c r="C115" s="36"/>
    </row>
    <row r="116" spans="3:3" x14ac:dyDescent="0.25">
      <c r="C116" s="36"/>
    </row>
    <row r="117" spans="3:3" x14ac:dyDescent="0.25">
      <c r="C117" s="36"/>
    </row>
    <row r="118" spans="3:3" x14ac:dyDescent="0.25">
      <c r="C118" s="36"/>
    </row>
    <row r="119" spans="3:3" x14ac:dyDescent="0.25">
      <c r="C119" s="36"/>
    </row>
    <row r="120" spans="3:3" x14ac:dyDescent="0.25">
      <c r="C120" s="36"/>
    </row>
    <row r="121" spans="3:3" x14ac:dyDescent="0.25">
      <c r="C121" s="36"/>
    </row>
    <row r="122" spans="3:3" x14ac:dyDescent="0.25">
      <c r="C122" s="36"/>
    </row>
    <row r="123" spans="3:3" x14ac:dyDescent="0.25">
      <c r="C123" s="36"/>
    </row>
    <row r="124" spans="3:3" x14ac:dyDescent="0.25">
      <c r="C124" s="36"/>
    </row>
    <row r="125" spans="3:3" x14ac:dyDescent="0.25">
      <c r="C125" s="36"/>
    </row>
    <row r="126" spans="3:3" x14ac:dyDescent="0.25">
      <c r="C126" s="36"/>
    </row>
    <row r="127" spans="3:3" x14ac:dyDescent="0.25">
      <c r="C127" s="36"/>
    </row>
    <row r="128" spans="3:3" x14ac:dyDescent="0.25">
      <c r="C128" s="36"/>
    </row>
    <row r="129" spans="3:3" x14ac:dyDescent="0.25">
      <c r="C129" s="36"/>
    </row>
    <row r="130" spans="3:3" x14ac:dyDescent="0.25">
      <c r="C130" s="36"/>
    </row>
    <row r="131" spans="3:3" x14ac:dyDescent="0.25">
      <c r="C131" s="36"/>
    </row>
    <row r="132" spans="3:3" x14ac:dyDescent="0.25">
      <c r="C132" s="36"/>
    </row>
    <row r="133" spans="3:3" x14ac:dyDescent="0.25">
      <c r="C133" s="36"/>
    </row>
    <row r="134" spans="3:3" x14ac:dyDescent="0.25">
      <c r="C134" s="36"/>
    </row>
  </sheetData>
  <pageMargins left="0.7" right="0.7" top="0.75" bottom="0.75" header="0.3" footer="0.3"/>
  <pageSetup scale="79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8F2C3-76C4-4706-817D-F4E9CB252815}">
  <sheetPr>
    <pageSetUpPr fitToPage="1"/>
  </sheetPr>
  <dimension ref="C1:M115"/>
  <sheetViews>
    <sheetView topLeftCell="A73" workbookViewId="0">
      <selection activeCell="D121" sqref="D121"/>
    </sheetView>
  </sheetViews>
  <sheetFormatPr defaultRowHeight="15" x14ac:dyDescent="0.25"/>
  <cols>
    <col min="3" max="3" width="23.7109375" customWidth="1"/>
    <col min="4" max="4" width="20.85546875" customWidth="1"/>
    <col min="5" max="6" width="14.7109375" customWidth="1"/>
    <col min="7" max="7" width="16.7109375" customWidth="1"/>
    <col min="8" max="8" width="8.85546875" customWidth="1"/>
    <col min="9" max="9" width="18.42578125" customWidth="1"/>
    <col min="10" max="10" width="7.28515625" customWidth="1"/>
    <col min="11" max="11" width="18.28515625" customWidth="1"/>
  </cols>
  <sheetData>
    <row r="1" spans="3:13" ht="17.100000000000001" customHeight="1" x14ac:dyDescent="0.25"/>
    <row r="2" spans="3:13" ht="17.100000000000001" customHeight="1" x14ac:dyDescent="0.25">
      <c r="C2" s="1" t="s">
        <v>188</v>
      </c>
    </row>
    <row r="3" spans="3:13" ht="17.100000000000001" customHeight="1" x14ac:dyDescent="0.25">
      <c r="C3" s="1"/>
    </row>
    <row r="4" spans="3:13" ht="17.100000000000001" customHeight="1" x14ac:dyDescent="0.25">
      <c r="C4" s="1" t="s">
        <v>160</v>
      </c>
      <c r="E4" s="16" t="s">
        <v>173</v>
      </c>
      <c r="F4" s="16" t="s">
        <v>184</v>
      </c>
      <c r="G4" s="16" t="s">
        <v>183</v>
      </c>
      <c r="H4" s="16"/>
      <c r="I4" s="16" t="s">
        <v>174</v>
      </c>
      <c r="J4" s="16"/>
      <c r="K4" s="16" t="s">
        <v>175</v>
      </c>
    </row>
    <row r="5" spans="3:13" ht="17.100000000000001" customHeight="1" x14ac:dyDescent="0.25">
      <c r="C5" s="143" t="s">
        <v>0</v>
      </c>
      <c r="D5" s="143"/>
      <c r="E5" s="21" t="s">
        <v>176</v>
      </c>
      <c r="F5" s="21" t="s">
        <v>185</v>
      </c>
      <c r="G5" s="21" t="s">
        <v>176</v>
      </c>
      <c r="H5" s="21"/>
      <c r="I5" s="21" t="s">
        <v>176</v>
      </c>
      <c r="J5" s="21"/>
      <c r="K5" s="21" t="s">
        <v>176</v>
      </c>
      <c r="L5" s="17"/>
      <c r="M5" t="s">
        <v>275</v>
      </c>
    </row>
    <row r="6" spans="3:13" ht="17.100000000000001" customHeight="1" x14ac:dyDescent="0.25">
      <c r="C6" t="s">
        <v>161</v>
      </c>
      <c r="E6">
        <v>27752700</v>
      </c>
      <c r="F6" s="26">
        <v>0.20599999999999999</v>
      </c>
      <c r="G6">
        <f>E6*(1-F6)</f>
        <v>22035643.800000001</v>
      </c>
      <c r="I6">
        <v>6805560</v>
      </c>
      <c r="J6" s="18">
        <f t="shared" ref="J6:J17" si="0">I6/G6</f>
        <v>0.30884325694173725</v>
      </c>
      <c r="K6">
        <v>10861812</v>
      </c>
      <c r="L6" s="18">
        <f t="shared" ref="L6:L17" si="1">K6/G6</f>
        <v>0.49292011155126764</v>
      </c>
      <c r="M6" s="101">
        <f>J6+L6</f>
        <v>0.80176336849300489</v>
      </c>
    </row>
    <row r="7" spans="3:13" ht="17.100000000000001" customHeight="1" x14ac:dyDescent="0.25">
      <c r="C7" t="s">
        <v>162</v>
      </c>
      <c r="E7">
        <v>26424700</v>
      </c>
      <c r="F7" s="26">
        <v>0.245</v>
      </c>
      <c r="G7">
        <f t="shared" ref="G7:G17" si="2">E7*(1-F7)</f>
        <v>19950648.5</v>
      </c>
      <c r="I7">
        <v>5747800</v>
      </c>
      <c r="J7" s="18">
        <f t="shared" si="0"/>
        <v>0.28810091060448484</v>
      </c>
      <c r="K7">
        <v>9588048</v>
      </c>
      <c r="L7" s="18">
        <f t="shared" si="1"/>
        <v>0.48058828764388284</v>
      </c>
      <c r="M7" s="18">
        <f t="shared" ref="M7:M17" si="3">J7+L7</f>
        <v>0.76868919824836768</v>
      </c>
    </row>
    <row r="8" spans="3:13" ht="17.100000000000001" customHeight="1" x14ac:dyDescent="0.25">
      <c r="C8" t="s">
        <v>163</v>
      </c>
      <c r="E8">
        <v>23631400</v>
      </c>
      <c r="F8" s="26">
        <v>0.17499999999999999</v>
      </c>
      <c r="G8">
        <f t="shared" si="2"/>
        <v>19495905</v>
      </c>
      <c r="I8">
        <v>6162050</v>
      </c>
      <c r="J8" s="18">
        <f t="shared" si="0"/>
        <v>0.31606893857966584</v>
      </c>
      <c r="K8">
        <v>9248790</v>
      </c>
      <c r="L8" s="18">
        <f t="shared" si="1"/>
        <v>0.4743965463516569</v>
      </c>
      <c r="M8" s="18">
        <f t="shared" si="3"/>
        <v>0.79046548493132274</v>
      </c>
    </row>
    <row r="9" spans="3:13" ht="17.100000000000001" customHeight="1" x14ac:dyDescent="0.25">
      <c r="C9" t="s">
        <v>164</v>
      </c>
      <c r="E9">
        <v>22583100</v>
      </c>
      <c r="F9" s="26">
        <v>0.19400000000000001</v>
      </c>
      <c r="G9">
        <f t="shared" si="2"/>
        <v>18201978.600000001</v>
      </c>
      <c r="I9">
        <v>5268200</v>
      </c>
      <c r="J9" s="18">
        <f t="shared" si="0"/>
        <v>0.2894300732778578</v>
      </c>
      <c r="K9">
        <v>9015026</v>
      </c>
      <c r="L9" s="18">
        <f t="shared" si="1"/>
        <v>0.49527725518807053</v>
      </c>
      <c r="M9" s="18">
        <f t="shared" si="3"/>
        <v>0.78470732846592828</v>
      </c>
    </row>
    <row r="10" spans="3:13" ht="17.100000000000001" customHeight="1" x14ac:dyDescent="0.25">
      <c r="C10" t="s">
        <v>165</v>
      </c>
      <c r="E10">
        <v>22266700</v>
      </c>
      <c r="F10" s="26">
        <v>0.154</v>
      </c>
      <c r="G10">
        <f t="shared" si="2"/>
        <v>18837628.199999999</v>
      </c>
      <c r="I10">
        <v>5701300</v>
      </c>
      <c r="J10" s="18">
        <f t="shared" si="0"/>
        <v>0.30265487456642765</v>
      </c>
      <c r="K10">
        <v>9499014</v>
      </c>
      <c r="L10" s="18">
        <f t="shared" si="1"/>
        <v>0.50425743087975372</v>
      </c>
      <c r="M10" s="18">
        <f t="shared" si="3"/>
        <v>0.80691230544618131</v>
      </c>
    </row>
    <row r="11" spans="3:13" ht="17.100000000000001" customHeight="1" x14ac:dyDescent="0.25">
      <c r="C11" t="s">
        <v>166</v>
      </c>
      <c r="E11">
        <v>23908100</v>
      </c>
      <c r="F11" s="26">
        <v>0.217</v>
      </c>
      <c r="G11">
        <f t="shared" si="2"/>
        <v>18720042.300000001</v>
      </c>
      <c r="I11">
        <v>5083630</v>
      </c>
      <c r="J11" s="18">
        <f t="shared" si="0"/>
        <v>0.2715608180009294</v>
      </c>
      <c r="K11">
        <v>9734722</v>
      </c>
      <c r="L11" s="18">
        <f t="shared" si="1"/>
        <v>0.5200160258184886</v>
      </c>
      <c r="M11" s="18">
        <f t="shared" si="3"/>
        <v>0.79157684381941795</v>
      </c>
    </row>
    <row r="12" spans="3:13" ht="17.100000000000001" customHeight="1" x14ac:dyDescent="0.25">
      <c r="C12" t="s">
        <v>167</v>
      </c>
      <c r="E12">
        <v>24154400</v>
      </c>
      <c r="F12" s="26">
        <v>0.21</v>
      </c>
      <c r="G12">
        <f t="shared" si="2"/>
        <v>19081976</v>
      </c>
      <c r="I12">
        <v>6102980</v>
      </c>
      <c r="J12" s="18">
        <f t="shared" si="0"/>
        <v>0.3198295606283123</v>
      </c>
      <c r="K12">
        <v>9135188</v>
      </c>
      <c r="L12" s="18">
        <f t="shared" si="1"/>
        <v>0.47873385858990702</v>
      </c>
      <c r="M12" s="18">
        <f t="shared" si="3"/>
        <v>0.79856341921821938</v>
      </c>
    </row>
    <row r="13" spans="3:13" ht="17.100000000000001" customHeight="1" x14ac:dyDescent="0.25">
      <c r="C13" t="s">
        <v>168</v>
      </c>
      <c r="E13">
        <v>22644740</v>
      </c>
      <c r="F13" s="26">
        <v>0.16200000000000001</v>
      </c>
      <c r="G13">
        <f t="shared" si="2"/>
        <v>18976292.120000001</v>
      </c>
      <c r="I13">
        <v>5603350</v>
      </c>
      <c r="J13" s="18">
        <f t="shared" si="0"/>
        <v>0.29528160530867714</v>
      </c>
      <c r="K13">
        <v>8619860</v>
      </c>
      <c r="L13" s="18">
        <f t="shared" si="1"/>
        <v>0.45424363966842218</v>
      </c>
      <c r="M13" s="18">
        <f t="shared" si="3"/>
        <v>0.74952524497709927</v>
      </c>
    </row>
    <row r="14" spans="3:13" ht="17.100000000000001" customHeight="1" x14ac:dyDescent="0.25">
      <c r="C14" t="s">
        <v>169</v>
      </c>
      <c r="E14">
        <v>24154100</v>
      </c>
      <c r="F14" s="26">
        <v>0.20599999999999999</v>
      </c>
      <c r="G14">
        <f t="shared" si="2"/>
        <v>19178355.400000002</v>
      </c>
      <c r="I14">
        <v>5386670</v>
      </c>
      <c r="J14" s="18">
        <f t="shared" si="0"/>
        <v>0.28087236301815532</v>
      </c>
      <c r="K14">
        <v>9665110</v>
      </c>
      <c r="L14" s="18">
        <f t="shared" si="1"/>
        <v>0.50395927066822421</v>
      </c>
      <c r="M14" s="18">
        <f t="shared" si="3"/>
        <v>0.78483163368637954</v>
      </c>
    </row>
    <row r="15" spans="3:13" ht="17.100000000000001" customHeight="1" x14ac:dyDescent="0.25">
      <c r="C15" t="s">
        <v>170</v>
      </c>
      <c r="E15">
        <v>23343200</v>
      </c>
      <c r="F15" s="26">
        <v>0.20899999999999999</v>
      </c>
      <c r="G15">
        <f t="shared" si="2"/>
        <v>18464471.199999999</v>
      </c>
      <c r="I15">
        <v>5706930</v>
      </c>
      <c r="J15" s="18">
        <f t="shared" si="0"/>
        <v>0.30907627617302141</v>
      </c>
      <c r="K15">
        <v>9110539</v>
      </c>
      <c r="L15" s="18">
        <f t="shared" si="1"/>
        <v>0.49340914783413892</v>
      </c>
      <c r="M15" s="18">
        <f t="shared" si="3"/>
        <v>0.80248542400716039</v>
      </c>
    </row>
    <row r="16" spans="3:13" ht="17.100000000000001" customHeight="1" x14ac:dyDescent="0.25">
      <c r="C16" t="s">
        <v>171</v>
      </c>
      <c r="E16">
        <v>27451700</v>
      </c>
      <c r="F16" s="26">
        <v>0.28899999999999998</v>
      </c>
      <c r="G16">
        <f t="shared" si="2"/>
        <v>19518158.700000003</v>
      </c>
      <c r="I16">
        <v>5270940</v>
      </c>
      <c r="J16" s="18">
        <f t="shared" si="0"/>
        <v>0.27005313774808065</v>
      </c>
      <c r="K16">
        <v>10620831</v>
      </c>
      <c r="L16" s="18">
        <f t="shared" si="1"/>
        <v>0.5441512779584069</v>
      </c>
      <c r="M16" s="18">
        <f t="shared" si="3"/>
        <v>0.81420441570648761</v>
      </c>
    </row>
    <row r="17" spans="3:13" ht="17.100000000000001" customHeight="1" x14ac:dyDescent="0.25">
      <c r="C17" s="17" t="s">
        <v>172</v>
      </c>
      <c r="D17" s="17"/>
      <c r="E17" s="17">
        <v>26288400</v>
      </c>
      <c r="F17" s="27">
        <v>0.14000000000000001</v>
      </c>
      <c r="G17" s="17">
        <f t="shared" si="2"/>
        <v>22608024</v>
      </c>
      <c r="H17" s="17"/>
      <c r="I17" s="17">
        <v>6861210</v>
      </c>
      <c r="J17" s="100">
        <f t="shared" si="0"/>
        <v>0.30348561201102758</v>
      </c>
      <c r="K17" s="17">
        <v>10327450</v>
      </c>
      <c r="L17" s="100">
        <f t="shared" si="1"/>
        <v>0.45680462830365004</v>
      </c>
      <c r="M17" s="100">
        <f t="shared" si="3"/>
        <v>0.76029024031467762</v>
      </c>
    </row>
    <row r="18" spans="3:13" ht="17.100000000000001" customHeight="1" x14ac:dyDescent="0.25">
      <c r="C18" t="s">
        <v>177</v>
      </c>
      <c r="E18">
        <f>SUM(E6:E17)</f>
        <v>294603240</v>
      </c>
      <c r="F18" s="18">
        <f>AVERAGE(F6:F17)</f>
        <v>0.20058333333333334</v>
      </c>
      <c r="G18">
        <f>SUM(G6:G17)</f>
        <v>235069123.81999999</v>
      </c>
      <c r="H18" s="18">
        <f>G18/E18</f>
        <v>0.79791764618746208</v>
      </c>
      <c r="I18">
        <f>SUM(I6:I17)</f>
        <v>69700620</v>
      </c>
      <c r="J18" s="28">
        <f>I18/G18</f>
        <v>0.29651116602353955</v>
      </c>
      <c r="K18">
        <f>SUM(K6:K17)</f>
        <v>115426390</v>
      </c>
      <c r="L18" s="28">
        <f>K18/G18</f>
        <v>0.4910316936748601</v>
      </c>
      <c r="M18" s="28">
        <f>J18+L18</f>
        <v>0.78754285969839966</v>
      </c>
    </row>
    <row r="19" spans="3:13" ht="17.100000000000001" customHeight="1" x14ac:dyDescent="0.25">
      <c r="J19" s="18"/>
      <c r="L19" s="18"/>
    </row>
    <row r="20" spans="3:13" ht="17.100000000000001" customHeight="1" x14ac:dyDescent="0.25">
      <c r="C20" s="2" t="s">
        <v>178</v>
      </c>
      <c r="D20" s="2" t="s">
        <v>181</v>
      </c>
      <c r="E20" s="2" t="s">
        <v>182</v>
      </c>
      <c r="F20" s="1"/>
      <c r="G20" s="1"/>
      <c r="I20" s="1" t="s">
        <v>182</v>
      </c>
      <c r="K20" s="1" t="s">
        <v>182</v>
      </c>
      <c r="L20" s="18"/>
    </row>
    <row r="21" spans="3:13" ht="17.100000000000001" customHeight="1" x14ac:dyDescent="0.25">
      <c r="C21" t="s">
        <v>179</v>
      </c>
      <c r="D21" s="19">
        <f>'Budget Analysis'!D52</f>
        <v>543664.68000000005</v>
      </c>
      <c r="E21" s="20">
        <f>D21/(E18/1000)</f>
        <v>1.8454131054363152</v>
      </c>
      <c r="F21" s="19"/>
      <c r="G21" s="19"/>
      <c r="I21" s="20">
        <f>E21</f>
        <v>1.8454131054363152</v>
      </c>
      <c r="K21" s="20">
        <f>E21</f>
        <v>1.8454131054363152</v>
      </c>
    </row>
    <row r="22" spans="3:13" ht="17.100000000000001" customHeight="1" x14ac:dyDescent="0.25">
      <c r="C22" t="s">
        <v>208</v>
      </c>
      <c r="D22" s="19">
        <f>'WTP Electric Usage'!H22</f>
        <v>74547.417600000015</v>
      </c>
      <c r="E22" s="20">
        <f>D22/(E18/1000)</f>
        <v>0.2530434410700983</v>
      </c>
      <c r="F22" s="19"/>
      <c r="G22" s="19"/>
      <c r="I22" s="20">
        <f>E22</f>
        <v>0.2530434410700983</v>
      </c>
      <c r="K22" s="20">
        <f>E22</f>
        <v>0.2530434410700983</v>
      </c>
    </row>
    <row r="23" spans="3:13" ht="17.100000000000001" customHeight="1" x14ac:dyDescent="0.25">
      <c r="C23" t="s">
        <v>180</v>
      </c>
      <c r="D23" s="19">
        <f>'Budget Analysis'!D88</f>
        <v>187893.65</v>
      </c>
      <c r="E23" s="20">
        <f>D23/(G18/1000)</f>
        <v>0.79931233394938006</v>
      </c>
      <c r="F23" s="19"/>
      <c r="G23" s="19" t="s">
        <v>187</v>
      </c>
      <c r="H23" s="25">
        <f>'Distribution Factor'!H30</f>
        <v>0.35</v>
      </c>
      <c r="I23" s="20">
        <f>E23*H23</f>
        <v>0.279759316882283</v>
      </c>
      <c r="K23" s="20">
        <f>E23*H23</f>
        <v>0.279759316882283</v>
      </c>
    </row>
    <row r="24" spans="3:13" ht="17.100000000000001" customHeight="1" x14ac:dyDescent="0.25">
      <c r="D24" s="24" t="s">
        <v>186</v>
      </c>
      <c r="E24" s="20">
        <f>SUM(E21:E23)</f>
        <v>2.8977688804557937</v>
      </c>
      <c r="F24" s="19"/>
      <c r="G24" s="19"/>
      <c r="I24" s="20">
        <f>SUM(I21:I23)</f>
        <v>2.3782158633886965</v>
      </c>
      <c r="K24" s="20">
        <f>SUM(K21:K23)</f>
        <v>2.3782158633886965</v>
      </c>
    </row>
    <row r="25" spans="3:13" ht="17.100000000000001" customHeight="1" x14ac:dyDescent="0.25">
      <c r="D25" s="24"/>
      <c r="E25" s="19"/>
      <c r="F25" s="51"/>
      <c r="G25" s="10"/>
      <c r="H25" s="10"/>
      <c r="I25" s="19"/>
      <c r="K25" s="19"/>
    </row>
    <row r="26" spans="3:13" ht="17.100000000000001" customHeight="1" x14ac:dyDescent="0.25">
      <c r="D26" s="19"/>
      <c r="E26" s="19"/>
      <c r="F26" s="19"/>
      <c r="G26" s="19"/>
    </row>
    <row r="27" spans="3:13" ht="17.100000000000001" customHeight="1" x14ac:dyDescent="0.25">
      <c r="C27" s="1" t="s">
        <v>160</v>
      </c>
      <c r="E27" s="16" t="s">
        <v>173</v>
      </c>
      <c r="F27" s="16" t="s">
        <v>184</v>
      </c>
      <c r="G27" s="16" t="s">
        <v>183</v>
      </c>
      <c r="H27" s="16"/>
      <c r="I27" s="16" t="s">
        <v>174</v>
      </c>
      <c r="J27" s="16"/>
      <c r="K27" s="16" t="s">
        <v>175</v>
      </c>
    </row>
    <row r="28" spans="3:13" ht="17.100000000000001" customHeight="1" x14ac:dyDescent="0.25">
      <c r="C28" s="143" t="s">
        <v>1</v>
      </c>
      <c r="D28" s="143"/>
      <c r="E28" s="21" t="s">
        <v>176</v>
      </c>
      <c r="F28" s="21" t="s">
        <v>185</v>
      </c>
      <c r="G28" s="21" t="s">
        <v>176</v>
      </c>
      <c r="H28" s="21"/>
      <c r="I28" s="21" t="s">
        <v>176</v>
      </c>
      <c r="J28" s="21"/>
      <c r="K28" s="21" t="s">
        <v>176</v>
      </c>
      <c r="L28" s="17"/>
      <c r="M28" t="s">
        <v>275</v>
      </c>
    </row>
    <row r="29" spans="3:13" ht="17.100000000000001" customHeight="1" x14ac:dyDescent="0.25">
      <c r="C29" t="s">
        <v>161</v>
      </c>
      <c r="E29">
        <v>27152400</v>
      </c>
      <c r="F29" s="26">
        <v>0.23300000000000001</v>
      </c>
      <c r="G29">
        <f>E29*(1-F29)</f>
        <v>20825890.800000001</v>
      </c>
      <c r="I29">
        <v>5682920</v>
      </c>
      <c r="J29" s="18">
        <f t="shared" ref="J29:J40" si="4">I29/G29</f>
        <v>0.27287764324587738</v>
      </c>
      <c r="K29">
        <v>11306112</v>
      </c>
      <c r="L29" s="18">
        <f t="shared" ref="L29:L40" si="5">K29/G29</f>
        <v>0.54288731793407841</v>
      </c>
      <c r="M29" s="101">
        <f>J29+L29</f>
        <v>0.81576496117995578</v>
      </c>
    </row>
    <row r="30" spans="3:13" ht="17.100000000000001" customHeight="1" x14ac:dyDescent="0.25">
      <c r="C30" t="s">
        <v>162</v>
      </c>
      <c r="E30">
        <v>27892800</v>
      </c>
      <c r="F30" s="26">
        <v>0.221</v>
      </c>
      <c r="G30">
        <f t="shared" ref="G30:G40" si="6">E30*(1-F30)</f>
        <v>21728491.199999999</v>
      </c>
      <c r="I30">
        <v>6387930</v>
      </c>
      <c r="J30" s="18">
        <f t="shared" si="4"/>
        <v>0.29398865946108582</v>
      </c>
      <c r="K30">
        <v>11290668</v>
      </c>
      <c r="L30" s="18">
        <f t="shared" si="5"/>
        <v>0.51962503498632251</v>
      </c>
      <c r="M30" s="18">
        <f t="shared" ref="M30:M40" si="7">J30+L30</f>
        <v>0.81361369444740839</v>
      </c>
    </row>
    <row r="31" spans="3:13" ht="17.100000000000001" customHeight="1" x14ac:dyDescent="0.25">
      <c r="C31" t="s">
        <v>163</v>
      </c>
      <c r="E31">
        <v>25784600</v>
      </c>
      <c r="F31" s="26">
        <v>0.224</v>
      </c>
      <c r="G31">
        <f t="shared" si="6"/>
        <v>20008849.600000001</v>
      </c>
      <c r="I31">
        <v>5739900</v>
      </c>
      <c r="J31" s="18">
        <f t="shared" si="4"/>
        <v>0.28686806661788289</v>
      </c>
      <c r="K31">
        <v>10135130</v>
      </c>
      <c r="L31" s="18">
        <f t="shared" si="5"/>
        <v>0.50653236955711833</v>
      </c>
      <c r="M31" s="18">
        <f t="shared" si="7"/>
        <v>0.79340043617500122</v>
      </c>
    </row>
    <row r="32" spans="3:13" ht="17.100000000000001" customHeight="1" x14ac:dyDescent="0.25">
      <c r="C32" t="s">
        <v>164</v>
      </c>
      <c r="E32">
        <v>24459408</v>
      </c>
      <c r="F32" s="26">
        <v>0.219</v>
      </c>
      <c r="G32">
        <f t="shared" si="6"/>
        <v>19102797.648000002</v>
      </c>
      <c r="I32">
        <v>6132610</v>
      </c>
      <c r="J32" s="18">
        <f t="shared" si="4"/>
        <v>0.32103203483611542</v>
      </c>
      <c r="K32">
        <v>9298880</v>
      </c>
      <c r="L32" s="18">
        <f t="shared" si="5"/>
        <v>0.48678105539025907</v>
      </c>
      <c r="M32" s="18">
        <f t="shared" si="7"/>
        <v>0.80781309022637449</v>
      </c>
    </row>
    <row r="33" spans="3:13" ht="17.100000000000001" customHeight="1" x14ac:dyDescent="0.25">
      <c r="C33" t="s">
        <v>165</v>
      </c>
      <c r="E33">
        <v>23542500</v>
      </c>
      <c r="F33" s="26">
        <v>0.14899999999999999</v>
      </c>
      <c r="G33">
        <f t="shared" si="6"/>
        <v>20034667.5</v>
      </c>
      <c r="I33">
        <v>5280510</v>
      </c>
      <c r="J33" s="18">
        <f t="shared" si="4"/>
        <v>0.26356863671433528</v>
      </c>
      <c r="K33">
        <v>8976830</v>
      </c>
      <c r="L33" s="18">
        <f t="shared" si="5"/>
        <v>0.44806483561556487</v>
      </c>
      <c r="M33" s="18">
        <f t="shared" si="7"/>
        <v>0.71163347232990015</v>
      </c>
    </row>
    <row r="34" spans="3:13" ht="17.100000000000001" customHeight="1" x14ac:dyDescent="0.25">
      <c r="C34" t="s">
        <v>166</v>
      </c>
      <c r="E34">
        <v>25162600</v>
      </c>
      <c r="F34" s="26">
        <v>0.22</v>
      </c>
      <c r="G34">
        <f t="shared" si="6"/>
        <v>19626828</v>
      </c>
      <c r="I34">
        <v>5445240</v>
      </c>
      <c r="J34" s="18">
        <f t="shared" si="4"/>
        <v>0.2774386161635492</v>
      </c>
      <c r="K34">
        <v>9516522</v>
      </c>
      <c r="L34" s="18">
        <f t="shared" si="5"/>
        <v>0.48487315423562077</v>
      </c>
      <c r="M34" s="18">
        <f t="shared" si="7"/>
        <v>0.76231177039916997</v>
      </c>
    </row>
    <row r="35" spans="3:13" ht="17.100000000000001" customHeight="1" x14ac:dyDescent="0.25">
      <c r="C35" t="s">
        <v>167</v>
      </c>
      <c r="E35">
        <v>26477500</v>
      </c>
      <c r="F35" s="26">
        <v>0.14599999999999999</v>
      </c>
      <c r="G35">
        <f t="shared" si="6"/>
        <v>22611785</v>
      </c>
      <c r="I35">
        <v>5712670</v>
      </c>
      <c r="J35" s="18">
        <f t="shared" si="4"/>
        <v>0.25264126649001839</v>
      </c>
      <c r="K35">
        <v>9976638</v>
      </c>
      <c r="L35" s="18">
        <f t="shared" si="5"/>
        <v>0.44121408371784893</v>
      </c>
      <c r="M35" s="18">
        <f t="shared" si="7"/>
        <v>0.69385535020786726</v>
      </c>
    </row>
    <row r="36" spans="3:13" ht="17.100000000000001" customHeight="1" x14ac:dyDescent="0.25">
      <c r="C36" t="s">
        <v>168</v>
      </c>
      <c r="E36">
        <v>23080800</v>
      </c>
      <c r="F36" s="26">
        <v>0.186</v>
      </c>
      <c r="G36">
        <f t="shared" si="6"/>
        <v>18787771.200000003</v>
      </c>
      <c r="I36">
        <v>6059530</v>
      </c>
      <c r="J36" s="18">
        <f t="shared" si="4"/>
        <v>0.32252521789279609</v>
      </c>
      <c r="K36">
        <v>8712230</v>
      </c>
      <c r="L36" s="18">
        <f t="shared" si="5"/>
        <v>0.46371812320132993</v>
      </c>
      <c r="M36" s="18">
        <f t="shared" si="7"/>
        <v>0.78624334109412608</v>
      </c>
    </row>
    <row r="37" spans="3:13" ht="17.100000000000001" customHeight="1" x14ac:dyDescent="0.25">
      <c r="C37" t="s">
        <v>169</v>
      </c>
      <c r="E37">
        <v>24809500</v>
      </c>
      <c r="F37" s="26">
        <v>0.26</v>
      </c>
      <c r="G37">
        <f t="shared" si="6"/>
        <v>18359030</v>
      </c>
      <c r="I37">
        <v>5329150</v>
      </c>
      <c r="J37" s="18">
        <f t="shared" si="4"/>
        <v>0.29027405042641141</v>
      </c>
      <c r="K37">
        <v>9442390</v>
      </c>
      <c r="L37" s="18">
        <f t="shared" si="5"/>
        <v>0.5143185669395387</v>
      </c>
      <c r="M37" s="18">
        <f t="shared" si="7"/>
        <v>0.80459261736595011</v>
      </c>
    </row>
    <row r="38" spans="3:13" ht="17.100000000000001" customHeight="1" x14ac:dyDescent="0.25">
      <c r="C38" t="s">
        <v>170</v>
      </c>
      <c r="E38">
        <v>23898700</v>
      </c>
      <c r="F38" s="26">
        <v>0.20599999999999999</v>
      </c>
      <c r="G38">
        <f t="shared" si="6"/>
        <v>18975567.800000001</v>
      </c>
      <c r="I38">
        <v>5687020</v>
      </c>
      <c r="J38" s="18">
        <f t="shared" si="4"/>
        <v>0.29970223078120484</v>
      </c>
      <c r="K38">
        <v>9174953</v>
      </c>
      <c r="L38" s="18">
        <f t="shared" si="5"/>
        <v>0.48351401637636371</v>
      </c>
      <c r="M38" s="18">
        <f t="shared" si="7"/>
        <v>0.78321624715756855</v>
      </c>
    </row>
    <row r="39" spans="3:13" ht="17.100000000000001" customHeight="1" x14ac:dyDescent="0.25">
      <c r="C39" t="s">
        <v>171</v>
      </c>
      <c r="E39">
        <v>27072300</v>
      </c>
      <c r="F39" s="26">
        <v>0.21099999999999999</v>
      </c>
      <c r="G39">
        <f t="shared" si="6"/>
        <v>21360044.699999999</v>
      </c>
      <c r="I39">
        <v>5687020</v>
      </c>
      <c r="J39" s="18">
        <f t="shared" si="4"/>
        <v>0.26624569751017424</v>
      </c>
      <c r="K39">
        <v>10941547</v>
      </c>
      <c r="L39" s="18">
        <f t="shared" si="5"/>
        <v>0.51224363776729365</v>
      </c>
      <c r="M39" s="18">
        <f t="shared" si="7"/>
        <v>0.77848933527746789</v>
      </c>
    </row>
    <row r="40" spans="3:13" ht="17.100000000000001" customHeight="1" x14ac:dyDescent="0.25">
      <c r="C40" s="17" t="s">
        <v>172</v>
      </c>
      <c r="D40" s="17"/>
      <c r="E40" s="17">
        <v>26735400</v>
      </c>
      <c r="F40" s="27">
        <v>0.28499999999999998</v>
      </c>
      <c r="G40" s="17">
        <f t="shared" si="6"/>
        <v>19115811.000000004</v>
      </c>
      <c r="H40" s="17"/>
      <c r="I40" s="17">
        <v>5973060</v>
      </c>
      <c r="J40" s="100">
        <f t="shared" si="4"/>
        <v>0.31246699394548305</v>
      </c>
      <c r="K40" s="17">
        <v>11426510</v>
      </c>
      <c r="L40" s="100">
        <f t="shared" si="5"/>
        <v>0.59775177731146212</v>
      </c>
      <c r="M40" s="100">
        <f t="shared" si="7"/>
        <v>0.91021877125694517</v>
      </c>
    </row>
    <row r="41" spans="3:13" ht="17.100000000000001" customHeight="1" x14ac:dyDescent="0.25">
      <c r="C41" t="s">
        <v>177</v>
      </c>
      <c r="E41">
        <f>SUM(E29:E40)</f>
        <v>306068508</v>
      </c>
      <c r="F41" s="18">
        <f>AVERAGE(F29:F40)</f>
        <v>0.21333333333333335</v>
      </c>
      <c r="G41">
        <f>SUM(G29:G40)</f>
        <v>240537534.44800001</v>
      </c>
      <c r="H41" s="18">
        <f>G41/E41</f>
        <v>0.78589442611978888</v>
      </c>
      <c r="I41">
        <f>SUM(I29:I40)</f>
        <v>69117560</v>
      </c>
      <c r="J41" s="28">
        <f>I41/G41</f>
        <v>0.28734625620327875</v>
      </c>
      <c r="K41">
        <f>SUM(K29:K40)</f>
        <v>120198410</v>
      </c>
      <c r="L41" s="28">
        <f>K41/G41</f>
        <v>0.49970750002006353</v>
      </c>
      <c r="M41" s="28">
        <f>J41+L41</f>
        <v>0.78705375622334228</v>
      </c>
    </row>
    <row r="42" spans="3:13" ht="17.100000000000001" customHeight="1" x14ac:dyDescent="0.25">
      <c r="J42" s="18"/>
      <c r="L42" s="18"/>
    </row>
    <row r="43" spans="3:13" ht="17.100000000000001" customHeight="1" x14ac:dyDescent="0.25">
      <c r="C43" s="1" t="s">
        <v>178</v>
      </c>
      <c r="D43" s="1" t="s">
        <v>181</v>
      </c>
      <c r="E43" s="1" t="s">
        <v>182</v>
      </c>
      <c r="F43" s="1"/>
      <c r="G43" s="1"/>
      <c r="I43" s="1" t="s">
        <v>182</v>
      </c>
      <c r="K43" s="1" t="s">
        <v>182</v>
      </c>
    </row>
    <row r="44" spans="3:13" ht="17.100000000000001" customHeight="1" x14ac:dyDescent="0.25">
      <c r="C44" t="s">
        <v>179</v>
      </c>
      <c r="D44" s="19">
        <f>'Budget Analysis'!F52</f>
        <v>592399.7699999999</v>
      </c>
      <c r="E44" s="20">
        <f>D44/(E41/1000)</f>
        <v>1.9355136334379097</v>
      </c>
      <c r="F44" s="19"/>
      <c r="G44" s="19"/>
      <c r="I44" s="20">
        <f>E44</f>
        <v>1.9355136334379097</v>
      </c>
      <c r="K44" s="20">
        <f>E44</f>
        <v>1.9355136334379097</v>
      </c>
    </row>
    <row r="45" spans="3:13" ht="17.100000000000001" customHeight="1" x14ac:dyDescent="0.25">
      <c r="C45" t="s">
        <v>208</v>
      </c>
      <c r="D45" s="19">
        <f>'WTP Electric Usage'!H35</f>
        <v>74632.857600000003</v>
      </c>
      <c r="E45" s="20">
        <f>D45/(E41/1000)</f>
        <v>0.24384363516419014</v>
      </c>
      <c r="F45" s="19"/>
      <c r="G45" s="19"/>
      <c r="I45" s="20">
        <f>E45</f>
        <v>0.24384363516419014</v>
      </c>
      <c r="K45" s="20">
        <f>E45</f>
        <v>0.24384363516419014</v>
      </c>
    </row>
    <row r="46" spans="3:13" ht="17.100000000000001" customHeight="1" x14ac:dyDescent="0.25">
      <c r="C46" t="s">
        <v>180</v>
      </c>
      <c r="D46" s="19">
        <f>'Budget Analysis'!F88</f>
        <v>172482.82999999996</v>
      </c>
      <c r="E46" s="20">
        <f>D46/(G41/1000)</f>
        <v>0.71707241198686067</v>
      </c>
      <c r="F46" s="19"/>
      <c r="G46" s="19" t="s">
        <v>187</v>
      </c>
      <c r="H46" s="25">
        <f>'Distribution Factor'!H30</f>
        <v>0.35</v>
      </c>
      <c r="I46" s="20">
        <f>E46*H46</f>
        <v>0.25097534419540124</v>
      </c>
      <c r="K46" s="20">
        <f>E46*H46</f>
        <v>0.25097534419540124</v>
      </c>
    </row>
    <row r="47" spans="3:13" ht="17.100000000000001" customHeight="1" x14ac:dyDescent="0.25">
      <c r="D47" s="24" t="s">
        <v>186</v>
      </c>
      <c r="E47" s="20">
        <f>SUM(E44:E46)</f>
        <v>2.8964296805889602</v>
      </c>
      <c r="F47" s="19"/>
      <c r="G47" s="19"/>
      <c r="I47" s="20">
        <f>SUM(I44:I46)</f>
        <v>2.4303326127975007</v>
      </c>
      <c r="K47" s="20">
        <f>SUM(K44:K46)</f>
        <v>2.4303326127975007</v>
      </c>
    </row>
    <row r="48" spans="3:13" ht="17.100000000000001" customHeight="1" x14ac:dyDescent="0.25">
      <c r="F48" s="51"/>
      <c r="G48" s="10"/>
      <c r="H48" s="10"/>
    </row>
    <row r="49" spans="3:13" ht="17.100000000000001" customHeight="1" x14ac:dyDescent="0.25"/>
    <row r="50" spans="3:13" ht="17.100000000000001" customHeight="1" x14ac:dyDescent="0.25">
      <c r="C50" s="1" t="s">
        <v>160</v>
      </c>
      <c r="E50" s="16" t="s">
        <v>173</v>
      </c>
      <c r="F50" s="16" t="s">
        <v>184</v>
      </c>
      <c r="G50" s="16" t="s">
        <v>183</v>
      </c>
      <c r="H50" s="16"/>
      <c r="I50" s="16" t="s">
        <v>174</v>
      </c>
      <c r="J50" s="16"/>
      <c r="K50" s="16" t="s">
        <v>175</v>
      </c>
    </row>
    <row r="51" spans="3:13" ht="17.100000000000001" customHeight="1" x14ac:dyDescent="0.25">
      <c r="C51" s="143" t="s">
        <v>2</v>
      </c>
      <c r="D51" s="143"/>
      <c r="E51" s="21" t="s">
        <v>176</v>
      </c>
      <c r="F51" s="21" t="s">
        <v>185</v>
      </c>
      <c r="G51" s="21" t="s">
        <v>176</v>
      </c>
      <c r="H51" s="21"/>
      <c r="I51" s="21" t="s">
        <v>176</v>
      </c>
      <c r="J51" s="21"/>
      <c r="K51" s="21" t="s">
        <v>176</v>
      </c>
      <c r="L51" s="17"/>
      <c r="M51" t="s">
        <v>275</v>
      </c>
    </row>
    <row r="52" spans="3:13" ht="17.100000000000001" customHeight="1" x14ac:dyDescent="0.25">
      <c r="C52" t="s">
        <v>161</v>
      </c>
      <c r="E52">
        <v>28230390</v>
      </c>
      <c r="F52" s="26">
        <v>0.17199999999999999</v>
      </c>
      <c r="G52">
        <f>E52*(1-F52)</f>
        <v>23374762.920000002</v>
      </c>
      <c r="I52">
        <v>7226050</v>
      </c>
      <c r="J52" s="18">
        <f t="shared" ref="J52:J63" si="8">I52/G52</f>
        <v>0.30913896430655219</v>
      </c>
      <c r="K52">
        <v>12174570</v>
      </c>
      <c r="L52" s="18">
        <f t="shared" ref="L52:L63" si="9">K52/G52</f>
        <v>0.52084250187552272</v>
      </c>
      <c r="M52" s="101">
        <f>J52+L52</f>
        <v>0.82998146618207491</v>
      </c>
    </row>
    <row r="53" spans="3:13" ht="17.100000000000001" customHeight="1" x14ac:dyDescent="0.25">
      <c r="C53" t="s">
        <v>162</v>
      </c>
      <c r="E53">
        <v>24092000</v>
      </c>
      <c r="F53" s="26">
        <v>7.4999999999999997E-2</v>
      </c>
      <c r="G53">
        <f t="shared" ref="G53:G63" si="10">E53*(1-F53)</f>
        <v>22285100</v>
      </c>
      <c r="I53">
        <v>6607410</v>
      </c>
      <c r="J53" s="18">
        <f t="shared" si="8"/>
        <v>0.29649451875917093</v>
      </c>
      <c r="K53">
        <v>11006520</v>
      </c>
      <c r="L53" s="18">
        <f t="shared" si="9"/>
        <v>0.49389592149014366</v>
      </c>
      <c r="M53" s="18">
        <f t="shared" ref="M53:M63" si="11">J53+L53</f>
        <v>0.7903904402493146</v>
      </c>
    </row>
    <row r="54" spans="3:13" ht="17.100000000000001" customHeight="1" x14ac:dyDescent="0.25">
      <c r="C54" t="s">
        <v>163</v>
      </c>
      <c r="E54">
        <v>24519500</v>
      </c>
      <c r="F54" s="26">
        <v>0.28000000000000003</v>
      </c>
      <c r="G54">
        <f t="shared" si="10"/>
        <v>17654040</v>
      </c>
      <c r="I54">
        <v>2630750</v>
      </c>
      <c r="J54" s="18">
        <f t="shared" si="8"/>
        <v>0.14901688225471338</v>
      </c>
      <c r="K54">
        <v>10328432</v>
      </c>
      <c r="L54" s="18">
        <f t="shared" si="9"/>
        <v>0.58504636898976103</v>
      </c>
      <c r="M54" s="18">
        <f t="shared" si="11"/>
        <v>0.73406325124447447</v>
      </c>
    </row>
    <row r="55" spans="3:13" ht="17.100000000000001" customHeight="1" x14ac:dyDescent="0.25">
      <c r="C55" t="s">
        <v>164</v>
      </c>
      <c r="E55">
        <v>30771800</v>
      </c>
      <c r="F55" s="26">
        <v>0.32800000000000001</v>
      </c>
      <c r="G55">
        <f t="shared" si="10"/>
        <v>20678649.599999998</v>
      </c>
      <c r="I55">
        <v>5795230</v>
      </c>
      <c r="J55" s="18">
        <f t="shared" si="8"/>
        <v>0.28025185938640795</v>
      </c>
      <c r="K55">
        <v>10826448</v>
      </c>
      <c r="L55" s="18">
        <f t="shared" si="9"/>
        <v>0.52355681871992266</v>
      </c>
      <c r="M55" s="18">
        <f t="shared" si="11"/>
        <v>0.80380867810633061</v>
      </c>
    </row>
    <row r="56" spans="3:13" ht="17.100000000000001" customHeight="1" x14ac:dyDescent="0.25">
      <c r="C56" t="s">
        <v>165</v>
      </c>
      <c r="E56">
        <v>24626200</v>
      </c>
      <c r="F56" s="26">
        <v>0.215</v>
      </c>
      <c r="G56">
        <f t="shared" si="10"/>
        <v>19331567</v>
      </c>
      <c r="I56">
        <v>5387070</v>
      </c>
      <c r="J56" s="18">
        <f t="shared" si="8"/>
        <v>0.27866701131884447</v>
      </c>
      <c r="K56">
        <v>10059090</v>
      </c>
      <c r="L56" s="18">
        <f t="shared" si="9"/>
        <v>0.52034529844373201</v>
      </c>
      <c r="M56" s="18">
        <f t="shared" si="11"/>
        <v>0.79901230976257653</v>
      </c>
    </row>
    <row r="57" spans="3:13" ht="17.100000000000001" customHeight="1" x14ac:dyDescent="0.25">
      <c r="C57" t="s">
        <v>166</v>
      </c>
      <c r="E57">
        <v>27151500</v>
      </c>
      <c r="F57" s="26">
        <v>0.20200000000000001</v>
      </c>
      <c r="G57">
        <f t="shared" si="10"/>
        <v>21666897</v>
      </c>
      <c r="I57">
        <v>5984410</v>
      </c>
      <c r="J57" s="18">
        <f t="shared" si="8"/>
        <v>0.2762006022366747</v>
      </c>
      <c r="K57">
        <v>11070170</v>
      </c>
      <c r="L57" s="18">
        <f t="shared" si="9"/>
        <v>0.51092549154592837</v>
      </c>
      <c r="M57" s="18">
        <f t="shared" si="11"/>
        <v>0.78712609378260301</v>
      </c>
    </row>
    <row r="58" spans="3:13" ht="17.100000000000001" customHeight="1" x14ac:dyDescent="0.25">
      <c r="C58" t="s">
        <v>167</v>
      </c>
      <c r="E58">
        <v>26872400</v>
      </c>
      <c r="F58" s="26">
        <v>0.16600000000000001</v>
      </c>
      <c r="G58">
        <f t="shared" si="10"/>
        <v>22411581.599999998</v>
      </c>
      <c r="I58">
        <v>6208540</v>
      </c>
      <c r="J58" s="18">
        <f t="shared" si="8"/>
        <v>0.27702373312198547</v>
      </c>
      <c r="K58">
        <v>10288050</v>
      </c>
      <c r="L58" s="18">
        <f t="shared" si="9"/>
        <v>0.45905060087325567</v>
      </c>
      <c r="M58" s="18">
        <f t="shared" si="11"/>
        <v>0.73607433399524114</v>
      </c>
    </row>
    <row r="59" spans="3:13" ht="17.100000000000001" customHeight="1" x14ac:dyDescent="0.25">
      <c r="C59" t="s">
        <v>168</v>
      </c>
      <c r="E59">
        <v>22164600</v>
      </c>
      <c r="F59" s="26">
        <v>0.13500000000000001</v>
      </c>
      <c r="G59">
        <f t="shared" si="10"/>
        <v>19172379</v>
      </c>
      <c r="I59">
        <v>6591790</v>
      </c>
      <c r="J59" s="18">
        <f t="shared" si="8"/>
        <v>0.34381700883338473</v>
      </c>
      <c r="K59">
        <v>8542430</v>
      </c>
      <c r="L59" s="18">
        <f t="shared" si="9"/>
        <v>0.44555920785834663</v>
      </c>
      <c r="M59" s="18">
        <f t="shared" si="11"/>
        <v>0.7893762166917313</v>
      </c>
    </row>
    <row r="60" spans="3:13" ht="17.100000000000001" customHeight="1" x14ac:dyDescent="0.25">
      <c r="C60" t="s">
        <v>169</v>
      </c>
      <c r="E60">
        <v>23450090</v>
      </c>
      <c r="F60" s="26">
        <v>0.214</v>
      </c>
      <c r="G60">
        <f t="shared" si="10"/>
        <v>18431770.740000002</v>
      </c>
      <c r="I60">
        <v>5055640</v>
      </c>
      <c r="J60" s="18">
        <f t="shared" si="8"/>
        <v>0.27428943595898914</v>
      </c>
      <c r="K60">
        <v>9417030</v>
      </c>
      <c r="L60" s="18">
        <f t="shared" si="9"/>
        <v>0.51091293033302987</v>
      </c>
      <c r="M60" s="18">
        <f t="shared" si="11"/>
        <v>0.78520236629201901</v>
      </c>
    </row>
    <row r="61" spans="3:13" ht="17.100000000000001" customHeight="1" x14ac:dyDescent="0.25">
      <c r="C61" t="s">
        <v>170</v>
      </c>
      <c r="E61">
        <v>23326400</v>
      </c>
      <c r="F61" s="26">
        <v>0.153</v>
      </c>
      <c r="G61">
        <f t="shared" si="10"/>
        <v>19757460.800000001</v>
      </c>
      <c r="I61">
        <v>6122910</v>
      </c>
      <c r="J61" s="18">
        <f t="shared" si="8"/>
        <v>0.3099036896482163</v>
      </c>
      <c r="K61">
        <v>9744260</v>
      </c>
      <c r="L61" s="18">
        <f t="shared" si="9"/>
        <v>0.49319394322169169</v>
      </c>
      <c r="M61" s="18">
        <f t="shared" si="11"/>
        <v>0.80309763286990798</v>
      </c>
    </row>
    <row r="62" spans="3:13" ht="17.100000000000001" customHeight="1" x14ac:dyDescent="0.25">
      <c r="C62" t="s">
        <v>171</v>
      </c>
      <c r="E62">
        <v>26647600</v>
      </c>
      <c r="F62" s="26">
        <v>0.157</v>
      </c>
      <c r="G62">
        <f t="shared" si="10"/>
        <v>22463926.800000001</v>
      </c>
      <c r="I62">
        <v>5745770</v>
      </c>
      <c r="J62" s="18">
        <f t="shared" si="8"/>
        <v>0.25577763189648567</v>
      </c>
      <c r="K62">
        <v>11713750</v>
      </c>
      <c r="L62" s="18">
        <f t="shared" si="9"/>
        <v>0.52144712294913642</v>
      </c>
      <c r="M62" s="18">
        <f t="shared" si="11"/>
        <v>0.77722475484562215</v>
      </c>
    </row>
    <row r="63" spans="3:13" ht="17.100000000000001" customHeight="1" x14ac:dyDescent="0.25">
      <c r="C63" s="17" t="s">
        <v>172</v>
      </c>
      <c r="D63" s="17"/>
      <c r="E63" s="17">
        <v>25725600</v>
      </c>
      <c r="F63" s="27">
        <v>0.09</v>
      </c>
      <c r="G63" s="17">
        <f t="shared" si="10"/>
        <v>23410296</v>
      </c>
      <c r="H63" s="17"/>
      <c r="I63" s="17">
        <v>7230400</v>
      </c>
      <c r="J63" s="100">
        <f t="shared" si="8"/>
        <v>0.30885555654657249</v>
      </c>
      <c r="K63" s="17">
        <v>11388179</v>
      </c>
      <c r="L63" s="100">
        <f t="shared" si="9"/>
        <v>0.48646027371887995</v>
      </c>
      <c r="M63" s="100">
        <f t="shared" si="11"/>
        <v>0.79531583026545238</v>
      </c>
    </row>
    <row r="64" spans="3:13" ht="17.100000000000001" customHeight="1" x14ac:dyDescent="0.25">
      <c r="C64" t="s">
        <v>177</v>
      </c>
      <c r="E64">
        <f>SUM(E52:E63)</f>
        <v>307578080</v>
      </c>
      <c r="F64" s="18">
        <f>AVERAGE(F52:F63)</f>
        <v>0.18225</v>
      </c>
      <c r="G64">
        <f>SUM(G52:G63)</f>
        <v>250638431.46000004</v>
      </c>
      <c r="H64" s="18">
        <f>G64/E64</f>
        <v>0.81487741733741248</v>
      </c>
      <c r="I64">
        <f>SUM(I52:I63)</f>
        <v>70585970</v>
      </c>
      <c r="J64" s="28">
        <f>I64/G64</f>
        <v>0.28162468775769123</v>
      </c>
      <c r="K64">
        <f>SUM(K52:K63)</f>
        <v>126558929</v>
      </c>
      <c r="L64" s="28">
        <f>K64/G64</f>
        <v>0.50494622178561566</v>
      </c>
      <c r="M64" s="28">
        <f>J64+L64</f>
        <v>0.78657090954330688</v>
      </c>
    </row>
    <row r="65" spans="3:13" ht="17.100000000000001" customHeight="1" x14ac:dyDescent="0.25">
      <c r="J65" s="18"/>
      <c r="L65" s="18"/>
    </row>
    <row r="66" spans="3:13" ht="17.100000000000001" customHeight="1" x14ac:dyDescent="0.25">
      <c r="C66" s="1" t="s">
        <v>178</v>
      </c>
      <c r="D66" s="1" t="s">
        <v>181</v>
      </c>
      <c r="E66" s="1" t="s">
        <v>182</v>
      </c>
      <c r="F66" s="1"/>
      <c r="G66" s="1"/>
      <c r="I66" s="1" t="s">
        <v>182</v>
      </c>
      <c r="K66" s="1" t="s">
        <v>182</v>
      </c>
    </row>
    <row r="67" spans="3:13" ht="17.100000000000001" customHeight="1" x14ac:dyDescent="0.25">
      <c r="C67" t="s">
        <v>179</v>
      </c>
      <c r="D67" s="19">
        <f>'Budget Analysis'!H52</f>
        <v>583565.24</v>
      </c>
      <c r="E67" s="20">
        <f>D67/(E64/1000)</f>
        <v>1.8972913804520788</v>
      </c>
      <c r="F67" s="19"/>
      <c r="G67" s="19"/>
      <c r="I67" s="20">
        <f>E67</f>
        <v>1.8972913804520788</v>
      </c>
      <c r="K67" s="20">
        <f>E67</f>
        <v>1.8972913804520788</v>
      </c>
    </row>
    <row r="68" spans="3:13" ht="17.100000000000001" customHeight="1" x14ac:dyDescent="0.25">
      <c r="C68" t="s">
        <v>208</v>
      </c>
      <c r="D68" s="19">
        <f>'WTP Electric Usage'!H48</f>
        <v>76476.777600000016</v>
      </c>
      <c r="E68" s="20">
        <f>D68/(E64/1000)</f>
        <v>0.24864183299408077</v>
      </c>
      <c r="F68" s="19"/>
      <c r="G68" s="19"/>
      <c r="I68" s="20">
        <f>E68</f>
        <v>0.24864183299408077</v>
      </c>
      <c r="K68" s="20">
        <f>E68</f>
        <v>0.24864183299408077</v>
      </c>
    </row>
    <row r="69" spans="3:13" ht="17.100000000000001" customHeight="1" x14ac:dyDescent="0.25">
      <c r="C69" t="s">
        <v>180</v>
      </c>
      <c r="D69" s="19">
        <f>'Budget Analysis'!H88</f>
        <v>225762.58000000002</v>
      </c>
      <c r="E69" s="20">
        <f>D69/(G64/1000)</f>
        <v>0.90075005131856634</v>
      </c>
      <c r="F69" s="19"/>
      <c r="G69" s="19" t="s">
        <v>187</v>
      </c>
      <c r="H69" s="25">
        <v>0.35</v>
      </c>
      <c r="I69" s="20">
        <f>E69*H69</f>
        <v>0.31526251796149818</v>
      </c>
      <c r="K69" s="20">
        <f>E69*H69</f>
        <v>0.31526251796149818</v>
      </c>
    </row>
    <row r="70" spans="3:13" ht="17.100000000000001" customHeight="1" x14ac:dyDescent="0.25">
      <c r="D70" s="24" t="s">
        <v>186</v>
      </c>
      <c r="E70" s="20">
        <f>SUM(E67:E69)</f>
        <v>3.046683264764726</v>
      </c>
      <c r="I70" s="20">
        <f>SUM(I67:I69)</f>
        <v>2.461195731407658</v>
      </c>
      <c r="K70" s="20">
        <f>SUM(K67:K69)</f>
        <v>2.461195731407658</v>
      </c>
    </row>
    <row r="71" spans="3:13" ht="17.100000000000001" customHeight="1" x14ac:dyDescent="0.25">
      <c r="F71" s="51"/>
      <c r="G71" s="10"/>
      <c r="H71" s="10"/>
    </row>
    <row r="72" spans="3:13" ht="17.100000000000001" customHeight="1" x14ac:dyDescent="0.25"/>
    <row r="73" spans="3:13" ht="17.100000000000001" customHeight="1" x14ac:dyDescent="0.25"/>
    <row r="74" spans="3:13" ht="17.100000000000001" customHeight="1" x14ac:dyDescent="0.25"/>
    <row r="75" spans="3:13" ht="17.100000000000001" customHeight="1" x14ac:dyDescent="0.25">
      <c r="C75" s="1" t="s">
        <v>199</v>
      </c>
    </row>
    <row r="76" spans="3:13" ht="17.100000000000001" customHeight="1" x14ac:dyDescent="0.25">
      <c r="C76" s="1" t="s">
        <v>160</v>
      </c>
      <c r="E76" s="16" t="s">
        <v>173</v>
      </c>
      <c r="F76" s="16" t="s">
        <v>209</v>
      </c>
      <c r="G76" s="16" t="s">
        <v>183</v>
      </c>
      <c r="H76" s="16"/>
      <c r="I76" s="16" t="s">
        <v>174</v>
      </c>
      <c r="J76" s="16"/>
      <c r="K76" s="16" t="s">
        <v>175</v>
      </c>
    </row>
    <row r="77" spans="3:13" ht="17.100000000000001" customHeight="1" x14ac:dyDescent="0.25">
      <c r="C77" s="143" t="s">
        <v>195</v>
      </c>
      <c r="D77" s="143"/>
      <c r="E77" s="21" t="s">
        <v>176</v>
      </c>
      <c r="F77" s="21" t="s">
        <v>185</v>
      </c>
      <c r="G77" s="21" t="s">
        <v>176</v>
      </c>
      <c r="H77" s="21"/>
      <c r="I77" s="21" t="s">
        <v>176</v>
      </c>
      <c r="J77" s="21"/>
      <c r="K77" s="21" t="s">
        <v>176</v>
      </c>
      <c r="L77" s="17"/>
    </row>
    <row r="78" spans="3:13" ht="17.100000000000001" customHeight="1" x14ac:dyDescent="0.25">
      <c r="C78" s="33" t="s">
        <v>200</v>
      </c>
      <c r="D78" s="33"/>
      <c r="E78" s="34">
        <f>AVERAGE(E18,E41,E64)</f>
        <v>302749942.66666669</v>
      </c>
      <c r="F78" s="102">
        <f>AVERAGE(F18,F41,F64)</f>
        <v>0.19872222222222224</v>
      </c>
      <c r="G78" s="34">
        <f>E78*(1-F78)</f>
        <v>242586801.2822963</v>
      </c>
      <c r="H78" s="33"/>
      <c r="I78" s="33">
        <f>AVERAGE(I18,I41,I64)</f>
        <v>69801383.333333328</v>
      </c>
      <c r="J78" s="103">
        <f>I78/G78</f>
        <v>0.28773776217159491</v>
      </c>
      <c r="K78" s="33">
        <f>AVERAGE(K18,K41,K64)</f>
        <v>120727909.66666667</v>
      </c>
      <c r="L78" s="103">
        <f>K78/G78</f>
        <v>0.49766891285308051</v>
      </c>
      <c r="M78" s="103">
        <f>J78+L78</f>
        <v>0.78540667502467543</v>
      </c>
    </row>
    <row r="79" spans="3:13" ht="17.100000000000001" customHeight="1" x14ac:dyDescent="0.25"/>
    <row r="80" spans="3:13" ht="17.100000000000001" customHeight="1" x14ac:dyDescent="0.25">
      <c r="C80" s="1" t="s">
        <v>178</v>
      </c>
      <c r="D80" s="1" t="s">
        <v>181</v>
      </c>
      <c r="E80" s="1" t="s">
        <v>182</v>
      </c>
      <c r="F80" s="1"/>
      <c r="G80" s="1"/>
      <c r="I80" s="1" t="s">
        <v>182</v>
      </c>
      <c r="K80" s="1" t="s">
        <v>182</v>
      </c>
    </row>
    <row r="81" spans="3:11" ht="17.100000000000001" customHeight="1" x14ac:dyDescent="0.25">
      <c r="C81" t="s">
        <v>272</v>
      </c>
      <c r="D81" s="19">
        <f>'Budget Analysis'!I52</f>
        <v>626179</v>
      </c>
      <c r="E81" s="20">
        <f>D81/(E78/1000)</f>
        <v>2.0683042727754857</v>
      </c>
      <c r="F81" s="19"/>
      <c r="G81" s="19"/>
      <c r="I81" s="20">
        <f>E81</f>
        <v>2.0683042727754857</v>
      </c>
      <c r="K81" s="20">
        <f>E81</f>
        <v>2.0683042727754857</v>
      </c>
    </row>
    <row r="82" spans="3:11" ht="17.100000000000001" customHeight="1" x14ac:dyDescent="0.25">
      <c r="C82" t="s">
        <v>273</v>
      </c>
      <c r="D82" s="19">
        <f>'WTP Electric Usage'!M50</f>
        <v>75990.240000000005</v>
      </c>
      <c r="E82" s="20">
        <f>D82/(E78/1000)</f>
        <v>0.25100001450261766</v>
      </c>
      <c r="F82" s="19"/>
      <c r="G82" s="19"/>
      <c r="I82" s="20">
        <f>E82</f>
        <v>0.25100001450261766</v>
      </c>
      <c r="K82" s="20">
        <f>E82</f>
        <v>0.25100001450261766</v>
      </c>
    </row>
    <row r="83" spans="3:11" ht="17.100000000000001" customHeight="1" x14ac:dyDescent="0.25">
      <c r="C83" t="s">
        <v>274</v>
      </c>
      <c r="D83" s="19">
        <f>'Budget Analysis'!I88</f>
        <v>245650</v>
      </c>
      <c r="E83" s="20">
        <f>D83/(G78/1000)</f>
        <v>1.0126272274563655</v>
      </c>
      <c r="F83" s="19"/>
      <c r="G83" s="19" t="s">
        <v>215</v>
      </c>
      <c r="H83" s="25">
        <f>'Distribution Factor'!H30</f>
        <v>0.35</v>
      </c>
      <c r="I83" s="20">
        <f>E83*H83</f>
        <v>0.35441952960972789</v>
      </c>
      <c r="K83" s="20">
        <f>E83*H83</f>
        <v>0.35441952960972789</v>
      </c>
    </row>
    <row r="84" spans="3:11" ht="17.100000000000001" customHeight="1" x14ac:dyDescent="0.25">
      <c r="C84" t="s">
        <v>270</v>
      </c>
      <c r="D84" s="19">
        <f>'Depreciation Calc'!K41</f>
        <v>76117.83</v>
      </c>
      <c r="E84" s="20">
        <f>D84/(E78/1000)</f>
        <v>0.25142145141149425</v>
      </c>
      <c r="F84" s="19"/>
      <c r="G84" s="19"/>
      <c r="H84" s="52"/>
      <c r="I84" s="20">
        <f>E84</f>
        <v>0.25142145141149425</v>
      </c>
      <c r="K84" s="20">
        <f>E84</f>
        <v>0.25142145141149425</v>
      </c>
    </row>
    <row r="85" spans="3:11" ht="17.100000000000001" customHeight="1" x14ac:dyDescent="0.25">
      <c r="C85" t="s">
        <v>271</v>
      </c>
      <c r="D85" s="19">
        <f>'Depreciation Calc'!K42</f>
        <v>6000.5133333333333</v>
      </c>
      <c r="E85" s="20">
        <f>D85/(G78/1000)</f>
        <v>2.4735530958877618E-2</v>
      </c>
      <c r="F85" s="19"/>
      <c r="G85" s="19" t="s">
        <v>215</v>
      </c>
      <c r="H85" s="25">
        <f>'Distribution Factor'!H30</f>
        <v>0.35</v>
      </c>
      <c r="I85" s="20">
        <f>E85*H85</f>
        <v>8.6574358356071666E-3</v>
      </c>
      <c r="K85" s="20">
        <f>E85*H85</f>
        <v>8.6574358356071666E-3</v>
      </c>
    </row>
    <row r="86" spans="3:11" ht="17.100000000000001" customHeight="1" x14ac:dyDescent="0.25">
      <c r="D86" s="24" t="s">
        <v>186</v>
      </c>
      <c r="E86" s="20">
        <f>SUM(E81:E85)</f>
        <v>3.6080884971048404</v>
      </c>
      <c r="I86" s="99">
        <f>SUM(I81:I85)</f>
        <v>2.9338027041349322</v>
      </c>
      <c r="K86" s="99">
        <f>SUM(K81:K85)</f>
        <v>2.9338027041349322</v>
      </c>
    </row>
    <row r="87" spans="3:11" ht="17.100000000000001" customHeight="1" x14ac:dyDescent="0.25">
      <c r="F87" s="51"/>
      <c r="G87" s="10"/>
      <c r="H87" s="10"/>
    </row>
    <row r="100" spans="3:13" x14ac:dyDescent="0.25">
      <c r="C100" s="1" t="s">
        <v>317</v>
      </c>
    </row>
    <row r="101" spans="3:13" x14ac:dyDescent="0.25">
      <c r="C101" s="1" t="s">
        <v>160</v>
      </c>
      <c r="E101" s="16" t="s">
        <v>173</v>
      </c>
      <c r="F101" s="16" t="s">
        <v>184</v>
      </c>
      <c r="G101" s="16" t="s">
        <v>183</v>
      </c>
      <c r="H101" s="16"/>
      <c r="I101" s="16" t="s">
        <v>174</v>
      </c>
      <c r="J101" s="16"/>
      <c r="K101" s="16" t="s">
        <v>175</v>
      </c>
    </row>
    <row r="102" spans="3:13" x14ac:dyDescent="0.25">
      <c r="C102" s="143" t="s">
        <v>2</v>
      </c>
      <c r="D102" s="143"/>
      <c r="E102" s="21" t="s">
        <v>176</v>
      </c>
      <c r="F102" s="21" t="s">
        <v>185</v>
      </c>
      <c r="G102" s="21" t="s">
        <v>176</v>
      </c>
      <c r="H102" s="21"/>
      <c r="I102" s="21" t="s">
        <v>176</v>
      </c>
      <c r="J102" s="21"/>
      <c r="K102" s="21" t="s">
        <v>176</v>
      </c>
      <c r="L102" s="17"/>
      <c r="M102" t="s">
        <v>275</v>
      </c>
    </row>
    <row r="103" spans="3:13" x14ac:dyDescent="0.25">
      <c r="C103" t="s">
        <v>161</v>
      </c>
      <c r="E103">
        <v>28230390</v>
      </c>
      <c r="F103" s="26">
        <v>0.15</v>
      </c>
      <c r="G103">
        <f>E103*(1-F103)</f>
        <v>23995831.5</v>
      </c>
      <c r="I103">
        <v>7226050</v>
      </c>
      <c r="J103" s="18">
        <f t="shared" ref="J103:J114" si="12">I103/G103</f>
        <v>0.30113772052450027</v>
      </c>
      <c r="K103">
        <v>12174570</v>
      </c>
      <c r="L103" s="18">
        <f t="shared" ref="L103:L114" si="13">K103/G103</f>
        <v>0.50736187241521513</v>
      </c>
      <c r="M103" s="101">
        <f>J103+L103</f>
        <v>0.80849959293971541</v>
      </c>
    </row>
    <row r="104" spans="3:13" x14ac:dyDescent="0.25">
      <c r="C104" t="s">
        <v>162</v>
      </c>
      <c r="E104">
        <v>24092000</v>
      </c>
      <c r="F104" s="26">
        <v>0.15</v>
      </c>
      <c r="G104">
        <f t="shared" ref="G104:G114" si="14">E104*(1-F104)</f>
        <v>20478200</v>
      </c>
      <c r="I104">
        <v>6607410</v>
      </c>
      <c r="J104" s="18">
        <f t="shared" si="12"/>
        <v>0.32265579982615661</v>
      </c>
      <c r="K104">
        <v>11006520</v>
      </c>
      <c r="L104" s="18">
        <f t="shared" si="13"/>
        <v>0.53747497338633277</v>
      </c>
      <c r="M104" s="18">
        <f t="shared" ref="M104:M114" si="15">J104+L104</f>
        <v>0.86013077321248943</v>
      </c>
    </row>
    <row r="105" spans="3:13" x14ac:dyDescent="0.25">
      <c r="C105" t="s">
        <v>163</v>
      </c>
      <c r="E105">
        <v>24519500</v>
      </c>
      <c r="F105" s="26">
        <v>0.15</v>
      </c>
      <c r="G105">
        <f t="shared" si="14"/>
        <v>20841575</v>
      </c>
      <c r="I105">
        <v>2630750</v>
      </c>
      <c r="J105" s="18">
        <f t="shared" si="12"/>
        <v>0.12622606496869837</v>
      </c>
      <c r="K105">
        <v>10328432</v>
      </c>
      <c r="L105" s="18">
        <f t="shared" si="13"/>
        <v>0.49556868902662105</v>
      </c>
      <c r="M105" s="18">
        <f t="shared" si="15"/>
        <v>0.62179475399531947</v>
      </c>
    </row>
    <row r="106" spans="3:13" x14ac:dyDescent="0.25">
      <c r="C106" t="s">
        <v>164</v>
      </c>
      <c r="E106">
        <v>30771800</v>
      </c>
      <c r="F106" s="26">
        <v>0.15</v>
      </c>
      <c r="G106">
        <f t="shared" si="14"/>
        <v>26156030</v>
      </c>
      <c r="I106">
        <v>5795230</v>
      </c>
      <c r="J106" s="18">
        <f t="shared" si="12"/>
        <v>0.22156382295019542</v>
      </c>
      <c r="K106">
        <v>10826448</v>
      </c>
      <c r="L106" s="18">
        <f t="shared" si="13"/>
        <v>0.41391786138798586</v>
      </c>
      <c r="M106" s="18">
        <f t="shared" si="15"/>
        <v>0.63548168433818131</v>
      </c>
    </row>
    <row r="107" spans="3:13" x14ac:dyDescent="0.25">
      <c r="C107" t="s">
        <v>165</v>
      </c>
      <c r="E107">
        <v>24626200</v>
      </c>
      <c r="F107" s="26">
        <v>0.15</v>
      </c>
      <c r="G107">
        <f t="shared" si="14"/>
        <v>20932270</v>
      </c>
      <c r="I107">
        <v>5387070</v>
      </c>
      <c r="J107" s="18">
        <f t="shared" si="12"/>
        <v>0.25735718104152105</v>
      </c>
      <c r="K107">
        <v>10059090</v>
      </c>
      <c r="L107" s="18">
        <f t="shared" si="13"/>
        <v>0.48055418738627009</v>
      </c>
      <c r="M107" s="18">
        <f t="shared" si="15"/>
        <v>0.73791136842779115</v>
      </c>
    </row>
    <row r="108" spans="3:13" x14ac:dyDescent="0.25">
      <c r="C108" t="s">
        <v>166</v>
      </c>
      <c r="E108">
        <v>27151500</v>
      </c>
      <c r="F108" s="26">
        <v>0.15</v>
      </c>
      <c r="G108">
        <f t="shared" si="14"/>
        <v>23078775</v>
      </c>
      <c r="I108">
        <v>5984410</v>
      </c>
      <c r="J108" s="18">
        <f t="shared" si="12"/>
        <v>0.25930362421748987</v>
      </c>
      <c r="K108">
        <v>11070170</v>
      </c>
      <c r="L108" s="18">
        <f t="shared" si="13"/>
        <v>0.47966887323958918</v>
      </c>
      <c r="M108" s="18">
        <f t="shared" si="15"/>
        <v>0.73897249745707905</v>
      </c>
    </row>
    <row r="109" spans="3:13" x14ac:dyDescent="0.25">
      <c r="C109" t="s">
        <v>167</v>
      </c>
      <c r="E109">
        <v>26872400</v>
      </c>
      <c r="F109" s="26">
        <v>0.15</v>
      </c>
      <c r="G109">
        <f t="shared" si="14"/>
        <v>22841540</v>
      </c>
      <c r="I109">
        <v>6208540</v>
      </c>
      <c r="J109" s="18">
        <f t="shared" si="12"/>
        <v>0.27180916873380689</v>
      </c>
      <c r="K109">
        <v>10288050</v>
      </c>
      <c r="L109" s="18">
        <f t="shared" si="13"/>
        <v>0.45040964838622966</v>
      </c>
      <c r="M109" s="18">
        <f t="shared" si="15"/>
        <v>0.72221881712003655</v>
      </c>
    </row>
    <row r="110" spans="3:13" x14ac:dyDescent="0.25">
      <c r="C110" t="s">
        <v>168</v>
      </c>
      <c r="E110">
        <v>22164600</v>
      </c>
      <c r="F110" s="26">
        <v>0.15</v>
      </c>
      <c r="G110">
        <f t="shared" si="14"/>
        <v>18839910</v>
      </c>
      <c r="I110">
        <v>6591790</v>
      </c>
      <c r="J110" s="18">
        <f t="shared" si="12"/>
        <v>0.34988436781279741</v>
      </c>
      <c r="K110">
        <v>8542430</v>
      </c>
      <c r="L110" s="18">
        <f t="shared" si="13"/>
        <v>0.45342201740878807</v>
      </c>
      <c r="M110" s="18">
        <f t="shared" si="15"/>
        <v>0.80330638522158548</v>
      </c>
    </row>
    <row r="111" spans="3:13" x14ac:dyDescent="0.25">
      <c r="C111" t="s">
        <v>169</v>
      </c>
      <c r="E111">
        <v>23450090</v>
      </c>
      <c r="F111" s="26">
        <v>0.15</v>
      </c>
      <c r="G111">
        <f t="shared" si="14"/>
        <v>19932576.5</v>
      </c>
      <c r="I111">
        <v>5055640</v>
      </c>
      <c r="J111" s="18">
        <f t="shared" si="12"/>
        <v>0.2536370548985476</v>
      </c>
      <c r="K111">
        <v>9417030</v>
      </c>
      <c r="L111" s="18">
        <f t="shared" si="13"/>
        <v>0.47244419204913124</v>
      </c>
      <c r="M111" s="18">
        <f t="shared" si="15"/>
        <v>0.72608124694767884</v>
      </c>
    </row>
    <row r="112" spans="3:13" x14ac:dyDescent="0.25">
      <c r="C112" t="s">
        <v>170</v>
      </c>
      <c r="E112">
        <v>23326400</v>
      </c>
      <c r="F112" s="26">
        <v>0.15</v>
      </c>
      <c r="G112">
        <f t="shared" si="14"/>
        <v>19827440</v>
      </c>
      <c r="I112">
        <v>6122910</v>
      </c>
      <c r="J112" s="18">
        <f t="shared" si="12"/>
        <v>0.30880991192004614</v>
      </c>
      <c r="K112">
        <v>9744260</v>
      </c>
      <c r="L112" s="18">
        <f t="shared" si="13"/>
        <v>0.49145325871620338</v>
      </c>
      <c r="M112" s="18">
        <f t="shared" si="15"/>
        <v>0.80026317063624952</v>
      </c>
    </row>
    <row r="113" spans="3:13" x14ac:dyDescent="0.25">
      <c r="C113" t="s">
        <v>171</v>
      </c>
      <c r="E113">
        <v>26647600</v>
      </c>
      <c r="F113" s="26">
        <v>0.15</v>
      </c>
      <c r="G113">
        <f t="shared" si="14"/>
        <v>22650460</v>
      </c>
      <c r="I113">
        <v>5745770</v>
      </c>
      <c r="J113" s="18">
        <f t="shared" si="12"/>
        <v>0.2536712278691029</v>
      </c>
      <c r="K113">
        <v>11713750</v>
      </c>
      <c r="L113" s="18">
        <f t="shared" si="13"/>
        <v>0.51715285252484944</v>
      </c>
      <c r="M113" s="18">
        <f t="shared" si="15"/>
        <v>0.77082408039395234</v>
      </c>
    </row>
    <row r="114" spans="3:13" x14ac:dyDescent="0.25">
      <c r="C114" s="17" t="s">
        <v>172</v>
      </c>
      <c r="D114" s="17"/>
      <c r="E114" s="17">
        <v>25725600</v>
      </c>
      <c r="F114" s="27">
        <v>0.15</v>
      </c>
      <c r="G114" s="17">
        <f t="shared" si="14"/>
        <v>21866760</v>
      </c>
      <c r="H114" s="17"/>
      <c r="I114" s="17">
        <v>7230400</v>
      </c>
      <c r="J114" s="100">
        <f t="shared" si="12"/>
        <v>0.33065712524397761</v>
      </c>
      <c r="K114" s="17">
        <v>11388179</v>
      </c>
      <c r="L114" s="100">
        <f t="shared" si="13"/>
        <v>0.52079864598138914</v>
      </c>
      <c r="M114" s="100">
        <f t="shared" si="15"/>
        <v>0.85145577122536675</v>
      </c>
    </row>
    <row r="115" spans="3:13" x14ac:dyDescent="0.25">
      <c r="C115" t="s">
        <v>177</v>
      </c>
      <c r="E115">
        <f>SUM(E103:E114)</f>
        <v>307578080</v>
      </c>
      <c r="F115" s="18">
        <f>AVERAGE(F103:F114)</f>
        <v>0.14999999999999997</v>
      </c>
      <c r="G115" s="115">
        <f>SUM(G103:G114)</f>
        <v>261441368</v>
      </c>
      <c r="H115" s="18">
        <f>G115/E115</f>
        <v>0.85</v>
      </c>
      <c r="I115" s="115">
        <f>SUM(I103:I114)</f>
        <v>70585970</v>
      </c>
      <c r="J115" s="28">
        <f>I115/G115</f>
        <v>0.26998776260993251</v>
      </c>
      <c r="K115" s="115">
        <f>SUM(K103:K114)</f>
        <v>126558929</v>
      </c>
      <c r="L115" s="28">
        <f>K115/G115</f>
        <v>0.48408149776817261</v>
      </c>
      <c r="M115" s="28">
        <f>J115+L115</f>
        <v>0.75406926037810518</v>
      </c>
    </row>
  </sheetData>
  <mergeCells count="5">
    <mergeCell ref="C5:D5"/>
    <mergeCell ref="C28:D28"/>
    <mergeCell ref="C51:D51"/>
    <mergeCell ref="C77:D77"/>
    <mergeCell ref="C102:D102"/>
  </mergeCells>
  <pageMargins left="0.5" right="0.25" top="0.83333223972003501" bottom="0.85" header="0.25" footer="0.3"/>
  <pageSetup scale="87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AC599-7A8A-48DA-B689-B33CE389159A}">
  <dimension ref="C6:O103"/>
  <sheetViews>
    <sheetView topLeftCell="A70" workbookViewId="0">
      <selection activeCell="N100" sqref="N100"/>
    </sheetView>
  </sheetViews>
  <sheetFormatPr defaultRowHeight="15" x14ac:dyDescent="0.25"/>
  <cols>
    <col min="3" max="3" width="14.42578125" customWidth="1"/>
    <col min="4" max="4" width="20.85546875" customWidth="1"/>
    <col min="5" max="6" width="14.7109375" customWidth="1"/>
    <col min="7" max="7" width="16.7109375" customWidth="1"/>
    <col min="8" max="8" width="6.85546875" customWidth="1"/>
    <col min="9" max="9" width="18.42578125" customWidth="1"/>
    <col min="10" max="10" width="7.28515625" customWidth="1"/>
    <col min="11" max="11" width="18.28515625" customWidth="1"/>
    <col min="13" max="13" width="12.42578125" customWidth="1"/>
    <col min="15" max="15" width="14.140625" customWidth="1"/>
  </cols>
  <sheetData>
    <row r="6" spans="3:12" x14ac:dyDescent="0.25">
      <c r="C6" s="1" t="s">
        <v>160</v>
      </c>
      <c r="E6" s="16" t="s">
        <v>173</v>
      </c>
      <c r="F6" s="16" t="s">
        <v>184</v>
      </c>
      <c r="G6" s="16" t="s">
        <v>183</v>
      </c>
      <c r="H6" s="16"/>
      <c r="I6" s="16" t="s">
        <v>174</v>
      </c>
      <c r="J6" s="16"/>
      <c r="K6" s="16" t="s">
        <v>175</v>
      </c>
    </row>
    <row r="7" spans="3:12" x14ac:dyDescent="0.25">
      <c r="C7" s="143" t="s">
        <v>189</v>
      </c>
      <c r="D7" s="143"/>
      <c r="E7" s="21" t="s">
        <v>176</v>
      </c>
      <c r="F7" s="21" t="s">
        <v>185</v>
      </c>
      <c r="G7" s="21" t="s">
        <v>176</v>
      </c>
      <c r="H7" s="21"/>
      <c r="I7" s="21" t="s">
        <v>176</v>
      </c>
      <c r="J7" s="21"/>
      <c r="K7" s="21" t="s">
        <v>176</v>
      </c>
      <c r="L7" s="17"/>
    </row>
    <row r="8" spans="3:12" x14ac:dyDescent="0.25">
      <c r="C8" t="s">
        <v>161</v>
      </c>
      <c r="F8" s="22"/>
      <c r="G8">
        <f>E8*(1-F8)</f>
        <v>0</v>
      </c>
      <c r="I8">
        <v>6164460</v>
      </c>
      <c r="K8">
        <v>8630411</v>
      </c>
    </row>
    <row r="9" spans="3:12" x14ac:dyDescent="0.25">
      <c r="C9" t="s">
        <v>162</v>
      </c>
      <c r="F9" s="22"/>
      <c r="G9">
        <f t="shared" ref="G9:G19" si="0">E9*(1-F9)</f>
        <v>0</v>
      </c>
      <c r="I9">
        <v>5188744</v>
      </c>
      <c r="K9">
        <v>9136796</v>
      </c>
    </row>
    <row r="10" spans="3:12" x14ac:dyDescent="0.25">
      <c r="C10" t="s">
        <v>163</v>
      </c>
      <c r="F10" s="22"/>
      <c r="G10">
        <f t="shared" si="0"/>
        <v>0</v>
      </c>
      <c r="I10">
        <v>5843960</v>
      </c>
      <c r="K10">
        <v>8726900</v>
      </c>
    </row>
    <row r="11" spans="3:12" x14ac:dyDescent="0.25">
      <c r="C11" t="s">
        <v>164</v>
      </c>
      <c r="F11" s="22"/>
      <c r="G11">
        <f t="shared" si="0"/>
        <v>0</v>
      </c>
      <c r="I11">
        <v>5829582</v>
      </c>
      <c r="K11">
        <v>8891577</v>
      </c>
    </row>
    <row r="12" spans="3:12" x14ac:dyDescent="0.25">
      <c r="C12" t="s">
        <v>165</v>
      </c>
      <c r="F12" s="22"/>
      <c r="G12">
        <f t="shared" si="0"/>
        <v>0</v>
      </c>
      <c r="I12">
        <v>5137420</v>
      </c>
      <c r="K12">
        <v>8441661</v>
      </c>
    </row>
    <row r="13" spans="3:12" x14ac:dyDescent="0.25">
      <c r="C13" t="s">
        <v>166</v>
      </c>
      <c r="F13" s="22"/>
      <c r="G13">
        <f t="shared" si="0"/>
        <v>0</v>
      </c>
      <c r="I13">
        <v>4744274</v>
      </c>
      <c r="K13">
        <v>9029129</v>
      </c>
    </row>
    <row r="14" spans="3:12" x14ac:dyDescent="0.25">
      <c r="C14" t="s">
        <v>167</v>
      </c>
      <c r="F14" s="22"/>
      <c r="G14">
        <f t="shared" si="0"/>
        <v>0</v>
      </c>
      <c r="I14">
        <v>5001050</v>
      </c>
      <c r="K14">
        <v>8408697</v>
      </c>
    </row>
    <row r="15" spans="3:12" x14ac:dyDescent="0.25">
      <c r="C15" t="s">
        <v>168</v>
      </c>
      <c r="F15" s="22"/>
      <c r="G15">
        <f t="shared" si="0"/>
        <v>0</v>
      </c>
      <c r="I15">
        <v>5449550</v>
      </c>
      <c r="K15">
        <v>6997034</v>
      </c>
    </row>
    <row r="16" spans="3:12" x14ac:dyDescent="0.25">
      <c r="C16" t="s">
        <v>169</v>
      </c>
      <c r="F16" s="22"/>
      <c r="G16">
        <f t="shared" si="0"/>
        <v>0</v>
      </c>
      <c r="I16">
        <v>9000000</v>
      </c>
      <c r="K16">
        <v>5000000</v>
      </c>
    </row>
    <row r="17" spans="3:12" x14ac:dyDescent="0.25">
      <c r="C17" t="s">
        <v>170</v>
      </c>
      <c r="F17" s="22"/>
      <c r="G17">
        <f t="shared" si="0"/>
        <v>0</v>
      </c>
      <c r="I17">
        <v>5818260</v>
      </c>
      <c r="K17">
        <v>8820344</v>
      </c>
    </row>
    <row r="18" spans="3:12" x14ac:dyDescent="0.25">
      <c r="C18" t="s">
        <v>171</v>
      </c>
      <c r="F18" s="22"/>
      <c r="G18">
        <f t="shared" si="0"/>
        <v>0</v>
      </c>
      <c r="I18">
        <v>5646990</v>
      </c>
      <c r="K18">
        <v>9934587</v>
      </c>
    </row>
    <row r="19" spans="3:12" x14ac:dyDescent="0.25">
      <c r="C19" s="17" t="s">
        <v>172</v>
      </c>
      <c r="D19" s="17"/>
      <c r="E19" s="17"/>
      <c r="F19" s="23"/>
      <c r="G19" s="17">
        <f t="shared" si="0"/>
        <v>0</v>
      </c>
      <c r="H19" s="17"/>
      <c r="I19" s="17">
        <v>5785432</v>
      </c>
      <c r="J19" s="17"/>
      <c r="K19" s="17">
        <v>9539767</v>
      </c>
      <c r="L19" s="17"/>
    </row>
    <row r="20" spans="3:12" x14ac:dyDescent="0.25">
      <c r="C20" t="s">
        <v>177</v>
      </c>
      <c r="E20">
        <f>SUM(E8:E19)</f>
        <v>0</v>
      </c>
      <c r="F20" s="18" t="e">
        <f>AVERAGE(F8:F19)</f>
        <v>#DIV/0!</v>
      </c>
      <c r="G20">
        <f>SUM(G8:G19)</f>
        <v>0</v>
      </c>
      <c r="H20" s="18" t="e">
        <f>G20/E20</f>
        <v>#DIV/0!</v>
      </c>
      <c r="I20">
        <f>SUM(I8:I19)</f>
        <v>69609722</v>
      </c>
      <c r="J20" s="18" t="e">
        <f>I20/G20</f>
        <v>#DIV/0!</v>
      </c>
      <c r="K20">
        <f>SUM(K8:K19)</f>
        <v>101556903</v>
      </c>
      <c r="L20" s="18" t="e">
        <f>K20/G20</f>
        <v>#DIV/0!</v>
      </c>
    </row>
    <row r="23" spans="3:12" x14ac:dyDescent="0.25">
      <c r="C23" s="1" t="s">
        <v>160</v>
      </c>
      <c r="E23" s="16" t="s">
        <v>173</v>
      </c>
      <c r="F23" s="16" t="s">
        <v>184</v>
      </c>
      <c r="G23" s="16" t="s">
        <v>183</v>
      </c>
      <c r="H23" s="16"/>
      <c r="I23" s="16" t="s">
        <v>174</v>
      </c>
      <c r="J23" s="16"/>
      <c r="K23" s="16" t="s">
        <v>175</v>
      </c>
    </row>
    <row r="24" spans="3:12" x14ac:dyDescent="0.25">
      <c r="C24" s="143" t="s">
        <v>190</v>
      </c>
      <c r="D24" s="143"/>
      <c r="E24" s="21" t="s">
        <v>176</v>
      </c>
      <c r="F24" s="21" t="s">
        <v>185</v>
      </c>
      <c r="G24" s="21" t="s">
        <v>176</v>
      </c>
      <c r="H24" s="21"/>
      <c r="I24" s="21" t="s">
        <v>176</v>
      </c>
      <c r="J24" s="21"/>
      <c r="K24" s="21" t="s">
        <v>176</v>
      </c>
      <c r="L24" s="17"/>
    </row>
    <row r="25" spans="3:12" x14ac:dyDescent="0.25">
      <c r="C25" t="s">
        <v>161</v>
      </c>
      <c r="F25" s="22"/>
      <c r="G25">
        <f>E25*(1-F25)</f>
        <v>0</v>
      </c>
      <c r="I25">
        <v>6194900</v>
      </c>
      <c r="K25">
        <v>9293615</v>
      </c>
    </row>
    <row r="26" spans="3:12" x14ac:dyDescent="0.25">
      <c r="C26" t="s">
        <v>162</v>
      </c>
      <c r="F26" s="22"/>
      <c r="G26">
        <f t="shared" ref="G26:G36" si="1">E26*(1-F26)</f>
        <v>0</v>
      </c>
      <c r="I26">
        <v>6258100</v>
      </c>
      <c r="K26">
        <v>8985511</v>
      </c>
    </row>
    <row r="27" spans="3:12" x14ac:dyDescent="0.25">
      <c r="C27" t="s">
        <v>163</v>
      </c>
      <c r="F27" s="22"/>
      <c r="G27">
        <f t="shared" si="1"/>
        <v>0</v>
      </c>
      <c r="I27">
        <v>5651300</v>
      </c>
      <c r="K27">
        <v>8738511</v>
      </c>
    </row>
    <row r="28" spans="3:12" x14ac:dyDescent="0.25">
      <c r="C28" t="s">
        <v>164</v>
      </c>
      <c r="F28" s="22"/>
      <c r="G28">
        <f t="shared" si="1"/>
        <v>0</v>
      </c>
      <c r="I28">
        <v>6363013</v>
      </c>
      <c r="K28">
        <v>7674523</v>
      </c>
    </row>
    <row r="29" spans="3:12" x14ac:dyDescent="0.25">
      <c r="C29" t="s">
        <v>165</v>
      </c>
      <c r="F29" s="22"/>
      <c r="G29">
        <f t="shared" si="1"/>
        <v>0</v>
      </c>
      <c r="I29">
        <v>6363013</v>
      </c>
      <c r="K29">
        <v>7674523</v>
      </c>
    </row>
    <row r="30" spans="3:12" x14ac:dyDescent="0.25">
      <c r="C30" t="s">
        <v>166</v>
      </c>
      <c r="F30" s="22"/>
      <c r="G30">
        <f t="shared" si="1"/>
        <v>0</v>
      </c>
      <c r="I30">
        <v>5266270</v>
      </c>
      <c r="K30">
        <v>9198647</v>
      </c>
    </row>
    <row r="31" spans="3:12" x14ac:dyDescent="0.25">
      <c r="C31" t="s">
        <v>167</v>
      </c>
      <c r="F31" s="22"/>
      <c r="G31">
        <f t="shared" si="1"/>
        <v>0</v>
      </c>
      <c r="I31" s="16" t="s">
        <v>198</v>
      </c>
      <c r="K31" s="16" t="s">
        <v>198</v>
      </c>
    </row>
    <row r="32" spans="3:12" x14ac:dyDescent="0.25">
      <c r="C32" t="s">
        <v>168</v>
      </c>
      <c r="F32" s="22"/>
      <c r="G32">
        <f t="shared" si="1"/>
        <v>0</v>
      </c>
      <c r="I32">
        <v>5702000</v>
      </c>
      <c r="K32">
        <v>6863997</v>
      </c>
    </row>
    <row r="33" spans="3:12" x14ac:dyDescent="0.25">
      <c r="C33" t="s">
        <v>169</v>
      </c>
      <c r="F33" s="22"/>
      <c r="G33">
        <f t="shared" si="1"/>
        <v>0</v>
      </c>
      <c r="I33">
        <v>5083000</v>
      </c>
      <c r="K33">
        <v>9134616</v>
      </c>
    </row>
    <row r="34" spans="3:12" x14ac:dyDescent="0.25">
      <c r="C34" t="s">
        <v>170</v>
      </c>
      <c r="F34" s="22"/>
      <c r="G34">
        <f t="shared" si="1"/>
        <v>0</v>
      </c>
      <c r="I34">
        <v>5673240</v>
      </c>
      <c r="K34">
        <v>9003884</v>
      </c>
    </row>
    <row r="35" spans="3:12" x14ac:dyDescent="0.25">
      <c r="C35" t="s">
        <v>171</v>
      </c>
      <c r="F35" s="22"/>
      <c r="G35">
        <f t="shared" si="1"/>
        <v>0</v>
      </c>
      <c r="I35">
        <v>6052260</v>
      </c>
      <c r="K35">
        <v>9289490</v>
      </c>
    </row>
    <row r="36" spans="3:12" x14ac:dyDescent="0.25">
      <c r="C36" s="17" t="s">
        <v>172</v>
      </c>
      <c r="D36" s="17"/>
      <c r="E36" s="17"/>
      <c r="F36" s="23"/>
      <c r="G36" s="17">
        <f t="shared" si="1"/>
        <v>0</v>
      </c>
      <c r="H36" s="17"/>
      <c r="I36" s="17">
        <v>6791950</v>
      </c>
      <c r="J36" s="17"/>
      <c r="K36" s="17">
        <v>10173215</v>
      </c>
      <c r="L36" s="17"/>
    </row>
    <row r="37" spans="3:12" x14ac:dyDescent="0.25">
      <c r="C37" t="s">
        <v>177</v>
      </c>
      <c r="E37">
        <f>SUM(E25:E36)</f>
        <v>0</v>
      </c>
      <c r="F37" s="18" t="e">
        <f>AVERAGE(F25:F36)</f>
        <v>#DIV/0!</v>
      </c>
      <c r="G37">
        <f>SUM(G25:G36)</f>
        <v>0</v>
      </c>
      <c r="H37" s="18" t="e">
        <f>G37/E37</f>
        <v>#DIV/0!</v>
      </c>
      <c r="I37">
        <f>SUM(I25:I36)</f>
        <v>65399046</v>
      </c>
      <c r="J37" s="18" t="e">
        <f>I37/G37</f>
        <v>#DIV/0!</v>
      </c>
      <c r="K37">
        <f>SUM(K25:K36)</f>
        <v>96030532</v>
      </c>
      <c r="L37" s="18" t="e">
        <f>K37/G37</f>
        <v>#DIV/0!</v>
      </c>
    </row>
    <row r="40" spans="3:12" x14ac:dyDescent="0.25">
      <c r="C40" s="1" t="s">
        <v>160</v>
      </c>
      <c r="E40" s="16" t="s">
        <v>173</v>
      </c>
      <c r="F40" s="16" t="s">
        <v>184</v>
      </c>
      <c r="G40" s="16" t="s">
        <v>183</v>
      </c>
      <c r="H40" s="16"/>
      <c r="I40" s="16" t="s">
        <v>174</v>
      </c>
      <c r="J40" s="16"/>
      <c r="K40" s="16" t="s">
        <v>175</v>
      </c>
    </row>
    <row r="41" spans="3:12" x14ac:dyDescent="0.25">
      <c r="C41" s="143" t="s">
        <v>191</v>
      </c>
      <c r="D41" s="143"/>
      <c r="E41" s="21" t="s">
        <v>176</v>
      </c>
      <c r="F41" s="21" t="s">
        <v>185</v>
      </c>
      <c r="G41" s="21" t="s">
        <v>176</v>
      </c>
      <c r="H41" s="21"/>
      <c r="I41" s="21" t="s">
        <v>176</v>
      </c>
      <c r="J41" s="21"/>
      <c r="K41" s="21" t="s">
        <v>176</v>
      </c>
      <c r="L41" s="17"/>
    </row>
    <row r="42" spans="3:12" x14ac:dyDescent="0.25">
      <c r="C42" t="s">
        <v>161</v>
      </c>
      <c r="F42" s="22"/>
      <c r="G42">
        <f>E42*(1-F42)</f>
        <v>0</v>
      </c>
      <c r="I42">
        <v>5874570</v>
      </c>
      <c r="K42">
        <v>10404075</v>
      </c>
    </row>
    <row r="43" spans="3:12" x14ac:dyDescent="0.25">
      <c r="C43" t="s">
        <v>162</v>
      </c>
      <c r="F43" s="22"/>
      <c r="G43">
        <f t="shared" ref="G43:G53" si="2">E43*(1-F43)</f>
        <v>0</v>
      </c>
      <c r="I43">
        <v>6037550</v>
      </c>
      <c r="K43">
        <v>8643400</v>
      </c>
    </row>
    <row r="44" spans="3:12" x14ac:dyDescent="0.25">
      <c r="C44" t="s">
        <v>163</v>
      </c>
      <c r="F44" s="22"/>
      <c r="G44">
        <f t="shared" si="2"/>
        <v>0</v>
      </c>
      <c r="I44">
        <v>6239240</v>
      </c>
      <c r="K44">
        <v>8474545</v>
      </c>
    </row>
    <row r="45" spans="3:12" x14ac:dyDescent="0.25">
      <c r="C45" t="s">
        <v>164</v>
      </c>
      <c r="F45" s="22"/>
      <c r="G45">
        <f t="shared" si="2"/>
        <v>0</v>
      </c>
      <c r="I45">
        <v>5372390</v>
      </c>
      <c r="K45">
        <v>8248025</v>
      </c>
    </row>
    <row r="46" spans="3:12" x14ac:dyDescent="0.25">
      <c r="C46" t="s">
        <v>165</v>
      </c>
      <c r="F46" s="22"/>
      <c r="G46">
        <f t="shared" si="2"/>
        <v>0</v>
      </c>
      <c r="I46">
        <v>6094410</v>
      </c>
      <c r="K46">
        <v>8029440</v>
      </c>
    </row>
    <row r="47" spans="3:12" x14ac:dyDescent="0.25">
      <c r="C47" t="s">
        <v>166</v>
      </c>
      <c r="F47" s="22"/>
      <c r="G47">
        <f t="shared" si="2"/>
        <v>0</v>
      </c>
      <c r="I47">
        <v>5433080</v>
      </c>
      <c r="K47">
        <v>8915730</v>
      </c>
    </row>
    <row r="48" spans="3:12" x14ac:dyDescent="0.25">
      <c r="C48" t="s">
        <v>167</v>
      </c>
      <c r="F48" s="22"/>
      <c r="G48">
        <f t="shared" si="2"/>
        <v>0</v>
      </c>
      <c r="I48">
        <v>573830</v>
      </c>
      <c r="K48">
        <v>10054560</v>
      </c>
    </row>
    <row r="49" spans="3:12" x14ac:dyDescent="0.25">
      <c r="C49" t="s">
        <v>168</v>
      </c>
      <c r="F49" s="22"/>
      <c r="G49">
        <f t="shared" si="2"/>
        <v>0</v>
      </c>
      <c r="I49">
        <v>5898480</v>
      </c>
      <c r="K49">
        <v>8123040</v>
      </c>
    </row>
    <row r="50" spans="3:12" x14ac:dyDescent="0.25">
      <c r="C50" t="s">
        <v>169</v>
      </c>
      <c r="F50" s="22"/>
      <c r="G50">
        <f t="shared" si="2"/>
        <v>0</v>
      </c>
      <c r="I50">
        <v>5898480</v>
      </c>
      <c r="K50">
        <v>8935127</v>
      </c>
    </row>
    <row r="51" spans="3:12" x14ac:dyDescent="0.25">
      <c r="C51" t="s">
        <v>170</v>
      </c>
      <c r="F51" s="22"/>
      <c r="G51">
        <f t="shared" si="2"/>
        <v>0</v>
      </c>
      <c r="I51">
        <v>5363660</v>
      </c>
      <c r="K51">
        <v>8988573</v>
      </c>
    </row>
    <row r="52" spans="3:12" x14ac:dyDescent="0.25">
      <c r="C52" t="s">
        <v>171</v>
      </c>
      <c r="F52" s="22"/>
      <c r="G52">
        <f t="shared" si="2"/>
        <v>0</v>
      </c>
      <c r="I52">
        <v>5623600</v>
      </c>
      <c r="K52">
        <v>11521440</v>
      </c>
    </row>
    <row r="53" spans="3:12" x14ac:dyDescent="0.25">
      <c r="C53" s="17" t="s">
        <v>172</v>
      </c>
      <c r="D53" s="17"/>
      <c r="E53" s="17"/>
      <c r="F53" s="23"/>
      <c r="G53" s="17">
        <f t="shared" si="2"/>
        <v>0</v>
      </c>
      <c r="H53" s="17"/>
      <c r="I53" s="17">
        <v>6940030</v>
      </c>
      <c r="J53" s="17"/>
      <c r="K53" s="17">
        <v>11004458</v>
      </c>
      <c r="L53" s="17"/>
    </row>
    <row r="54" spans="3:12" x14ac:dyDescent="0.25">
      <c r="C54" t="s">
        <v>177</v>
      </c>
      <c r="E54">
        <f>SUM(E42:E53)</f>
        <v>0</v>
      </c>
      <c r="F54" s="18" t="e">
        <f>AVERAGE(F42:F53)</f>
        <v>#DIV/0!</v>
      </c>
      <c r="G54">
        <f>SUM(G42:G53)</f>
        <v>0</v>
      </c>
      <c r="H54" s="18" t="e">
        <f>G54/E54</f>
        <v>#DIV/0!</v>
      </c>
      <c r="I54">
        <f>SUM(I42:I53)</f>
        <v>65349320</v>
      </c>
      <c r="J54" s="18" t="e">
        <f>I54/G54</f>
        <v>#DIV/0!</v>
      </c>
      <c r="K54">
        <f>SUM(K42:K53)</f>
        <v>111342413</v>
      </c>
      <c r="L54" s="18" t="e">
        <f>K54/G54</f>
        <v>#DIV/0!</v>
      </c>
    </row>
    <row r="57" spans="3:12" x14ac:dyDescent="0.25">
      <c r="C57" s="1" t="s">
        <v>160</v>
      </c>
      <c r="E57" s="16" t="s">
        <v>173</v>
      </c>
      <c r="F57" s="16" t="s">
        <v>184</v>
      </c>
      <c r="G57" s="16" t="s">
        <v>183</v>
      </c>
      <c r="H57" s="16"/>
      <c r="I57" s="16" t="s">
        <v>174</v>
      </c>
      <c r="J57" s="16"/>
      <c r="K57" s="16" t="s">
        <v>175</v>
      </c>
    </row>
    <row r="58" spans="3:12" x14ac:dyDescent="0.25">
      <c r="C58" s="143" t="s">
        <v>192</v>
      </c>
      <c r="D58" s="143"/>
      <c r="E58" s="21" t="s">
        <v>176</v>
      </c>
      <c r="F58" s="21" t="s">
        <v>185</v>
      </c>
      <c r="G58" s="21" t="s">
        <v>176</v>
      </c>
      <c r="H58" s="21"/>
      <c r="I58" s="21" t="s">
        <v>176</v>
      </c>
      <c r="J58" s="21"/>
      <c r="K58" s="21" t="s">
        <v>176</v>
      </c>
      <c r="L58" s="17"/>
    </row>
    <row r="59" spans="3:12" x14ac:dyDescent="0.25">
      <c r="C59" t="s">
        <v>161</v>
      </c>
      <c r="F59" s="22"/>
      <c r="G59">
        <f>E59*(1-F59)</f>
        <v>0</v>
      </c>
      <c r="I59">
        <v>6186940</v>
      </c>
      <c r="K59">
        <v>10759532</v>
      </c>
    </row>
    <row r="60" spans="3:12" x14ac:dyDescent="0.25">
      <c r="C60" t="s">
        <v>162</v>
      </c>
      <c r="F60" s="22"/>
      <c r="G60">
        <f t="shared" ref="G60:G70" si="3">E60*(1-F60)</f>
        <v>0</v>
      </c>
      <c r="I60">
        <v>5736430</v>
      </c>
      <c r="K60">
        <v>9443469</v>
      </c>
    </row>
    <row r="61" spans="3:12" x14ac:dyDescent="0.25">
      <c r="C61" t="s">
        <v>163</v>
      </c>
      <c r="F61" s="22"/>
      <c r="G61">
        <f t="shared" si="3"/>
        <v>0</v>
      </c>
      <c r="I61">
        <v>6416820</v>
      </c>
      <c r="K61">
        <v>9341221</v>
      </c>
    </row>
    <row r="62" spans="3:12" x14ac:dyDescent="0.25">
      <c r="C62" t="s">
        <v>164</v>
      </c>
      <c r="F62" s="22"/>
      <c r="G62">
        <f t="shared" si="3"/>
        <v>0</v>
      </c>
      <c r="I62">
        <v>6283180</v>
      </c>
      <c r="K62">
        <v>9470830</v>
      </c>
    </row>
    <row r="63" spans="3:12" x14ac:dyDescent="0.25">
      <c r="C63" t="s">
        <v>165</v>
      </c>
      <c r="F63" s="22"/>
      <c r="G63">
        <f t="shared" si="3"/>
        <v>0</v>
      </c>
      <c r="I63">
        <v>5799500</v>
      </c>
      <c r="K63">
        <v>8242602</v>
      </c>
    </row>
    <row r="64" spans="3:12" x14ac:dyDescent="0.25">
      <c r="C64" t="s">
        <v>166</v>
      </c>
      <c r="F64" s="22"/>
      <c r="G64">
        <f t="shared" si="3"/>
        <v>0</v>
      </c>
      <c r="I64">
        <v>5849180</v>
      </c>
      <c r="K64">
        <v>8745904</v>
      </c>
    </row>
    <row r="65" spans="3:12" x14ac:dyDescent="0.25">
      <c r="C65" t="s">
        <v>167</v>
      </c>
      <c r="F65" s="22"/>
      <c r="G65">
        <f t="shared" si="3"/>
        <v>0</v>
      </c>
      <c r="I65">
        <v>5552250</v>
      </c>
      <c r="K65">
        <v>8853214</v>
      </c>
    </row>
    <row r="66" spans="3:12" x14ac:dyDescent="0.25">
      <c r="C66" t="s">
        <v>168</v>
      </c>
      <c r="F66" s="22"/>
      <c r="G66">
        <f t="shared" si="3"/>
        <v>0</v>
      </c>
      <c r="I66">
        <v>5552250</v>
      </c>
      <c r="K66">
        <v>7876040</v>
      </c>
    </row>
    <row r="67" spans="3:12" x14ac:dyDescent="0.25">
      <c r="C67" t="s">
        <v>169</v>
      </c>
      <c r="F67" s="22"/>
      <c r="G67">
        <f t="shared" si="3"/>
        <v>0</v>
      </c>
      <c r="I67">
        <v>5696570</v>
      </c>
      <c r="K67">
        <v>8628470</v>
      </c>
    </row>
    <row r="68" spans="3:12" x14ac:dyDescent="0.25">
      <c r="C68" t="s">
        <v>170</v>
      </c>
      <c r="F68" s="22"/>
      <c r="G68">
        <f t="shared" si="3"/>
        <v>0</v>
      </c>
      <c r="I68">
        <v>5311350</v>
      </c>
      <c r="K68">
        <v>8330270</v>
      </c>
    </row>
    <row r="69" spans="3:12" x14ac:dyDescent="0.25">
      <c r="C69" t="s">
        <v>171</v>
      </c>
      <c r="F69" s="22"/>
      <c r="G69">
        <f t="shared" si="3"/>
        <v>0</v>
      </c>
      <c r="I69">
        <v>5776020</v>
      </c>
      <c r="K69">
        <v>10331199</v>
      </c>
    </row>
    <row r="70" spans="3:12" x14ac:dyDescent="0.25">
      <c r="C70" s="17" t="s">
        <v>172</v>
      </c>
      <c r="D70" s="17"/>
      <c r="E70" s="17"/>
      <c r="F70" s="23"/>
      <c r="G70" s="17">
        <f t="shared" si="3"/>
        <v>0</v>
      </c>
      <c r="H70" s="17"/>
      <c r="I70" s="17">
        <v>6029610</v>
      </c>
      <c r="J70" s="17"/>
      <c r="K70" s="17">
        <v>9479681</v>
      </c>
      <c r="L70" s="17"/>
    </row>
    <row r="71" spans="3:12" x14ac:dyDescent="0.25">
      <c r="C71" t="s">
        <v>177</v>
      </c>
      <c r="E71">
        <f>SUM(E59:E70)</f>
        <v>0</v>
      </c>
      <c r="F71" s="18" t="e">
        <f>AVERAGE(F59:F70)</f>
        <v>#DIV/0!</v>
      </c>
      <c r="G71">
        <f>SUM(G59:G70)</f>
        <v>0</v>
      </c>
      <c r="H71" s="18" t="e">
        <f>G71/E71</f>
        <v>#DIV/0!</v>
      </c>
      <c r="I71">
        <f>SUM(I59:I70)</f>
        <v>70190100</v>
      </c>
      <c r="J71" s="18" t="e">
        <f>I71/G71</f>
        <v>#DIV/0!</v>
      </c>
      <c r="K71">
        <f>SUM(K59:K70)</f>
        <v>109502432</v>
      </c>
      <c r="L71" s="18" t="e">
        <f>K71/G71</f>
        <v>#DIV/0!</v>
      </c>
    </row>
    <row r="74" spans="3:12" x14ac:dyDescent="0.25">
      <c r="C74" s="1" t="s">
        <v>160</v>
      </c>
      <c r="E74" s="16" t="s">
        <v>173</v>
      </c>
      <c r="F74" s="16" t="s">
        <v>184</v>
      </c>
      <c r="G74" s="16" t="s">
        <v>183</v>
      </c>
      <c r="H74" s="16"/>
      <c r="I74" s="16" t="s">
        <v>174</v>
      </c>
      <c r="J74" s="16"/>
      <c r="K74" s="16" t="s">
        <v>175</v>
      </c>
    </row>
    <row r="75" spans="3:12" x14ac:dyDescent="0.25">
      <c r="C75" s="143" t="s">
        <v>193</v>
      </c>
      <c r="D75" s="143"/>
      <c r="E75" s="21" t="s">
        <v>176</v>
      </c>
      <c r="F75" s="21" t="s">
        <v>185</v>
      </c>
      <c r="G75" s="21" t="s">
        <v>176</v>
      </c>
      <c r="H75" s="21"/>
      <c r="I75" s="21" t="s">
        <v>176</v>
      </c>
      <c r="J75" s="21"/>
      <c r="K75" s="21" t="s">
        <v>176</v>
      </c>
      <c r="L75" s="17"/>
    </row>
    <row r="76" spans="3:12" x14ac:dyDescent="0.25">
      <c r="C76" t="s">
        <v>161</v>
      </c>
      <c r="F76" s="22"/>
      <c r="G76">
        <f>E76*(1-F76)</f>
        <v>0</v>
      </c>
      <c r="I76">
        <v>5132510</v>
      </c>
      <c r="K76">
        <v>10729500</v>
      </c>
    </row>
    <row r="77" spans="3:12" x14ac:dyDescent="0.25">
      <c r="C77" t="s">
        <v>162</v>
      </c>
      <c r="F77" s="22"/>
      <c r="G77">
        <f t="shared" ref="G77:G87" si="4">E77*(1-F77)</f>
        <v>0</v>
      </c>
      <c r="I77">
        <v>6688140</v>
      </c>
      <c r="K77">
        <v>11189070</v>
      </c>
    </row>
    <row r="78" spans="3:12" x14ac:dyDescent="0.25">
      <c r="C78" t="s">
        <v>163</v>
      </c>
      <c r="F78" s="22"/>
      <c r="G78">
        <f t="shared" si="4"/>
        <v>0</v>
      </c>
      <c r="I78">
        <v>6171000</v>
      </c>
      <c r="K78">
        <v>9567770</v>
      </c>
    </row>
    <row r="79" spans="3:12" x14ac:dyDescent="0.25">
      <c r="C79" t="s">
        <v>164</v>
      </c>
      <c r="F79" s="22"/>
      <c r="G79">
        <f t="shared" si="4"/>
        <v>0</v>
      </c>
      <c r="I79">
        <v>5807000</v>
      </c>
      <c r="K79">
        <v>9333730</v>
      </c>
    </row>
    <row r="80" spans="3:12" x14ac:dyDescent="0.25">
      <c r="C80" t="s">
        <v>165</v>
      </c>
      <c r="F80" s="22"/>
      <c r="G80">
        <f t="shared" si="4"/>
        <v>0</v>
      </c>
      <c r="I80">
        <v>5739990</v>
      </c>
      <c r="K80">
        <v>8238660</v>
      </c>
    </row>
    <row r="81" spans="3:15" x14ac:dyDescent="0.25">
      <c r="C81" t="s">
        <v>166</v>
      </c>
      <c r="F81" s="22"/>
      <c r="G81">
        <f t="shared" si="4"/>
        <v>0</v>
      </c>
      <c r="I81">
        <v>5262920</v>
      </c>
      <c r="K81">
        <v>8820038</v>
      </c>
    </row>
    <row r="82" spans="3:15" x14ac:dyDescent="0.25">
      <c r="C82" t="s">
        <v>167</v>
      </c>
      <c r="F82" s="22"/>
      <c r="G82">
        <f t="shared" si="4"/>
        <v>0</v>
      </c>
      <c r="I82">
        <v>5005160</v>
      </c>
      <c r="K82">
        <v>8864323</v>
      </c>
    </row>
    <row r="83" spans="3:15" x14ac:dyDescent="0.25">
      <c r="C83" t="s">
        <v>168</v>
      </c>
      <c r="F83" s="22"/>
      <c r="G83">
        <f t="shared" si="4"/>
        <v>0</v>
      </c>
      <c r="I83">
        <v>5239710</v>
      </c>
      <c r="K83">
        <v>8293702</v>
      </c>
    </row>
    <row r="84" spans="3:15" x14ac:dyDescent="0.25">
      <c r="C84" t="s">
        <v>169</v>
      </c>
      <c r="F84" s="22"/>
      <c r="G84">
        <f t="shared" si="4"/>
        <v>0</v>
      </c>
      <c r="I84">
        <v>4973190</v>
      </c>
      <c r="K84">
        <v>8932247</v>
      </c>
    </row>
    <row r="85" spans="3:15" x14ac:dyDescent="0.25">
      <c r="C85" t="s">
        <v>170</v>
      </c>
      <c r="F85" s="22"/>
      <c r="G85">
        <f t="shared" si="4"/>
        <v>0</v>
      </c>
      <c r="I85">
        <v>5364260</v>
      </c>
      <c r="K85">
        <v>8754450</v>
      </c>
    </row>
    <row r="86" spans="3:15" x14ac:dyDescent="0.25">
      <c r="C86" t="s">
        <v>171</v>
      </c>
      <c r="F86" s="22"/>
      <c r="G86">
        <f t="shared" si="4"/>
        <v>0</v>
      </c>
      <c r="I86">
        <v>571370</v>
      </c>
      <c r="K86">
        <v>9786920</v>
      </c>
    </row>
    <row r="87" spans="3:15" x14ac:dyDescent="0.25">
      <c r="C87" s="17" t="s">
        <v>172</v>
      </c>
      <c r="D87" s="17"/>
      <c r="E87" s="17"/>
      <c r="F87" s="23"/>
      <c r="G87" s="17">
        <f t="shared" si="4"/>
        <v>0</v>
      </c>
      <c r="H87" s="17"/>
      <c r="I87" s="17">
        <v>5425840</v>
      </c>
      <c r="J87" s="17"/>
      <c r="K87" s="17">
        <v>10365550</v>
      </c>
      <c r="L87" s="17"/>
    </row>
    <row r="88" spans="3:15" x14ac:dyDescent="0.25">
      <c r="C88" t="s">
        <v>177</v>
      </c>
      <c r="E88">
        <f>SUM(E76:E87)</f>
        <v>0</v>
      </c>
      <c r="F88" s="18" t="e">
        <f>AVERAGE(F76:F87)</f>
        <v>#DIV/0!</v>
      </c>
      <c r="G88">
        <f>SUM(G76:G87)</f>
        <v>0</v>
      </c>
      <c r="H88" s="18" t="e">
        <f>G88/E88</f>
        <v>#DIV/0!</v>
      </c>
      <c r="I88">
        <f>SUM(I76:I87)</f>
        <v>61381090</v>
      </c>
      <c r="J88" s="18" t="e">
        <f>I88/G88</f>
        <v>#DIV/0!</v>
      </c>
      <c r="K88">
        <f>SUM(K76:K87)</f>
        <v>112875960</v>
      </c>
      <c r="L88" s="18" t="e">
        <f>K88/G88</f>
        <v>#DIV/0!</v>
      </c>
    </row>
    <row r="91" spans="3:15" x14ac:dyDescent="0.25">
      <c r="M91" s="16"/>
      <c r="O91" s="16"/>
    </row>
    <row r="92" spans="3:15" x14ac:dyDescent="0.25">
      <c r="I92" s="16" t="s">
        <v>174</v>
      </c>
      <c r="J92" s="16"/>
      <c r="K92" s="16" t="s">
        <v>175</v>
      </c>
      <c r="M92" s="16"/>
      <c r="N92" s="16"/>
      <c r="O92" s="16"/>
    </row>
    <row r="93" spans="3:15" x14ac:dyDescent="0.25">
      <c r="F93" s="143" t="s">
        <v>194</v>
      </c>
      <c r="G93" s="143"/>
      <c r="H93" s="17"/>
      <c r="I93" s="21" t="s">
        <v>176</v>
      </c>
      <c r="J93" s="21"/>
      <c r="K93" s="21" t="s">
        <v>176</v>
      </c>
      <c r="M93" s="21"/>
      <c r="N93" s="21"/>
      <c r="O93" s="21"/>
    </row>
    <row r="94" spans="3:15" x14ac:dyDescent="0.25">
      <c r="F94" s="142" t="s">
        <v>189</v>
      </c>
      <c r="G94" s="142"/>
      <c r="I94">
        <f>I20</f>
        <v>69609722</v>
      </c>
      <c r="K94">
        <f>K20</f>
        <v>101556903</v>
      </c>
    </row>
    <row r="95" spans="3:15" x14ac:dyDescent="0.25">
      <c r="F95" s="142" t="s">
        <v>190</v>
      </c>
      <c r="G95" s="142"/>
      <c r="I95">
        <f>I37</f>
        <v>65399046</v>
      </c>
      <c r="K95">
        <f>K37</f>
        <v>96030532</v>
      </c>
    </row>
    <row r="96" spans="3:15" x14ac:dyDescent="0.25">
      <c r="F96" s="142" t="s">
        <v>191</v>
      </c>
      <c r="G96" s="142"/>
      <c r="I96">
        <f>I54</f>
        <v>65349320</v>
      </c>
      <c r="K96">
        <f>K54</f>
        <v>111342413</v>
      </c>
    </row>
    <row r="97" spans="6:11" x14ac:dyDescent="0.25">
      <c r="F97" s="142" t="s">
        <v>192</v>
      </c>
      <c r="G97" s="142"/>
      <c r="I97">
        <f>I71</f>
        <v>70190100</v>
      </c>
      <c r="K97">
        <f>K71</f>
        <v>109502432</v>
      </c>
    </row>
    <row r="98" spans="6:11" x14ac:dyDescent="0.25">
      <c r="F98" s="142" t="s">
        <v>193</v>
      </c>
      <c r="G98" s="142"/>
      <c r="I98">
        <f>I88</f>
        <v>61381090</v>
      </c>
      <c r="K98">
        <f>K88</f>
        <v>112875960</v>
      </c>
    </row>
    <row r="99" spans="6:11" x14ac:dyDescent="0.25">
      <c r="F99" s="142" t="s">
        <v>0</v>
      </c>
      <c r="G99" s="142"/>
      <c r="I99">
        <f>'Water Production and Sales'!I18</f>
        <v>69700620</v>
      </c>
      <c r="K99">
        <f>'Water Production and Sales'!K18</f>
        <v>115426390</v>
      </c>
    </row>
    <row r="100" spans="6:11" x14ac:dyDescent="0.25">
      <c r="F100" s="142" t="s">
        <v>1</v>
      </c>
      <c r="G100" s="142"/>
      <c r="I100">
        <f>'Water Production and Sales'!I41</f>
        <v>69117560</v>
      </c>
      <c r="K100">
        <f>'Water Production and Sales'!K41</f>
        <v>120198410</v>
      </c>
    </row>
    <row r="101" spans="6:11" x14ac:dyDescent="0.25">
      <c r="F101" s="142" t="s">
        <v>2</v>
      </c>
      <c r="G101" s="142"/>
      <c r="I101">
        <f>'Water Production and Sales'!I64</f>
        <v>70585970</v>
      </c>
      <c r="K101">
        <f>'Water Production and Sales'!K64</f>
        <v>126558929</v>
      </c>
    </row>
    <row r="103" spans="6:11" x14ac:dyDescent="0.25">
      <c r="G103" t="s">
        <v>210</v>
      </c>
      <c r="I103">
        <f>AVERAGE(I94:I101)</f>
        <v>67666678.5</v>
      </c>
      <c r="K103">
        <f>AVERAGE(K94:K101)</f>
        <v>111686496.125</v>
      </c>
    </row>
  </sheetData>
  <mergeCells count="14">
    <mergeCell ref="C7:D7"/>
    <mergeCell ref="C24:D24"/>
    <mergeCell ref="C41:D41"/>
    <mergeCell ref="C58:D58"/>
    <mergeCell ref="F98:G98"/>
    <mergeCell ref="F99:G99"/>
    <mergeCell ref="F100:G100"/>
    <mergeCell ref="F101:G101"/>
    <mergeCell ref="C75:D75"/>
    <mergeCell ref="F93:G93"/>
    <mergeCell ref="F94:G94"/>
    <mergeCell ref="F95:G95"/>
    <mergeCell ref="F96:G96"/>
    <mergeCell ref="F97:G97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47DE3-B19A-409A-B560-0B77052A7992}">
  <sheetPr>
    <pageSetUpPr fitToPage="1"/>
  </sheetPr>
  <dimension ref="D2:L60"/>
  <sheetViews>
    <sheetView topLeftCell="A24" workbookViewId="0">
      <selection activeCell="E33" sqref="E33"/>
    </sheetView>
  </sheetViews>
  <sheetFormatPr defaultRowHeight="15" x14ac:dyDescent="0.25"/>
  <cols>
    <col min="4" max="8" width="14.7109375" customWidth="1"/>
    <col min="9" max="9" width="18.140625" customWidth="1"/>
  </cols>
  <sheetData>
    <row r="2" spans="4:8" x14ac:dyDescent="0.25">
      <c r="D2" s="1" t="s">
        <v>289</v>
      </c>
    </row>
    <row r="3" spans="4:8" x14ac:dyDescent="0.25">
      <c r="D3" t="s">
        <v>220</v>
      </c>
    </row>
    <row r="4" spans="4:8" x14ac:dyDescent="0.25">
      <c r="D4" s="17" t="s">
        <v>216</v>
      </c>
      <c r="E4" s="17" t="s">
        <v>217</v>
      </c>
      <c r="F4" s="17" t="s">
        <v>218</v>
      </c>
      <c r="G4" s="17" t="s">
        <v>219</v>
      </c>
      <c r="H4" s="17" t="s">
        <v>218</v>
      </c>
    </row>
    <row r="5" spans="4:8" x14ac:dyDescent="0.25">
      <c r="G5">
        <v>0</v>
      </c>
    </row>
    <row r="6" spans="4:8" x14ac:dyDescent="0.25">
      <c r="D6" s="110">
        <v>2</v>
      </c>
      <c r="E6">
        <v>8672</v>
      </c>
      <c r="F6">
        <f>D6*E6/5280</f>
        <v>3.2848484848484847</v>
      </c>
      <c r="G6">
        <v>0</v>
      </c>
      <c r="H6">
        <f t="shared" ref="H6" si="0">D6*G6/5280</f>
        <v>0</v>
      </c>
    </row>
    <row r="7" spans="4:8" x14ac:dyDescent="0.25">
      <c r="D7">
        <v>4</v>
      </c>
      <c r="E7">
        <v>29208</v>
      </c>
      <c r="F7">
        <f>D7*E7/5280</f>
        <v>22.127272727272729</v>
      </c>
      <c r="G7" s="112">
        <v>4254</v>
      </c>
      <c r="H7">
        <f t="shared" ref="H7" si="1">D7*G7/5280</f>
        <v>3.2227272727272727</v>
      </c>
    </row>
    <row r="8" spans="4:8" x14ac:dyDescent="0.25">
      <c r="D8">
        <v>6</v>
      </c>
      <c r="E8">
        <v>33625</v>
      </c>
      <c r="F8">
        <f t="shared" ref="F8:F11" si="2">D8*E8/5280</f>
        <v>38.210227272727273</v>
      </c>
      <c r="G8" s="112">
        <v>18147</v>
      </c>
      <c r="H8">
        <f>D8*G8/5280</f>
        <v>20.621590909090909</v>
      </c>
    </row>
    <row r="9" spans="4:8" x14ac:dyDescent="0.25">
      <c r="D9">
        <v>8</v>
      </c>
      <c r="E9">
        <v>32881</v>
      </c>
      <c r="F9">
        <f t="shared" si="2"/>
        <v>49.81969696969697</v>
      </c>
      <c r="G9" s="112">
        <v>11650</v>
      </c>
      <c r="H9">
        <f t="shared" ref="H9:H11" si="3">D9*G9/5280</f>
        <v>17.651515151515152</v>
      </c>
    </row>
    <row r="10" spans="4:8" x14ac:dyDescent="0.25">
      <c r="D10">
        <v>12</v>
      </c>
      <c r="E10">
        <v>2904</v>
      </c>
      <c r="F10">
        <f t="shared" si="2"/>
        <v>6.6</v>
      </c>
      <c r="G10" s="112">
        <v>2904</v>
      </c>
      <c r="H10">
        <f t="shared" si="3"/>
        <v>6.6</v>
      </c>
    </row>
    <row r="11" spans="4:8" x14ac:dyDescent="0.25">
      <c r="D11" s="17">
        <v>16</v>
      </c>
      <c r="E11" s="17">
        <v>2856</v>
      </c>
      <c r="F11" s="17">
        <f t="shared" si="2"/>
        <v>8.6545454545454543</v>
      </c>
      <c r="G11" s="17">
        <v>0</v>
      </c>
      <c r="H11" s="17">
        <f t="shared" si="3"/>
        <v>0</v>
      </c>
    </row>
    <row r="12" spans="4:8" x14ac:dyDescent="0.25">
      <c r="E12" s="112">
        <f>SUM(E5:E11)</f>
        <v>110146</v>
      </c>
      <c r="F12">
        <f>SUM(F7:F11)</f>
        <v>125.41174242424242</v>
      </c>
      <c r="G12" s="112">
        <f>SUM(G5:G11)</f>
        <v>36955</v>
      </c>
      <c r="H12">
        <f>SUM(H7:H11)</f>
        <v>48.095833333333339</v>
      </c>
    </row>
    <row r="14" spans="4:8" x14ac:dyDescent="0.25">
      <c r="F14" t="s">
        <v>215</v>
      </c>
      <c r="H14" s="57">
        <f>H12/F12</f>
        <v>0.38350342961215639</v>
      </c>
    </row>
    <row r="17" spans="4:8" x14ac:dyDescent="0.25">
      <c r="D17" t="s">
        <v>221</v>
      </c>
    </row>
    <row r="18" spans="4:8" x14ac:dyDescent="0.25">
      <c r="D18" s="17" t="s">
        <v>216</v>
      </c>
      <c r="E18" s="17" t="s">
        <v>217</v>
      </c>
      <c r="F18" s="17" t="s">
        <v>218</v>
      </c>
      <c r="G18" s="17" t="s">
        <v>288</v>
      </c>
      <c r="H18" s="17" t="s">
        <v>218</v>
      </c>
    </row>
    <row r="19" spans="4:8" x14ac:dyDescent="0.25">
      <c r="G19">
        <v>0</v>
      </c>
    </row>
    <row r="20" spans="4:8" x14ac:dyDescent="0.25">
      <c r="D20" s="110">
        <v>2</v>
      </c>
      <c r="E20">
        <v>8672</v>
      </c>
      <c r="F20">
        <f>D20*E20/5280</f>
        <v>3.2848484848484847</v>
      </c>
      <c r="G20">
        <v>0</v>
      </c>
      <c r="H20">
        <f t="shared" ref="H20:H21" si="4">D20*G20/5280</f>
        <v>0</v>
      </c>
    </row>
    <row r="21" spans="4:8" x14ac:dyDescent="0.25">
      <c r="D21">
        <v>4</v>
      </c>
      <c r="E21">
        <v>29208</v>
      </c>
      <c r="F21">
        <f>D21*E21/5280</f>
        <v>22.127272727272729</v>
      </c>
      <c r="G21">
        <v>0</v>
      </c>
      <c r="H21">
        <f t="shared" si="4"/>
        <v>0</v>
      </c>
    </row>
    <row r="22" spans="4:8" x14ac:dyDescent="0.25">
      <c r="D22">
        <v>6</v>
      </c>
      <c r="E22">
        <v>33625</v>
      </c>
      <c r="F22">
        <f t="shared" ref="F22:F25" si="5">D22*E22/5280</f>
        <v>38.210227272727273</v>
      </c>
      <c r="G22">
        <v>0</v>
      </c>
      <c r="H22">
        <f>D22*G22/5280</f>
        <v>0</v>
      </c>
    </row>
    <row r="23" spans="4:8" x14ac:dyDescent="0.25">
      <c r="D23">
        <v>8</v>
      </c>
      <c r="E23">
        <v>32881</v>
      </c>
      <c r="F23">
        <f t="shared" si="5"/>
        <v>49.81969696969697</v>
      </c>
      <c r="G23" s="112">
        <v>19686</v>
      </c>
      <c r="H23">
        <f t="shared" ref="H23:H25" si="6">D23*G23/5280</f>
        <v>29.827272727272728</v>
      </c>
    </row>
    <row r="24" spans="4:8" x14ac:dyDescent="0.25">
      <c r="D24">
        <v>12</v>
      </c>
      <c r="E24">
        <v>2904</v>
      </c>
      <c r="F24">
        <f t="shared" si="5"/>
        <v>6.6</v>
      </c>
      <c r="G24" s="112">
        <v>2904</v>
      </c>
      <c r="H24">
        <f t="shared" si="6"/>
        <v>6.6</v>
      </c>
    </row>
    <row r="25" spans="4:8" x14ac:dyDescent="0.25">
      <c r="D25" s="17">
        <v>16</v>
      </c>
      <c r="E25" s="17">
        <v>2856</v>
      </c>
      <c r="F25" s="17">
        <f t="shared" si="5"/>
        <v>8.6545454545454543</v>
      </c>
      <c r="G25" s="113">
        <v>2856</v>
      </c>
      <c r="H25" s="17">
        <f t="shared" si="6"/>
        <v>8.6545454545454543</v>
      </c>
    </row>
    <row r="26" spans="4:8" x14ac:dyDescent="0.25">
      <c r="E26" s="112">
        <f>SUM(E19:E25)</f>
        <v>110146</v>
      </c>
      <c r="F26">
        <f>SUM(F21:F25)</f>
        <v>125.41174242424242</v>
      </c>
      <c r="G26" s="112">
        <f>SUM(G19:G25)</f>
        <v>25446</v>
      </c>
      <c r="H26">
        <f>SUM(H21:H25)</f>
        <v>45.081818181818186</v>
      </c>
    </row>
    <row r="28" spans="4:8" x14ac:dyDescent="0.25">
      <c r="F28" t="s">
        <v>215</v>
      </c>
      <c r="H28" s="57">
        <f>H26/F26</f>
        <v>0.35947047150748901</v>
      </c>
    </row>
    <row r="29" spans="4:8" ht="15.75" thickBot="1" x14ac:dyDescent="0.3"/>
    <row r="30" spans="4:8" ht="15.75" thickBot="1" x14ac:dyDescent="0.3">
      <c r="F30" t="s">
        <v>222</v>
      </c>
      <c r="H30" s="58">
        <v>0.35</v>
      </c>
    </row>
    <row r="34" spans="4:12" x14ac:dyDescent="0.25">
      <c r="D34" s="1" t="s">
        <v>290</v>
      </c>
    </row>
    <row r="35" spans="4:12" x14ac:dyDescent="0.25">
      <c r="D35" t="s">
        <v>220</v>
      </c>
      <c r="J35" s="112" t="s">
        <v>291</v>
      </c>
      <c r="K35" s="112"/>
      <c r="L35" s="112"/>
    </row>
    <row r="36" spans="4:12" x14ac:dyDescent="0.25">
      <c r="D36" s="17" t="s">
        <v>216</v>
      </c>
      <c r="E36" s="17" t="s">
        <v>217</v>
      </c>
      <c r="F36" s="17" t="s">
        <v>218</v>
      </c>
      <c r="G36" s="17" t="s">
        <v>219</v>
      </c>
      <c r="H36" s="17" t="s">
        <v>218</v>
      </c>
    </row>
    <row r="37" spans="4:12" x14ac:dyDescent="0.25">
      <c r="D37">
        <v>1</v>
      </c>
      <c r="E37">
        <v>1697</v>
      </c>
      <c r="F37">
        <f t="shared" ref="F37:F38" si="7">D37*E37/5280</f>
        <v>0.32140151515151516</v>
      </c>
      <c r="G37">
        <v>0</v>
      </c>
      <c r="H37">
        <f t="shared" ref="H37:H39" si="8">D37*G37/5280</f>
        <v>0</v>
      </c>
    </row>
    <row r="38" spans="4:12" x14ac:dyDescent="0.25">
      <c r="D38">
        <v>2</v>
      </c>
      <c r="E38">
        <v>7692</v>
      </c>
      <c r="F38">
        <f t="shared" si="7"/>
        <v>2.9136363636363636</v>
      </c>
      <c r="G38">
        <v>0</v>
      </c>
      <c r="H38">
        <f t="shared" si="8"/>
        <v>0</v>
      </c>
    </row>
    <row r="39" spans="4:12" x14ac:dyDescent="0.25">
      <c r="D39" s="10">
        <v>4</v>
      </c>
      <c r="E39" s="10">
        <v>30476</v>
      </c>
      <c r="F39" s="10">
        <f>D39*E39/5280</f>
        <v>23.087878787878786</v>
      </c>
      <c r="G39" s="10">
        <v>4905</v>
      </c>
      <c r="H39">
        <f t="shared" si="8"/>
        <v>3.7159090909090908</v>
      </c>
    </row>
    <row r="40" spans="4:12" x14ac:dyDescent="0.25">
      <c r="D40" s="10">
        <v>6</v>
      </c>
      <c r="E40" s="10">
        <v>29522</v>
      </c>
      <c r="F40" s="10">
        <f t="shared" ref="F40:F43" si="9">D40*E40/5280</f>
        <v>33.547727272727272</v>
      </c>
      <c r="G40" s="10">
        <v>6653</v>
      </c>
      <c r="H40">
        <f>D40*G40/5280</f>
        <v>7.560227272727273</v>
      </c>
    </row>
    <row r="41" spans="4:12" x14ac:dyDescent="0.25">
      <c r="D41" s="10">
        <v>8</v>
      </c>
      <c r="E41" s="10">
        <v>28318</v>
      </c>
      <c r="F41" s="10">
        <f t="shared" si="9"/>
        <v>42.906060606060606</v>
      </c>
      <c r="G41" s="10">
        <v>4492</v>
      </c>
      <c r="H41">
        <f t="shared" ref="H41:H43" si="10">D41*G41/5280</f>
        <v>6.8060606060606057</v>
      </c>
    </row>
    <row r="42" spans="4:12" x14ac:dyDescent="0.25">
      <c r="D42" s="10">
        <v>12</v>
      </c>
      <c r="E42" s="10">
        <v>6488</v>
      </c>
      <c r="F42" s="10">
        <f t="shared" si="9"/>
        <v>14.745454545454546</v>
      </c>
      <c r="G42" s="10">
        <v>5502</v>
      </c>
      <c r="H42">
        <f t="shared" si="10"/>
        <v>12.504545454545454</v>
      </c>
    </row>
    <row r="43" spans="4:12" x14ac:dyDescent="0.25">
      <c r="D43" s="13">
        <v>16</v>
      </c>
      <c r="E43" s="13">
        <v>1336</v>
      </c>
      <c r="F43" s="13">
        <f t="shared" si="9"/>
        <v>4.0484848484848488</v>
      </c>
      <c r="G43" s="13">
        <v>0</v>
      </c>
      <c r="H43" s="17">
        <f t="shared" si="10"/>
        <v>0</v>
      </c>
    </row>
    <row r="44" spans="4:12" x14ac:dyDescent="0.25">
      <c r="D44" s="10"/>
      <c r="E44" s="10">
        <f>SUM(E37:E43)</f>
        <v>105529</v>
      </c>
      <c r="F44" s="10">
        <f>SUM(F39:F43)</f>
        <v>118.33560606060605</v>
      </c>
      <c r="G44" s="10">
        <f>SUM(G37:G43)</f>
        <v>21552</v>
      </c>
      <c r="H44">
        <f>SUM(H39:H43)</f>
        <v>30.586742424242424</v>
      </c>
    </row>
    <row r="46" spans="4:12" x14ac:dyDescent="0.25">
      <c r="F46" t="s">
        <v>215</v>
      </c>
      <c r="H46" s="111">
        <f>H44/F44</f>
        <v>0.25847454914438261</v>
      </c>
    </row>
    <row r="49" spans="4:8" x14ac:dyDescent="0.25">
      <c r="D49" t="s">
        <v>221</v>
      </c>
    </row>
    <row r="50" spans="4:8" x14ac:dyDescent="0.25">
      <c r="D50" s="17" t="s">
        <v>216</v>
      </c>
      <c r="E50" s="17" t="s">
        <v>217</v>
      </c>
      <c r="F50" s="17" t="s">
        <v>218</v>
      </c>
      <c r="G50" s="17" t="s">
        <v>288</v>
      </c>
      <c r="H50" s="17" t="s">
        <v>218</v>
      </c>
    </row>
    <row r="51" spans="4:8" x14ac:dyDescent="0.25">
      <c r="D51">
        <v>1</v>
      </c>
      <c r="E51">
        <v>1697</v>
      </c>
      <c r="F51">
        <f t="shared" ref="F51:F52" si="11">D51*E51/5280</f>
        <v>0.32140151515151516</v>
      </c>
      <c r="G51">
        <v>0</v>
      </c>
      <c r="H51">
        <f t="shared" ref="H51:H53" si="12">D51*G51/5280</f>
        <v>0</v>
      </c>
    </row>
    <row r="52" spans="4:8" x14ac:dyDescent="0.25">
      <c r="D52">
        <v>2</v>
      </c>
      <c r="E52">
        <v>7692</v>
      </c>
      <c r="F52">
        <f t="shared" si="11"/>
        <v>2.9136363636363636</v>
      </c>
      <c r="G52">
        <v>0</v>
      </c>
      <c r="H52">
        <f t="shared" si="12"/>
        <v>0</v>
      </c>
    </row>
    <row r="53" spans="4:8" x14ac:dyDescent="0.25">
      <c r="D53">
        <v>4</v>
      </c>
      <c r="E53">
        <v>30476</v>
      </c>
      <c r="F53">
        <f>D53*E53/5280</f>
        <v>23.087878787878786</v>
      </c>
      <c r="G53">
        <v>0</v>
      </c>
      <c r="H53">
        <f t="shared" si="12"/>
        <v>0</v>
      </c>
    </row>
    <row r="54" spans="4:8" x14ac:dyDescent="0.25">
      <c r="D54">
        <v>6</v>
      </c>
      <c r="E54">
        <v>29522</v>
      </c>
      <c r="F54">
        <f t="shared" ref="F54:F57" si="13">D54*E54/5280</f>
        <v>33.547727272727272</v>
      </c>
      <c r="G54">
        <v>0</v>
      </c>
      <c r="H54">
        <f>D54*G54/5280</f>
        <v>0</v>
      </c>
    </row>
    <row r="55" spans="4:8" x14ac:dyDescent="0.25">
      <c r="D55" s="10">
        <v>8</v>
      </c>
      <c r="E55" s="10">
        <v>28318</v>
      </c>
      <c r="F55" s="10">
        <f t="shared" si="13"/>
        <v>42.906060606060606</v>
      </c>
      <c r="G55" s="10">
        <v>10596</v>
      </c>
      <c r="H55" s="10">
        <f t="shared" ref="H55:H57" si="14">D55*G55/5280</f>
        <v>16.054545454545455</v>
      </c>
    </row>
    <row r="56" spans="4:8" x14ac:dyDescent="0.25">
      <c r="D56" s="10">
        <v>12</v>
      </c>
      <c r="E56" s="10">
        <v>6488</v>
      </c>
      <c r="F56" s="10">
        <f t="shared" si="13"/>
        <v>14.745454545454546</v>
      </c>
      <c r="G56" s="10">
        <v>2679</v>
      </c>
      <c r="H56" s="10">
        <f t="shared" si="14"/>
        <v>6.0886363636363638</v>
      </c>
    </row>
    <row r="57" spans="4:8" x14ac:dyDescent="0.25">
      <c r="D57" s="13">
        <v>16</v>
      </c>
      <c r="E57" s="13">
        <v>1336</v>
      </c>
      <c r="F57" s="13">
        <f t="shared" si="13"/>
        <v>4.0484848484848488</v>
      </c>
      <c r="G57" s="13">
        <v>1136</v>
      </c>
      <c r="H57" s="13">
        <f t="shared" si="14"/>
        <v>3.4424242424242424</v>
      </c>
    </row>
    <row r="58" spans="4:8" x14ac:dyDescent="0.25">
      <c r="D58" s="10"/>
      <c r="E58" s="10">
        <f>SUM(E51:E57)</f>
        <v>105529</v>
      </c>
      <c r="F58" s="10">
        <f>SUM(F53:F57)</f>
        <v>118.33560606060605</v>
      </c>
      <c r="G58" s="10">
        <f>SUM(G51:G57)</f>
        <v>14411</v>
      </c>
      <c r="H58" s="10">
        <f>SUM(H53:H57)</f>
        <v>25.585606060606061</v>
      </c>
    </row>
    <row r="60" spans="4:8" x14ac:dyDescent="0.25">
      <c r="F60" t="s">
        <v>215</v>
      </c>
      <c r="H60" s="111">
        <f>H58/F58</f>
        <v>0.21621223664078157</v>
      </c>
    </row>
  </sheetData>
  <pageMargins left="0.7" right="0.7" top="0.75" bottom="0.75" header="0.3" footer="0.3"/>
  <pageSetup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FF061-5C51-4936-B4EF-6C780686EFD3}">
  <sheetPr>
    <pageSetUpPr fitToPage="1"/>
  </sheetPr>
  <dimension ref="D5:I42"/>
  <sheetViews>
    <sheetView topLeftCell="A19" workbookViewId="0">
      <selection activeCell="D5" sqref="D5:H31"/>
    </sheetView>
  </sheetViews>
  <sheetFormatPr defaultRowHeight="15" x14ac:dyDescent="0.25"/>
  <cols>
    <col min="4" max="4" width="33.85546875" customWidth="1"/>
    <col min="5" max="5" width="23.42578125" customWidth="1"/>
    <col min="6" max="6" width="7.28515625" customWidth="1"/>
    <col min="7" max="7" width="41.85546875" customWidth="1"/>
    <col min="8" max="8" width="22" customWidth="1"/>
    <col min="9" max="9" width="7.85546875" customWidth="1"/>
  </cols>
  <sheetData>
    <row r="5" spans="4:9" x14ac:dyDescent="0.25">
      <c r="D5" s="144" t="s">
        <v>323</v>
      </c>
      <c r="E5" s="145"/>
      <c r="F5" s="145"/>
      <c r="G5" s="145"/>
      <c r="H5" s="146"/>
      <c r="I5" s="114"/>
    </row>
    <row r="6" spans="4:9" x14ac:dyDescent="0.25">
      <c r="D6" s="147" t="s">
        <v>292</v>
      </c>
      <c r="E6" s="148"/>
      <c r="F6" s="148"/>
      <c r="G6" s="148"/>
      <c r="H6" s="149"/>
      <c r="I6" s="114"/>
    </row>
    <row r="7" spans="4:9" x14ac:dyDescent="0.25">
      <c r="D7" s="117" t="s">
        <v>293</v>
      </c>
      <c r="E7" s="117"/>
      <c r="F7" s="117"/>
      <c r="G7" s="117" t="s">
        <v>302</v>
      </c>
      <c r="H7" s="117">
        <v>0.15</v>
      </c>
    </row>
    <row r="8" spans="4:9" x14ac:dyDescent="0.25">
      <c r="D8" s="117" t="s">
        <v>294</v>
      </c>
      <c r="E8" s="117"/>
      <c r="F8" s="117"/>
      <c r="G8" s="117" t="s">
        <v>303</v>
      </c>
      <c r="H8" s="117">
        <v>1.9199999999999998E-2</v>
      </c>
    </row>
    <row r="9" spans="4:9" x14ac:dyDescent="0.25">
      <c r="D9" s="117" t="s">
        <v>295</v>
      </c>
      <c r="E9" s="117"/>
      <c r="F9" s="118" t="s">
        <v>300</v>
      </c>
      <c r="G9" s="117" t="s">
        <v>304</v>
      </c>
      <c r="H9" s="117">
        <f>H7+H8</f>
        <v>0.16919999999999999</v>
      </c>
    </row>
    <row r="10" spans="4:9" x14ac:dyDescent="0.25">
      <c r="D10" s="117" t="s">
        <v>296</v>
      </c>
      <c r="E10" s="117"/>
      <c r="F10" s="118" t="s">
        <v>300</v>
      </c>
      <c r="G10" s="119" t="s">
        <v>305</v>
      </c>
      <c r="H10" s="120">
        <f>1/(1-H9)</f>
        <v>1.203659123736158</v>
      </c>
    </row>
    <row r="11" spans="4:9" x14ac:dyDescent="0.25">
      <c r="D11" s="150" t="s">
        <v>297</v>
      </c>
      <c r="E11" s="150"/>
      <c r="F11" s="150"/>
      <c r="G11" s="150"/>
      <c r="H11" s="150"/>
    </row>
    <row r="12" spans="4:9" x14ac:dyDescent="0.25">
      <c r="D12" s="117" t="s">
        <v>298</v>
      </c>
      <c r="E12" s="119"/>
      <c r="F12" s="118" t="s">
        <v>300</v>
      </c>
      <c r="G12" s="117" t="s">
        <v>301</v>
      </c>
      <c r="H12" s="121">
        <f>'Distribution Factor'!H44/'Distribution Factor'!F44</f>
        <v>0.25847454914438261</v>
      </c>
    </row>
    <row r="13" spans="4:9" x14ac:dyDescent="0.25">
      <c r="D13" s="117" t="s">
        <v>299</v>
      </c>
      <c r="E13" s="119"/>
      <c r="F13" s="117"/>
      <c r="G13" s="117"/>
      <c r="H13" s="121">
        <f>'Distribution Factor'!H58/'Distribution Factor'!F58</f>
        <v>0.21621223664078157</v>
      </c>
    </row>
    <row r="14" spans="4:9" x14ac:dyDescent="0.25">
      <c r="D14" s="150" t="s">
        <v>306</v>
      </c>
      <c r="E14" s="150"/>
      <c r="F14" s="150"/>
      <c r="G14" s="150"/>
      <c r="H14" s="150"/>
    </row>
    <row r="15" spans="4:9" x14ac:dyDescent="0.25">
      <c r="D15" s="117" t="s">
        <v>298</v>
      </c>
      <c r="E15" s="117"/>
      <c r="F15" s="118" t="s">
        <v>300</v>
      </c>
      <c r="G15" s="117" t="s">
        <v>312</v>
      </c>
      <c r="H15" s="120">
        <f>H12*H7</f>
        <v>3.8771182371657394E-2</v>
      </c>
    </row>
    <row r="16" spans="4:9" x14ac:dyDescent="0.25">
      <c r="D16" s="117" t="s">
        <v>299</v>
      </c>
      <c r="E16" s="117"/>
      <c r="F16" s="117"/>
      <c r="G16" s="117"/>
      <c r="H16" s="120">
        <f>H13*H7</f>
        <v>3.2431835496117237E-2</v>
      </c>
    </row>
    <row r="17" spans="4:8" x14ac:dyDescent="0.25">
      <c r="D17" s="150" t="s">
        <v>307</v>
      </c>
      <c r="E17" s="150"/>
      <c r="F17" s="150"/>
      <c r="G17" s="150"/>
      <c r="H17" s="150"/>
    </row>
    <row r="18" spans="4:8" x14ac:dyDescent="0.25">
      <c r="D18" s="117" t="s">
        <v>298</v>
      </c>
      <c r="E18" s="117"/>
      <c r="F18" s="118" t="s">
        <v>300</v>
      </c>
      <c r="G18" s="117" t="s">
        <v>318</v>
      </c>
      <c r="H18" s="120">
        <f>H15*H8</f>
        <v>7.4440670153582192E-4</v>
      </c>
    </row>
    <row r="19" spans="4:8" x14ac:dyDescent="0.25">
      <c r="D19" s="117" t="s">
        <v>299</v>
      </c>
      <c r="E19" s="117"/>
      <c r="F19" s="117"/>
      <c r="G19" s="117"/>
      <c r="H19" s="120">
        <f>H16*H8</f>
        <v>6.2269124152545088E-4</v>
      </c>
    </row>
    <row r="20" spans="4:8" x14ac:dyDescent="0.25">
      <c r="D20" s="150" t="s">
        <v>308</v>
      </c>
      <c r="E20" s="150"/>
      <c r="F20" s="150"/>
      <c r="G20" s="150"/>
      <c r="H20" s="150"/>
    </row>
    <row r="21" spans="4:8" x14ac:dyDescent="0.25">
      <c r="D21" s="117" t="s">
        <v>298</v>
      </c>
      <c r="E21" s="117"/>
      <c r="F21" s="118" t="s">
        <v>300</v>
      </c>
      <c r="G21" s="117" t="s">
        <v>313</v>
      </c>
      <c r="H21" s="120">
        <f>1/(1-H18)</f>
        <v>1.0007449612556869</v>
      </c>
    </row>
    <row r="22" spans="4:8" x14ac:dyDescent="0.25">
      <c r="D22" s="117" t="s">
        <v>299</v>
      </c>
      <c r="E22" s="117"/>
      <c r="F22" s="117"/>
      <c r="G22" s="117"/>
      <c r="H22" s="120">
        <f>1/(1-H19)</f>
        <v>1.0006230792275033</v>
      </c>
    </row>
    <row r="23" spans="4:8" x14ac:dyDescent="0.25">
      <c r="D23" s="150" t="s">
        <v>309</v>
      </c>
      <c r="E23" s="150"/>
      <c r="F23" s="150"/>
      <c r="G23" s="150"/>
      <c r="H23" s="150"/>
    </row>
    <row r="24" spans="4:8" ht="39.950000000000003" customHeight="1" x14ac:dyDescent="0.25">
      <c r="D24" s="117" t="s">
        <v>298</v>
      </c>
      <c r="E24" s="117"/>
      <c r="F24" s="118" t="s">
        <v>300</v>
      </c>
      <c r="G24" s="122" t="s">
        <v>314</v>
      </c>
      <c r="H24" s="120">
        <f>(E41/$E$40)*(H21/$H$10)</f>
        <v>0.22447293233147284</v>
      </c>
    </row>
    <row r="25" spans="4:8" x14ac:dyDescent="0.25">
      <c r="D25" s="117" t="s">
        <v>299</v>
      </c>
      <c r="E25" s="117"/>
      <c r="F25" s="117"/>
      <c r="G25" s="117"/>
      <c r="H25" s="120">
        <f>(E42/$E$40)*(H22/$H$10)</f>
        <v>0.40242549517701104</v>
      </c>
    </row>
    <row r="26" spans="4:8" x14ac:dyDescent="0.25">
      <c r="D26" s="150" t="s">
        <v>310</v>
      </c>
      <c r="E26" s="150"/>
      <c r="F26" s="150"/>
      <c r="G26" s="150"/>
      <c r="H26" s="150"/>
    </row>
    <row r="27" spans="4:8" ht="39.950000000000003" customHeight="1" x14ac:dyDescent="0.25">
      <c r="D27" s="117" t="s">
        <v>298</v>
      </c>
      <c r="E27" s="117"/>
      <c r="F27" s="118" t="s">
        <v>300</v>
      </c>
      <c r="G27" s="123" t="s">
        <v>315</v>
      </c>
      <c r="H27" s="120">
        <f>(E41/$E$40)*H12</f>
        <v>6.9784965215102912E-2</v>
      </c>
    </row>
    <row r="28" spans="4:8" x14ac:dyDescent="0.25">
      <c r="D28" s="117" t="s">
        <v>299</v>
      </c>
      <c r="E28" s="117"/>
      <c r="F28" s="117"/>
      <c r="G28" s="117"/>
      <c r="H28" s="120">
        <f>(E42/$E$40)*H13</f>
        <v>0.10466434334887612</v>
      </c>
    </row>
    <row r="29" spans="4:8" x14ac:dyDescent="0.25">
      <c r="D29" s="150" t="s">
        <v>311</v>
      </c>
      <c r="E29" s="150"/>
      <c r="F29" s="150"/>
      <c r="G29" s="150"/>
      <c r="H29" s="150"/>
    </row>
    <row r="30" spans="4:8" ht="39.950000000000003" customHeight="1" x14ac:dyDescent="0.25">
      <c r="D30" s="117" t="s">
        <v>298</v>
      </c>
      <c r="E30" s="117"/>
      <c r="F30" s="118" t="s">
        <v>300</v>
      </c>
      <c r="G30" s="123" t="s">
        <v>316</v>
      </c>
      <c r="H30" s="120">
        <f>E41/$E$40</f>
        <v>0.26998776260993251</v>
      </c>
    </row>
    <row r="31" spans="4:8" x14ac:dyDescent="0.25">
      <c r="D31" s="117" t="s">
        <v>299</v>
      </c>
      <c r="E31" s="117"/>
      <c r="F31" s="117"/>
      <c r="G31" s="117"/>
      <c r="H31" s="120">
        <f>E42/$E$40</f>
        <v>0.48408149776817261</v>
      </c>
    </row>
    <row r="39" spans="4:6" x14ac:dyDescent="0.25">
      <c r="D39" s="1" t="s">
        <v>319</v>
      </c>
    </row>
    <row r="40" spans="4:6" x14ac:dyDescent="0.25">
      <c r="D40" t="s">
        <v>181</v>
      </c>
      <c r="E40" s="116">
        <f>'Water Production and Sales'!G115</f>
        <v>261441368</v>
      </c>
      <c r="F40" t="s">
        <v>322</v>
      </c>
    </row>
    <row r="41" spans="4:6" x14ac:dyDescent="0.25">
      <c r="D41" t="s">
        <v>320</v>
      </c>
      <c r="E41" s="116">
        <f>'Water Production and Sales'!I115</f>
        <v>70585970</v>
      </c>
      <c r="F41" t="s">
        <v>322</v>
      </c>
    </row>
    <row r="42" spans="4:6" x14ac:dyDescent="0.25">
      <c r="D42" t="s">
        <v>321</v>
      </c>
      <c r="E42" s="116">
        <f>'Water Production and Sales'!K115</f>
        <v>126558929</v>
      </c>
      <c r="F42" t="s">
        <v>322</v>
      </c>
    </row>
  </sheetData>
  <mergeCells count="9">
    <mergeCell ref="D5:H5"/>
    <mergeCell ref="D6:H6"/>
    <mergeCell ref="D23:H23"/>
    <mergeCell ref="D26:H26"/>
    <mergeCell ref="D29:H29"/>
    <mergeCell ref="D11:H11"/>
    <mergeCell ref="D14:H14"/>
    <mergeCell ref="D17:H17"/>
    <mergeCell ref="D20:H20"/>
  </mergeCells>
  <pageMargins left="0.7" right="0.7" top="0.75" bottom="0.75" header="0.3" footer="0.3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47A37-B9F2-4326-9700-C6AD50CAB9B7}">
  <sheetPr>
    <pageSetUpPr fitToPage="1"/>
  </sheetPr>
  <dimension ref="A4:H136"/>
  <sheetViews>
    <sheetView topLeftCell="A21" workbookViewId="0">
      <selection activeCell="G7" sqref="G7"/>
    </sheetView>
  </sheetViews>
  <sheetFormatPr defaultRowHeight="15" x14ac:dyDescent="0.25"/>
  <cols>
    <col min="1" max="1" width="16.28515625" customWidth="1"/>
    <col min="3" max="3" width="15" customWidth="1"/>
    <col min="4" max="4" width="41.85546875" customWidth="1"/>
    <col min="5" max="8" width="20.7109375" customWidth="1"/>
  </cols>
  <sheetData>
    <row r="4" spans="4:8" x14ac:dyDescent="0.25">
      <c r="D4" s="151" t="s">
        <v>323</v>
      </c>
      <c r="E4" s="151"/>
      <c r="F4" s="151"/>
      <c r="G4" s="151"/>
      <c r="H4" s="151"/>
    </row>
    <row r="5" spans="4:8" x14ac:dyDescent="0.25">
      <c r="D5" s="151" t="s">
        <v>324</v>
      </c>
      <c r="E5" s="151"/>
      <c r="F5" s="151"/>
      <c r="G5" s="151"/>
      <c r="H5" s="151"/>
    </row>
    <row r="6" spans="4:8" ht="30" customHeight="1" x14ac:dyDescent="0.25">
      <c r="D6" s="117" t="s">
        <v>325</v>
      </c>
      <c r="E6" s="125" t="s">
        <v>181</v>
      </c>
      <c r="F6" s="126" t="s">
        <v>326</v>
      </c>
      <c r="G6" s="126" t="s">
        <v>327</v>
      </c>
      <c r="H6" s="126" t="s">
        <v>328</v>
      </c>
    </row>
    <row r="7" spans="4:8" x14ac:dyDescent="0.25">
      <c r="D7" s="117" t="s">
        <v>329</v>
      </c>
      <c r="E7" s="133">
        <f>F7+G7+H7</f>
        <v>228994.02</v>
      </c>
      <c r="F7" s="133">
        <f>F62+F63</f>
        <v>129673.29</v>
      </c>
      <c r="G7" s="133">
        <f>SUM(F101:F102)</f>
        <v>99320.73</v>
      </c>
      <c r="H7" s="117"/>
    </row>
    <row r="8" spans="4:8" x14ac:dyDescent="0.25">
      <c r="D8" s="117" t="s">
        <v>330</v>
      </c>
      <c r="E8" s="133">
        <f t="shared" ref="E8:E16" si="0">F8+G8+H8</f>
        <v>66420.53</v>
      </c>
      <c r="F8" s="133">
        <f>F65</f>
        <v>38655.440000000002</v>
      </c>
      <c r="G8" s="133">
        <f>F104</f>
        <v>27765.09</v>
      </c>
      <c r="H8" s="117"/>
    </row>
    <row r="9" spans="4:8" x14ac:dyDescent="0.25">
      <c r="D9" s="117" t="s">
        <v>331</v>
      </c>
      <c r="E9" s="133">
        <f t="shared" si="0"/>
        <v>20358.47</v>
      </c>
      <c r="F9" s="133">
        <f>F67+F69</f>
        <v>11575.82</v>
      </c>
      <c r="G9" s="133">
        <f>F106+F69</f>
        <v>8782.65</v>
      </c>
      <c r="H9" s="117"/>
    </row>
    <row r="10" spans="4:8" x14ac:dyDescent="0.25">
      <c r="D10" s="117" t="s">
        <v>332</v>
      </c>
      <c r="E10" s="133">
        <f t="shared" si="0"/>
        <v>60277.350000000006</v>
      </c>
      <c r="F10" s="133">
        <f>F66+F68</f>
        <v>32592.370000000003</v>
      </c>
      <c r="G10" s="133">
        <f>F105+F107</f>
        <v>27684.98</v>
      </c>
      <c r="H10" s="117"/>
    </row>
    <row r="11" spans="4:8" x14ac:dyDescent="0.25">
      <c r="D11" s="117" t="s">
        <v>333</v>
      </c>
      <c r="E11" s="133">
        <f t="shared" si="0"/>
        <v>30677.35</v>
      </c>
      <c r="F11" s="133">
        <f>F77+F78</f>
        <v>30677.35</v>
      </c>
      <c r="G11" s="133"/>
      <c r="H11" s="117"/>
    </row>
    <row r="12" spans="4:8" x14ac:dyDescent="0.25">
      <c r="D12" s="117" t="s">
        <v>338</v>
      </c>
      <c r="E12" s="133">
        <f t="shared" si="0"/>
        <v>76476.777600000016</v>
      </c>
      <c r="F12" s="133">
        <f>'WTP Electric Usage'!H48</f>
        <v>76476.777600000016</v>
      </c>
      <c r="G12" s="133"/>
      <c r="H12" s="117"/>
    </row>
    <row r="13" spans="4:8" x14ac:dyDescent="0.25">
      <c r="D13" s="117" t="s">
        <v>339</v>
      </c>
      <c r="E13" s="133">
        <f t="shared" si="0"/>
        <v>197428.16</v>
      </c>
      <c r="F13" s="133">
        <f>F70</f>
        <v>197428.16</v>
      </c>
      <c r="G13" s="133"/>
      <c r="H13" s="117"/>
    </row>
    <row r="14" spans="4:8" x14ac:dyDescent="0.25">
      <c r="D14" s="117" t="s">
        <v>340</v>
      </c>
      <c r="E14" s="133">
        <f t="shared" si="0"/>
        <v>4920.5</v>
      </c>
      <c r="F14" s="133">
        <f>F71</f>
        <v>4920.5</v>
      </c>
      <c r="G14" s="133"/>
      <c r="H14" s="117"/>
    </row>
    <row r="15" spans="4:8" x14ac:dyDescent="0.25">
      <c r="D15" s="117" t="s">
        <v>334</v>
      </c>
      <c r="E15" s="133">
        <f t="shared" si="0"/>
        <v>23708.97</v>
      </c>
      <c r="F15" s="133">
        <f>F80</f>
        <v>23708.97</v>
      </c>
      <c r="G15" s="133"/>
      <c r="H15" s="117"/>
    </row>
    <row r="16" spans="4:8" x14ac:dyDescent="0.25">
      <c r="D16" s="117" t="s">
        <v>335</v>
      </c>
      <c r="E16" s="133">
        <f t="shared" si="0"/>
        <v>914.24</v>
      </c>
      <c r="F16" s="133">
        <f>F83</f>
        <v>914.24</v>
      </c>
      <c r="G16" s="133"/>
      <c r="H16" s="117"/>
    </row>
    <row r="17" spans="3:8" x14ac:dyDescent="0.25">
      <c r="C17" s="138"/>
      <c r="D17" s="117" t="s">
        <v>336</v>
      </c>
      <c r="E17" s="133">
        <f>SUM(E7:E16)-SUM(E12:E14)</f>
        <v>431350.93</v>
      </c>
      <c r="F17" s="133">
        <f>SUM(F7:F16)-SUM(F12:F14)</f>
        <v>267797.47999999992</v>
      </c>
      <c r="G17" s="133">
        <f>SUM(G7:G16)-SUM(G12:G14)</f>
        <v>163553.45000000001</v>
      </c>
      <c r="H17" s="117"/>
    </row>
    <row r="18" spans="3:8" x14ac:dyDescent="0.25">
      <c r="D18" s="117" t="s">
        <v>337</v>
      </c>
      <c r="E18" s="117"/>
      <c r="F18" s="134">
        <f>F17/E17</f>
        <v>0.62083436333381714</v>
      </c>
      <c r="G18" s="134">
        <f>G17/E17</f>
        <v>0.37916563666618269</v>
      </c>
      <c r="H18" s="117"/>
    </row>
    <row r="19" spans="3:8" x14ac:dyDescent="0.25">
      <c r="D19" s="117"/>
      <c r="E19" s="117"/>
      <c r="F19" s="134"/>
      <c r="G19" s="134"/>
      <c r="H19" s="117"/>
    </row>
    <row r="20" spans="3:8" x14ac:dyDescent="0.25">
      <c r="D20" s="117" t="s">
        <v>341</v>
      </c>
      <c r="E20" s="117"/>
      <c r="F20" s="132">
        <f>SUM(F72:F76)+F79+SUM(F81:F82)+SUM(F84:F96)</f>
        <v>113419.1</v>
      </c>
      <c r="G20" s="133">
        <f>SUM(F109:F132)</f>
        <v>62209.14</v>
      </c>
      <c r="H20" s="117"/>
    </row>
    <row r="21" spans="3:8" x14ac:dyDescent="0.25">
      <c r="D21" s="117" t="s">
        <v>342</v>
      </c>
      <c r="E21" s="117"/>
      <c r="F21" s="124" t="s">
        <v>373</v>
      </c>
      <c r="G21" s="124" t="s">
        <v>373</v>
      </c>
      <c r="H21" s="117"/>
    </row>
    <row r="22" spans="3:8" x14ac:dyDescent="0.25">
      <c r="D22" s="117" t="s">
        <v>343</v>
      </c>
      <c r="E22" s="117"/>
      <c r="F22" s="124" t="s">
        <v>373</v>
      </c>
      <c r="G22" s="124" t="s">
        <v>373</v>
      </c>
      <c r="H22" s="117"/>
    </row>
    <row r="23" spans="3:8" x14ac:dyDescent="0.25">
      <c r="D23" s="117" t="s">
        <v>344</v>
      </c>
      <c r="E23" s="117"/>
      <c r="F23" s="124" t="s">
        <v>373</v>
      </c>
      <c r="G23" s="124" t="s">
        <v>373</v>
      </c>
      <c r="H23" s="117"/>
    </row>
    <row r="24" spans="3:8" x14ac:dyDescent="0.25">
      <c r="D24" s="117" t="s">
        <v>345</v>
      </c>
      <c r="E24" s="117"/>
      <c r="F24" s="124" t="s">
        <v>373</v>
      </c>
      <c r="G24" s="124" t="s">
        <v>373</v>
      </c>
      <c r="H24" s="117"/>
    </row>
    <row r="25" spans="3:8" x14ac:dyDescent="0.25">
      <c r="D25" s="117" t="s">
        <v>346</v>
      </c>
      <c r="E25" s="117"/>
      <c r="F25" s="124" t="s">
        <v>373</v>
      </c>
      <c r="G25" s="124" t="s">
        <v>373</v>
      </c>
      <c r="H25" s="117"/>
    </row>
    <row r="26" spans="3:8" x14ac:dyDescent="0.25">
      <c r="D26" s="117" t="s">
        <v>347</v>
      </c>
      <c r="E26" s="117"/>
      <c r="F26" s="124" t="s">
        <v>373</v>
      </c>
      <c r="G26" s="124" t="s">
        <v>373</v>
      </c>
      <c r="H26" s="117"/>
    </row>
    <row r="27" spans="3:8" x14ac:dyDescent="0.25">
      <c r="D27" s="117" t="s">
        <v>348</v>
      </c>
      <c r="E27" s="117"/>
      <c r="F27" s="124" t="s">
        <v>373</v>
      </c>
      <c r="G27" s="124" t="s">
        <v>373</v>
      </c>
      <c r="H27" s="117"/>
    </row>
    <row r="28" spans="3:8" x14ac:dyDescent="0.25">
      <c r="D28" s="117" t="s">
        <v>349</v>
      </c>
      <c r="E28" s="117"/>
      <c r="F28" s="124" t="s">
        <v>373</v>
      </c>
      <c r="G28" s="124" t="s">
        <v>373</v>
      </c>
      <c r="H28" s="117"/>
    </row>
    <row r="29" spans="3:8" x14ac:dyDescent="0.25">
      <c r="D29" s="117" t="s">
        <v>350</v>
      </c>
      <c r="E29" s="117"/>
      <c r="F29" s="124" t="s">
        <v>373</v>
      </c>
      <c r="G29" s="124" t="s">
        <v>373</v>
      </c>
      <c r="H29" s="117"/>
    </row>
    <row r="30" spans="3:8" x14ac:dyDescent="0.25">
      <c r="D30" s="117" t="s">
        <v>351</v>
      </c>
      <c r="E30" s="117"/>
      <c r="F30" s="124" t="s">
        <v>373</v>
      </c>
      <c r="G30" s="124" t="s">
        <v>373</v>
      </c>
      <c r="H30" s="117"/>
    </row>
    <row r="31" spans="3:8" x14ac:dyDescent="0.25">
      <c r="D31" s="117" t="s">
        <v>352</v>
      </c>
      <c r="E31" s="117"/>
      <c r="F31" s="124" t="s">
        <v>373</v>
      </c>
      <c r="G31" s="124" t="s">
        <v>373</v>
      </c>
      <c r="H31" s="117"/>
    </row>
    <row r="32" spans="3:8" x14ac:dyDescent="0.25">
      <c r="D32" s="117" t="s">
        <v>353</v>
      </c>
      <c r="E32" s="117"/>
      <c r="F32" s="124" t="s">
        <v>373</v>
      </c>
      <c r="G32" s="124" t="s">
        <v>373</v>
      </c>
      <c r="H32" s="117"/>
    </row>
    <row r="33" spans="3:8" x14ac:dyDescent="0.25">
      <c r="D33" s="117" t="s">
        <v>354</v>
      </c>
      <c r="E33" s="117"/>
      <c r="F33" s="124" t="s">
        <v>373</v>
      </c>
      <c r="G33" s="124" t="s">
        <v>373</v>
      </c>
      <c r="H33" s="117"/>
    </row>
    <row r="34" spans="3:8" x14ac:dyDescent="0.25">
      <c r="D34" s="117" t="s">
        <v>355</v>
      </c>
      <c r="E34" s="117"/>
      <c r="F34" s="124" t="s">
        <v>373</v>
      </c>
      <c r="G34" s="124" t="s">
        <v>373</v>
      </c>
      <c r="H34" s="117"/>
    </row>
    <row r="35" spans="3:8" x14ac:dyDescent="0.25">
      <c r="D35" s="117" t="s">
        <v>356</v>
      </c>
      <c r="E35" s="117"/>
      <c r="F35" s="124" t="s">
        <v>373</v>
      </c>
      <c r="G35" s="124" t="s">
        <v>373</v>
      </c>
      <c r="H35" s="117"/>
    </row>
    <row r="36" spans="3:8" x14ac:dyDescent="0.25">
      <c r="D36" s="117" t="s">
        <v>357</v>
      </c>
      <c r="E36" s="117"/>
      <c r="F36" s="124" t="s">
        <v>373</v>
      </c>
      <c r="G36" s="124" t="s">
        <v>373</v>
      </c>
      <c r="H36" s="117"/>
    </row>
    <row r="37" spans="3:8" x14ac:dyDescent="0.25">
      <c r="D37" s="117" t="s">
        <v>358</v>
      </c>
      <c r="E37" s="117"/>
      <c r="F37" s="124" t="s">
        <v>373</v>
      </c>
      <c r="G37" s="124" t="s">
        <v>373</v>
      </c>
      <c r="H37" s="117"/>
    </row>
    <row r="38" spans="3:8" x14ac:dyDescent="0.25">
      <c r="D38" s="117" t="s">
        <v>359</v>
      </c>
      <c r="E38" s="132">
        <f>F38+G38+H38</f>
        <v>885804.60759999999</v>
      </c>
      <c r="F38" s="132">
        <f>SUM(F7:F16)+F20</f>
        <v>660042.0175999999</v>
      </c>
      <c r="G38" s="132">
        <f>SUM(G7:G16)+G20</f>
        <v>225762.59000000003</v>
      </c>
      <c r="H38" s="117"/>
    </row>
    <row r="39" spans="3:8" x14ac:dyDescent="0.25">
      <c r="D39" s="117" t="s">
        <v>360</v>
      </c>
      <c r="E39" s="117"/>
      <c r="F39" s="133">
        <f>'Depreciation Calc'!K41</f>
        <v>76117.83</v>
      </c>
      <c r="G39" s="133">
        <f>'Depreciation Calc'!K42</f>
        <v>6000.5133333333333</v>
      </c>
      <c r="H39" s="117"/>
    </row>
    <row r="40" spans="3:8" x14ac:dyDescent="0.25">
      <c r="D40" s="117" t="s">
        <v>361</v>
      </c>
      <c r="E40" s="117"/>
      <c r="F40" s="117"/>
      <c r="G40" s="133"/>
      <c r="H40" s="117"/>
    </row>
    <row r="41" spans="3:8" x14ac:dyDescent="0.25">
      <c r="D41" s="152" t="s">
        <v>362</v>
      </c>
      <c r="E41" s="153"/>
      <c r="F41" s="153"/>
      <c r="G41" s="153"/>
      <c r="H41" s="154"/>
    </row>
    <row r="42" spans="3:8" x14ac:dyDescent="0.25">
      <c r="D42" s="127"/>
      <c r="E42" s="127"/>
      <c r="F42" s="127"/>
      <c r="G42" s="127"/>
      <c r="H42" s="127"/>
    </row>
    <row r="44" spans="3:8" x14ac:dyDescent="0.25">
      <c r="C44" s="3"/>
      <c r="D44" s="1"/>
      <c r="H44" s="135"/>
    </row>
    <row r="45" spans="3:8" x14ac:dyDescent="0.25">
      <c r="C45" s="3"/>
      <c r="D45" s="1"/>
      <c r="E45" s="142" t="s">
        <v>2</v>
      </c>
      <c r="F45" s="142"/>
    </row>
    <row r="46" spans="3:8" x14ac:dyDescent="0.25">
      <c r="C46" s="4" t="s">
        <v>3</v>
      </c>
      <c r="D46" s="2" t="s">
        <v>4</v>
      </c>
      <c r="E46" s="7" t="s">
        <v>5</v>
      </c>
      <c r="F46" s="7" t="s">
        <v>6</v>
      </c>
    </row>
    <row r="47" spans="3:8" x14ac:dyDescent="0.25">
      <c r="C47" s="5"/>
      <c r="E47" s="8"/>
      <c r="F47" s="8"/>
    </row>
    <row r="48" spans="3:8" x14ac:dyDescent="0.25">
      <c r="C48" s="3" t="s">
        <v>7</v>
      </c>
      <c r="E48" s="8"/>
      <c r="F48" s="8"/>
    </row>
    <row r="49" spans="1:7" x14ac:dyDescent="0.25">
      <c r="C49" s="9" t="s">
        <v>8</v>
      </c>
      <c r="D49" s="10" t="s">
        <v>9</v>
      </c>
      <c r="E49" s="11">
        <v>87000</v>
      </c>
      <c r="F49" s="11">
        <v>97514.27</v>
      </c>
    </row>
    <row r="50" spans="1:7" x14ac:dyDescent="0.25">
      <c r="C50" s="9" t="s">
        <v>10</v>
      </c>
      <c r="D50" s="10" t="s">
        <v>11</v>
      </c>
      <c r="E50" s="11">
        <v>730000</v>
      </c>
      <c r="F50" s="11">
        <v>726446.78</v>
      </c>
    </row>
    <row r="51" spans="1:7" x14ac:dyDescent="0.25">
      <c r="C51" s="9" t="s">
        <v>12</v>
      </c>
      <c r="D51" s="10" t="s">
        <v>13</v>
      </c>
      <c r="E51" s="11">
        <v>18000</v>
      </c>
      <c r="F51" s="11">
        <v>20300.46</v>
      </c>
    </row>
    <row r="52" spans="1:7" x14ac:dyDescent="0.25">
      <c r="C52" s="9" t="s">
        <v>14</v>
      </c>
      <c r="D52" s="10" t="s">
        <v>15</v>
      </c>
      <c r="E52" s="11">
        <v>2000</v>
      </c>
      <c r="F52" s="11">
        <v>1000</v>
      </c>
    </row>
    <row r="53" spans="1:7" x14ac:dyDescent="0.25">
      <c r="C53" s="9" t="s">
        <v>16</v>
      </c>
      <c r="D53" s="10" t="s">
        <v>17</v>
      </c>
      <c r="E53" s="11">
        <v>0</v>
      </c>
      <c r="F53" s="11">
        <v>-40691.42</v>
      </c>
    </row>
    <row r="54" spans="1:7" x14ac:dyDescent="0.25">
      <c r="C54" s="9" t="s">
        <v>18</v>
      </c>
      <c r="D54" s="10" t="s">
        <v>19</v>
      </c>
      <c r="E54" s="11">
        <v>0</v>
      </c>
      <c r="F54" s="11">
        <v>0</v>
      </c>
    </row>
    <row r="55" spans="1:7" x14ac:dyDescent="0.25">
      <c r="C55" s="9" t="s">
        <v>21</v>
      </c>
      <c r="D55" s="10" t="s">
        <v>22</v>
      </c>
      <c r="E55" s="11">
        <v>150</v>
      </c>
      <c r="F55" s="11">
        <v>581.25</v>
      </c>
    </row>
    <row r="56" spans="1:7" x14ac:dyDescent="0.25">
      <c r="C56" s="12" t="s">
        <v>23</v>
      </c>
      <c r="D56" s="13" t="s">
        <v>20</v>
      </c>
      <c r="E56" s="14">
        <v>0</v>
      </c>
      <c r="F56" s="14">
        <v>40691.42</v>
      </c>
    </row>
    <row r="57" spans="1:7" x14ac:dyDescent="0.25">
      <c r="C57" s="9"/>
      <c r="D57" s="10"/>
      <c r="E57" s="11">
        <f t="shared" ref="E57:F57" si="1">SUM(E49:E56)</f>
        <v>837150</v>
      </c>
      <c r="F57" s="11">
        <f t="shared" si="1"/>
        <v>845842.76</v>
      </c>
    </row>
    <row r="58" spans="1:7" x14ac:dyDescent="0.25">
      <c r="A58" s="1"/>
      <c r="C58" s="1" t="s">
        <v>393</v>
      </c>
      <c r="E58" s="8"/>
      <c r="F58" s="8"/>
    </row>
    <row r="59" spans="1:7" x14ac:dyDescent="0.25">
      <c r="A59" s="1"/>
      <c r="C59" s="5"/>
      <c r="E59" s="8"/>
      <c r="F59" s="8"/>
    </row>
    <row r="60" spans="1:7" x14ac:dyDescent="0.25">
      <c r="C60" s="3" t="s">
        <v>157</v>
      </c>
      <c r="E60" s="8"/>
      <c r="F60" s="8"/>
    </row>
    <row r="61" spans="1:7" x14ac:dyDescent="0.25">
      <c r="C61" s="9" t="s">
        <v>26</v>
      </c>
      <c r="D61" s="10" t="s">
        <v>27</v>
      </c>
      <c r="E61" s="11">
        <v>0</v>
      </c>
      <c r="F61" s="11">
        <v>0</v>
      </c>
    </row>
    <row r="62" spans="1:7" x14ac:dyDescent="0.25">
      <c r="C62" s="9" t="s">
        <v>28</v>
      </c>
      <c r="D62" s="10" t="s">
        <v>29</v>
      </c>
      <c r="E62" s="11">
        <v>165000</v>
      </c>
      <c r="F62" s="128">
        <v>108175.53</v>
      </c>
      <c r="G62" t="s">
        <v>363</v>
      </c>
    </row>
    <row r="63" spans="1:7" x14ac:dyDescent="0.25">
      <c r="C63" s="9" t="s">
        <v>30</v>
      </c>
      <c r="D63" s="10" t="s">
        <v>31</v>
      </c>
      <c r="E63" s="11">
        <v>13500</v>
      </c>
      <c r="F63" s="130">
        <v>21497.759999999998</v>
      </c>
      <c r="G63" t="s">
        <v>363</v>
      </c>
    </row>
    <row r="64" spans="1:7" x14ac:dyDescent="0.25">
      <c r="C64" s="9" t="s">
        <v>32</v>
      </c>
      <c r="D64" s="10" t="s">
        <v>33</v>
      </c>
      <c r="E64" s="11">
        <v>0</v>
      </c>
      <c r="F64" s="128">
        <v>0</v>
      </c>
    </row>
    <row r="65" spans="1:8" x14ac:dyDescent="0.25">
      <c r="C65" s="9" t="s">
        <v>34</v>
      </c>
      <c r="D65" s="10" t="s">
        <v>35</v>
      </c>
      <c r="E65" s="11">
        <v>41000</v>
      </c>
      <c r="F65" s="131">
        <v>38655.440000000002</v>
      </c>
      <c r="G65" t="s">
        <v>365</v>
      </c>
    </row>
    <row r="66" spans="1:8" x14ac:dyDescent="0.25">
      <c r="C66" s="9" t="s">
        <v>36</v>
      </c>
      <c r="D66" s="10" t="s">
        <v>37</v>
      </c>
      <c r="E66" s="11">
        <v>42500</v>
      </c>
      <c r="F66" s="130">
        <v>26405.13</v>
      </c>
      <c r="G66" t="s">
        <v>367</v>
      </c>
    </row>
    <row r="67" spans="1:8" x14ac:dyDescent="0.25">
      <c r="C67" s="9" t="s">
        <v>38</v>
      </c>
      <c r="D67" s="10" t="s">
        <v>39</v>
      </c>
      <c r="E67" s="11">
        <v>12500</v>
      </c>
      <c r="F67" s="131">
        <v>10809.08</v>
      </c>
      <c r="G67" t="s">
        <v>366</v>
      </c>
    </row>
    <row r="68" spans="1:8" x14ac:dyDescent="0.25">
      <c r="C68" s="9" t="s">
        <v>40</v>
      </c>
      <c r="D68" s="10" t="s">
        <v>41</v>
      </c>
      <c r="E68" s="11">
        <v>5800</v>
      </c>
      <c r="F68" s="131">
        <v>6187.24</v>
      </c>
      <c r="G68" t="s">
        <v>367</v>
      </c>
    </row>
    <row r="69" spans="1:8" x14ac:dyDescent="0.25">
      <c r="C69" s="9" t="s">
        <v>42</v>
      </c>
      <c r="D69" s="10" t="s">
        <v>43</v>
      </c>
      <c r="E69" s="11">
        <v>850</v>
      </c>
      <c r="F69" s="129">
        <v>766.74</v>
      </c>
      <c r="G69" t="s">
        <v>366</v>
      </c>
    </row>
    <row r="70" spans="1:8" x14ac:dyDescent="0.25">
      <c r="C70" s="9" t="s">
        <v>44</v>
      </c>
      <c r="D70" s="10" t="s">
        <v>45</v>
      </c>
      <c r="E70" s="11">
        <v>210000</v>
      </c>
      <c r="F70" s="131">
        <v>197428.16</v>
      </c>
      <c r="G70" t="s">
        <v>369</v>
      </c>
      <c r="H70" t="s">
        <v>390</v>
      </c>
    </row>
    <row r="71" spans="1:8" x14ac:dyDescent="0.25">
      <c r="A71" t="s">
        <v>46</v>
      </c>
      <c r="C71" s="9" t="s">
        <v>46</v>
      </c>
      <c r="D71" s="10" t="s">
        <v>47</v>
      </c>
      <c r="E71" s="11">
        <v>6000</v>
      </c>
      <c r="F71" s="129">
        <v>4920.5</v>
      </c>
      <c r="G71" t="s">
        <v>368</v>
      </c>
      <c r="H71" t="s">
        <v>389</v>
      </c>
    </row>
    <row r="72" spans="1:8" x14ac:dyDescent="0.25">
      <c r="A72" t="s">
        <v>48</v>
      </c>
      <c r="C72" s="9" t="s">
        <v>48</v>
      </c>
      <c r="D72" s="10" t="s">
        <v>49</v>
      </c>
      <c r="E72" s="11">
        <v>500</v>
      </c>
      <c r="F72" s="128">
        <v>70</v>
      </c>
      <c r="G72" t="s">
        <v>372</v>
      </c>
      <c r="H72" t="s">
        <v>389</v>
      </c>
    </row>
    <row r="73" spans="1:8" x14ac:dyDescent="0.25">
      <c r="A73" t="s">
        <v>50</v>
      </c>
      <c r="C73" s="9" t="s">
        <v>50</v>
      </c>
      <c r="D73" s="10" t="s">
        <v>51</v>
      </c>
      <c r="E73" s="11">
        <v>6200</v>
      </c>
      <c r="F73" s="130">
        <v>6153.78</v>
      </c>
      <c r="G73" t="s">
        <v>372</v>
      </c>
      <c r="H73" t="s">
        <v>389</v>
      </c>
    </row>
    <row r="74" spans="1:8" x14ac:dyDescent="0.25">
      <c r="A74" t="s">
        <v>52</v>
      </c>
      <c r="C74" s="9" t="s">
        <v>52</v>
      </c>
      <c r="D74" s="10" t="s">
        <v>53</v>
      </c>
      <c r="E74" s="11">
        <v>9000</v>
      </c>
      <c r="F74" s="130">
        <v>10216.209999999999</v>
      </c>
      <c r="G74" t="s">
        <v>372</v>
      </c>
      <c r="H74" t="s">
        <v>389</v>
      </c>
    </row>
    <row r="75" spans="1:8" x14ac:dyDescent="0.25">
      <c r="A75" t="s">
        <v>54</v>
      </c>
      <c r="C75" s="9" t="s">
        <v>54</v>
      </c>
      <c r="D75" s="10" t="s">
        <v>55</v>
      </c>
      <c r="E75" s="11">
        <v>0</v>
      </c>
      <c r="F75" s="130">
        <v>0</v>
      </c>
      <c r="G75" t="s">
        <v>372</v>
      </c>
      <c r="H75" t="s">
        <v>389</v>
      </c>
    </row>
    <row r="76" spans="1:8" x14ac:dyDescent="0.25">
      <c r="A76" t="s">
        <v>56</v>
      </c>
      <c r="C76" s="9" t="s">
        <v>56</v>
      </c>
      <c r="D76" s="10" t="s">
        <v>57</v>
      </c>
      <c r="E76" s="11">
        <v>1350</v>
      </c>
      <c r="F76" s="129">
        <v>1325</v>
      </c>
      <c r="G76" t="s">
        <v>372</v>
      </c>
      <c r="H76" t="s">
        <v>389</v>
      </c>
    </row>
    <row r="77" spans="1:8" x14ac:dyDescent="0.25">
      <c r="A77" t="s">
        <v>58</v>
      </c>
      <c r="C77" s="9" t="s">
        <v>58</v>
      </c>
      <c r="D77" s="10" t="s">
        <v>59</v>
      </c>
      <c r="E77" s="11">
        <v>17000</v>
      </c>
      <c r="F77" s="128">
        <v>16887.349999999999</v>
      </c>
      <c r="G77" t="s">
        <v>370</v>
      </c>
      <c r="H77" t="s">
        <v>389</v>
      </c>
    </row>
    <row r="78" spans="1:8" x14ac:dyDescent="0.25">
      <c r="A78" t="s">
        <v>60</v>
      </c>
      <c r="C78" s="9" t="s">
        <v>60</v>
      </c>
      <c r="D78" s="10" t="s">
        <v>24</v>
      </c>
      <c r="E78" s="11">
        <v>15500</v>
      </c>
      <c r="F78" s="129">
        <v>13790</v>
      </c>
      <c r="G78" t="s">
        <v>371</v>
      </c>
      <c r="H78" t="s">
        <v>389</v>
      </c>
    </row>
    <row r="79" spans="1:8" x14ac:dyDescent="0.25">
      <c r="A79" t="s">
        <v>61</v>
      </c>
      <c r="C79" s="9" t="s">
        <v>61</v>
      </c>
      <c r="D79" s="10" t="s">
        <v>25</v>
      </c>
      <c r="E79" s="11">
        <v>0</v>
      </c>
      <c r="F79" s="131">
        <v>0</v>
      </c>
      <c r="G79" t="s">
        <v>372</v>
      </c>
      <c r="H79" t="s">
        <v>389</v>
      </c>
    </row>
    <row r="80" spans="1:8" x14ac:dyDescent="0.25">
      <c r="A80" t="s">
        <v>62</v>
      </c>
      <c r="C80" s="9" t="s">
        <v>62</v>
      </c>
      <c r="D80" s="10" t="s">
        <v>63</v>
      </c>
      <c r="E80" s="11">
        <v>20000</v>
      </c>
      <c r="F80" s="131">
        <v>23708.97</v>
      </c>
      <c r="G80" t="s">
        <v>357</v>
      </c>
      <c r="H80" t="s">
        <v>389</v>
      </c>
    </row>
    <row r="81" spans="1:8" x14ac:dyDescent="0.25">
      <c r="A81" t="s">
        <v>64</v>
      </c>
      <c r="C81" s="9" t="s">
        <v>64</v>
      </c>
      <c r="D81" s="10" t="s">
        <v>65</v>
      </c>
      <c r="E81" s="11">
        <v>2000</v>
      </c>
      <c r="F81" s="128">
        <v>0</v>
      </c>
      <c r="G81" t="s">
        <v>372</v>
      </c>
      <c r="H81" t="s">
        <v>389</v>
      </c>
    </row>
    <row r="82" spans="1:8" x14ac:dyDescent="0.25">
      <c r="A82" t="s">
        <v>66</v>
      </c>
      <c r="C82" s="9" t="s">
        <v>66</v>
      </c>
      <c r="D82" s="10" t="s">
        <v>67</v>
      </c>
      <c r="E82" s="11">
        <v>2500</v>
      </c>
      <c r="F82" s="129">
        <v>1256</v>
      </c>
      <c r="G82" t="s">
        <v>372</v>
      </c>
      <c r="H82" t="s">
        <v>389</v>
      </c>
    </row>
    <row r="83" spans="1:8" x14ac:dyDescent="0.25">
      <c r="A83" t="s">
        <v>68</v>
      </c>
      <c r="C83" s="9" t="s">
        <v>68</v>
      </c>
      <c r="D83" s="10" t="s">
        <v>69</v>
      </c>
      <c r="E83" s="11">
        <v>1250</v>
      </c>
      <c r="F83" s="131">
        <v>914.24</v>
      </c>
      <c r="G83" t="s">
        <v>335</v>
      </c>
      <c r="H83" t="s">
        <v>389</v>
      </c>
    </row>
    <row r="84" spans="1:8" x14ac:dyDescent="0.25">
      <c r="A84" t="s">
        <v>70</v>
      </c>
      <c r="C84" s="9" t="s">
        <v>70</v>
      </c>
      <c r="D84" s="10" t="s">
        <v>71</v>
      </c>
      <c r="E84" s="11">
        <v>0</v>
      </c>
      <c r="F84" s="128">
        <v>0</v>
      </c>
      <c r="G84" t="s">
        <v>372</v>
      </c>
      <c r="H84" t="s">
        <v>389</v>
      </c>
    </row>
    <row r="85" spans="1:8" x14ac:dyDescent="0.25">
      <c r="A85" t="s">
        <v>72</v>
      </c>
      <c r="C85" s="9" t="s">
        <v>72</v>
      </c>
      <c r="D85" s="10" t="s">
        <v>73</v>
      </c>
      <c r="E85" s="11">
        <v>3800</v>
      </c>
      <c r="F85" s="130">
        <v>3662.45</v>
      </c>
      <c r="G85" t="s">
        <v>372</v>
      </c>
      <c r="H85" t="s">
        <v>389</v>
      </c>
    </row>
    <row r="86" spans="1:8" x14ac:dyDescent="0.25">
      <c r="A86" t="s">
        <v>74</v>
      </c>
      <c r="C86" s="9" t="s">
        <v>74</v>
      </c>
      <c r="D86" s="10" t="s">
        <v>75</v>
      </c>
      <c r="E86" s="11">
        <v>1500</v>
      </c>
      <c r="F86" s="130">
        <v>2019.13</v>
      </c>
      <c r="G86" t="s">
        <v>372</v>
      </c>
      <c r="H86" t="s">
        <v>389</v>
      </c>
    </row>
    <row r="87" spans="1:8" x14ac:dyDescent="0.25">
      <c r="A87" t="s">
        <v>76</v>
      </c>
      <c r="C87" s="9" t="s">
        <v>76</v>
      </c>
      <c r="D87" s="10" t="s">
        <v>77</v>
      </c>
      <c r="E87" s="11">
        <v>0</v>
      </c>
      <c r="F87" s="130">
        <v>0</v>
      </c>
      <c r="G87" t="s">
        <v>372</v>
      </c>
      <c r="H87" t="s">
        <v>389</v>
      </c>
    </row>
    <row r="88" spans="1:8" x14ac:dyDescent="0.25">
      <c r="A88" t="s">
        <v>78</v>
      </c>
      <c r="C88" s="9" t="s">
        <v>78</v>
      </c>
      <c r="D88" s="10" t="s">
        <v>79</v>
      </c>
      <c r="E88" s="11">
        <v>16000</v>
      </c>
      <c r="F88" s="130">
        <v>14804.95</v>
      </c>
      <c r="G88" t="s">
        <v>372</v>
      </c>
      <c r="H88" t="s">
        <v>389</v>
      </c>
    </row>
    <row r="89" spans="1:8" x14ac:dyDescent="0.25">
      <c r="A89" t="s">
        <v>80</v>
      </c>
      <c r="C89" s="9" t="s">
        <v>80</v>
      </c>
      <c r="D89" s="10" t="s">
        <v>81</v>
      </c>
      <c r="E89" s="11">
        <v>1000</v>
      </c>
      <c r="F89" s="130">
        <v>910.84</v>
      </c>
      <c r="G89" t="s">
        <v>372</v>
      </c>
      <c r="H89" t="s">
        <v>389</v>
      </c>
    </row>
    <row r="90" spans="1:8" x14ac:dyDescent="0.25">
      <c r="A90" t="s">
        <v>82</v>
      </c>
      <c r="C90" s="9" t="s">
        <v>82</v>
      </c>
      <c r="D90" s="10" t="s">
        <v>83</v>
      </c>
      <c r="E90" s="11">
        <v>13000</v>
      </c>
      <c r="F90" s="130">
        <v>7862.13</v>
      </c>
      <c r="G90" t="s">
        <v>372</v>
      </c>
      <c r="H90" t="s">
        <v>389</v>
      </c>
    </row>
    <row r="91" spans="1:8" x14ac:dyDescent="0.25">
      <c r="A91" t="s">
        <v>84</v>
      </c>
      <c r="C91" s="9" t="s">
        <v>84</v>
      </c>
      <c r="D91" s="10" t="s">
        <v>85</v>
      </c>
      <c r="E91" s="11">
        <v>1600</v>
      </c>
      <c r="F91" s="130">
        <v>1538</v>
      </c>
      <c r="G91" t="s">
        <v>372</v>
      </c>
      <c r="H91" t="s">
        <v>389</v>
      </c>
    </row>
    <row r="92" spans="1:8" x14ac:dyDescent="0.25">
      <c r="A92" t="s">
        <v>86</v>
      </c>
      <c r="C92" s="9" t="s">
        <v>86</v>
      </c>
      <c r="D92" s="10" t="s">
        <v>87</v>
      </c>
      <c r="E92" s="11">
        <v>500</v>
      </c>
      <c r="F92" s="130">
        <v>124.61</v>
      </c>
      <c r="G92" t="s">
        <v>372</v>
      </c>
      <c r="H92" t="s">
        <v>389</v>
      </c>
    </row>
    <row r="93" spans="1:8" x14ac:dyDescent="0.25">
      <c r="A93" t="s">
        <v>88</v>
      </c>
      <c r="C93" s="9" t="s">
        <v>88</v>
      </c>
      <c r="D93" s="10" t="s">
        <v>89</v>
      </c>
      <c r="E93" s="11">
        <v>0</v>
      </c>
      <c r="F93" s="130">
        <v>0</v>
      </c>
      <c r="G93" t="s">
        <v>372</v>
      </c>
      <c r="H93" t="s">
        <v>389</v>
      </c>
    </row>
    <row r="94" spans="1:8" x14ac:dyDescent="0.25">
      <c r="A94" t="s">
        <v>90</v>
      </c>
      <c r="C94" s="9" t="s">
        <v>90</v>
      </c>
      <c r="D94" s="10" t="s">
        <v>91</v>
      </c>
      <c r="E94" s="11">
        <v>10000</v>
      </c>
      <c r="F94" s="130">
        <v>34102</v>
      </c>
      <c r="G94" t="s">
        <v>372</v>
      </c>
      <c r="H94" t="s">
        <v>389</v>
      </c>
    </row>
    <row r="95" spans="1:8" x14ac:dyDescent="0.25">
      <c r="C95" s="9" t="s">
        <v>151</v>
      </c>
      <c r="D95" s="10" t="s">
        <v>152</v>
      </c>
      <c r="E95" s="11">
        <v>0</v>
      </c>
      <c r="F95" s="130">
        <v>0</v>
      </c>
      <c r="G95" t="s">
        <v>372</v>
      </c>
      <c r="H95" t="s">
        <v>389</v>
      </c>
    </row>
    <row r="96" spans="1:8" x14ac:dyDescent="0.25">
      <c r="A96" t="s">
        <v>155</v>
      </c>
      <c r="C96" s="12" t="s">
        <v>155</v>
      </c>
      <c r="D96" s="13" t="s">
        <v>152</v>
      </c>
      <c r="E96" s="14">
        <v>0</v>
      </c>
      <c r="F96" s="129">
        <v>29374</v>
      </c>
      <c r="G96" t="s">
        <v>372</v>
      </c>
      <c r="H96" t="s">
        <v>389</v>
      </c>
    </row>
    <row r="97" spans="1:7" x14ac:dyDescent="0.25">
      <c r="C97" s="9"/>
      <c r="D97" s="10"/>
      <c r="E97" s="11"/>
      <c r="F97" s="11">
        <f>SUM(F61:F96)</f>
        <v>583565.24</v>
      </c>
    </row>
    <row r="98" spans="1:7" x14ac:dyDescent="0.25">
      <c r="C98" s="9"/>
      <c r="D98" s="10"/>
      <c r="E98" s="11"/>
      <c r="F98" s="11"/>
    </row>
    <row r="99" spans="1:7" x14ac:dyDescent="0.25">
      <c r="C99" s="3" t="s">
        <v>158</v>
      </c>
      <c r="D99" s="10"/>
      <c r="E99" s="11"/>
      <c r="F99" s="11"/>
    </row>
    <row r="100" spans="1:7" x14ac:dyDescent="0.25">
      <c r="C100" s="9" t="s">
        <v>92</v>
      </c>
      <c r="D100" s="10" t="s">
        <v>93</v>
      </c>
      <c r="E100" s="11">
        <v>0</v>
      </c>
      <c r="F100" s="11">
        <v>0</v>
      </c>
    </row>
    <row r="101" spans="1:7" x14ac:dyDescent="0.25">
      <c r="C101" s="9" t="s">
        <v>94</v>
      </c>
      <c r="D101" s="10" t="s">
        <v>95</v>
      </c>
      <c r="E101" s="11">
        <v>94000</v>
      </c>
      <c r="F101" s="128">
        <v>96523.12</v>
      </c>
      <c r="G101" t="s">
        <v>363</v>
      </c>
    </row>
    <row r="102" spans="1:7" x14ac:dyDescent="0.25">
      <c r="C102" s="9" t="s">
        <v>96</v>
      </c>
      <c r="D102" s="10" t="s">
        <v>97</v>
      </c>
      <c r="E102" s="11">
        <v>2600</v>
      </c>
      <c r="F102" s="129">
        <v>2797.61</v>
      </c>
      <c r="G102" t="s">
        <v>363</v>
      </c>
    </row>
    <row r="103" spans="1:7" x14ac:dyDescent="0.25">
      <c r="C103" s="9" t="s">
        <v>98</v>
      </c>
      <c r="D103" s="10" t="s">
        <v>99</v>
      </c>
      <c r="E103" s="11">
        <v>0</v>
      </c>
      <c r="F103" s="11">
        <v>0</v>
      </c>
    </row>
    <row r="104" spans="1:7" x14ac:dyDescent="0.25">
      <c r="C104" s="9" t="s">
        <v>100</v>
      </c>
      <c r="D104" s="10" t="s">
        <v>101</v>
      </c>
      <c r="E104" s="11">
        <v>26500</v>
      </c>
      <c r="F104" s="131">
        <v>27765.09</v>
      </c>
      <c r="G104" t="s">
        <v>365</v>
      </c>
    </row>
    <row r="105" spans="1:7" x14ac:dyDescent="0.25">
      <c r="C105" s="9" t="s">
        <v>102</v>
      </c>
      <c r="D105" s="10" t="s">
        <v>103</v>
      </c>
      <c r="E105" s="11">
        <v>24000</v>
      </c>
      <c r="F105" s="131">
        <v>24020.48</v>
      </c>
      <c r="G105" t="s">
        <v>367</v>
      </c>
    </row>
    <row r="106" spans="1:7" x14ac:dyDescent="0.25">
      <c r="C106" s="9" t="s">
        <v>104</v>
      </c>
      <c r="D106" s="10" t="s">
        <v>105</v>
      </c>
      <c r="E106" s="11">
        <v>7200</v>
      </c>
      <c r="F106" s="131">
        <v>8015.91</v>
      </c>
      <c r="G106" t="s">
        <v>366</v>
      </c>
    </row>
    <row r="107" spans="1:7" x14ac:dyDescent="0.25">
      <c r="C107" s="9" t="s">
        <v>106</v>
      </c>
      <c r="D107" s="10" t="s">
        <v>107</v>
      </c>
      <c r="E107" s="11">
        <v>3300</v>
      </c>
      <c r="F107" s="131">
        <v>3664.5</v>
      </c>
      <c r="G107" t="s">
        <v>367</v>
      </c>
    </row>
    <row r="108" spans="1:7" x14ac:dyDescent="0.25">
      <c r="C108" s="9" t="s">
        <v>108</v>
      </c>
      <c r="D108" s="10" t="s">
        <v>109</v>
      </c>
      <c r="E108" s="11">
        <v>750</v>
      </c>
      <c r="F108" s="131">
        <v>766.73</v>
      </c>
      <c r="G108" t="s">
        <v>366</v>
      </c>
    </row>
    <row r="109" spans="1:7" x14ac:dyDescent="0.25">
      <c r="A109" t="s">
        <v>110</v>
      </c>
      <c r="C109" s="9" t="s">
        <v>110</v>
      </c>
      <c r="D109" s="10" t="s">
        <v>111</v>
      </c>
      <c r="E109" s="11">
        <v>0</v>
      </c>
      <c r="F109" s="128">
        <v>0</v>
      </c>
      <c r="G109" t="s">
        <v>372</v>
      </c>
    </row>
    <row r="110" spans="1:7" x14ac:dyDescent="0.25">
      <c r="A110" t="s">
        <v>112</v>
      </c>
      <c r="C110" s="9" t="s">
        <v>112</v>
      </c>
      <c r="D110" s="10" t="s">
        <v>113</v>
      </c>
      <c r="E110" s="11">
        <v>100</v>
      </c>
      <c r="F110" s="130">
        <v>0</v>
      </c>
      <c r="G110" t="s">
        <v>372</v>
      </c>
    </row>
    <row r="111" spans="1:7" x14ac:dyDescent="0.25">
      <c r="A111" t="s">
        <v>114</v>
      </c>
      <c r="C111" s="31" t="s">
        <v>197</v>
      </c>
      <c r="D111" s="30" t="s">
        <v>196</v>
      </c>
      <c r="E111" s="11">
        <v>0</v>
      </c>
      <c r="F111" s="130">
        <v>0</v>
      </c>
      <c r="G111" t="s">
        <v>372</v>
      </c>
    </row>
    <row r="112" spans="1:7" x14ac:dyDescent="0.25">
      <c r="A112" t="s">
        <v>116</v>
      </c>
      <c r="C112" s="9" t="s">
        <v>114</v>
      </c>
      <c r="D112" s="10" t="s">
        <v>115</v>
      </c>
      <c r="E112" s="11">
        <v>8200</v>
      </c>
      <c r="F112" s="130">
        <v>9100.68</v>
      </c>
      <c r="G112" t="s">
        <v>372</v>
      </c>
    </row>
    <row r="113" spans="1:7" x14ac:dyDescent="0.25">
      <c r="A113" t="s">
        <v>118</v>
      </c>
      <c r="C113" s="9" t="s">
        <v>116</v>
      </c>
      <c r="D113" s="10" t="s">
        <v>117</v>
      </c>
      <c r="E113" s="11">
        <v>0</v>
      </c>
      <c r="F113" s="130">
        <v>0</v>
      </c>
      <c r="G113" t="s">
        <v>372</v>
      </c>
    </row>
    <row r="114" spans="1:7" x14ac:dyDescent="0.25">
      <c r="A114" t="s">
        <v>120</v>
      </c>
      <c r="C114" s="9" t="s">
        <v>118</v>
      </c>
      <c r="D114" s="10" t="s">
        <v>119</v>
      </c>
      <c r="E114" s="11">
        <v>1350</v>
      </c>
      <c r="F114" s="130">
        <v>1325</v>
      </c>
      <c r="G114" t="s">
        <v>372</v>
      </c>
    </row>
    <row r="115" spans="1:7" x14ac:dyDescent="0.25">
      <c r="A115" t="s">
        <v>122</v>
      </c>
      <c r="C115" s="9" t="s">
        <v>120</v>
      </c>
      <c r="D115" s="10" t="s">
        <v>121</v>
      </c>
      <c r="E115" s="11">
        <v>7000</v>
      </c>
      <c r="F115" s="130">
        <v>6950.48</v>
      </c>
      <c r="G115" t="s">
        <v>372</v>
      </c>
    </row>
    <row r="116" spans="1:7" x14ac:dyDescent="0.25">
      <c r="A116" t="s">
        <v>125</v>
      </c>
      <c r="C116" s="9" t="s">
        <v>122</v>
      </c>
      <c r="D116" s="10" t="s">
        <v>25</v>
      </c>
      <c r="E116" s="11">
        <v>0</v>
      </c>
      <c r="F116" s="130">
        <v>0</v>
      </c>
      <c r="G116" t="s">
        <v>372</v>
      </c>
    </row>
    <row r="117" spans="1:7" x14ac:dyDescent="0.25">
      <c r="A117" t="s">
        <v>127</v>
      </c>
      <c r="C117" s="9" t="s">
        <v>123</v>
      </c>
      <c r="D117" s="10" t="s">
        <v>124</v>
      </c>
      <c r="E117" s="11">
        <v>200</v>
      </c>
      <c r="F117" s="130">
        <v>0</v>
      </c>
      <c r="G117" t="s">
        <v>372</v>
      </c>
    </row>
    <row r="118" spans="1:7" x14ac:dyDescent="0.25">
      <c r="A118" t="s">
        <v>129</v>
      </c>
      <c r="C118" s="9" t="s">
        <v>125</v>
      </c>
      <c r="D118" s="10" t="s">
        <v>126</v>
      </c>
      <c r="E118" s="11">
        <v>5000</v>
      </c>
      <c r="F118" s="130">
        <v>5577.98</v>
      </c>
      <c r="G118" t="s">
        <v>372</v>
      </c>
    </row>
    <row r="119" spans="1:7" x14ac:dyDescent="0.25">
      <c r="A119" t="s">
        <v>131</v>
      </c>
      <c r="C119" s="9" t="s">
        <v>127</v>
      </c>
      <c r="D119" s="10" t="s">
        <v>128</v>
      </c>
      <c r="E119" s="11">
        <v>1000</v>
      </c>
      <c r="F119" s="130">
        <v>0</v>
      </c>
      <c r="G119" t="s">
        <v>372</v>
      </c>
    </row>
    <row r="120" spans="1:7" x14ac:dyDescent="0.25">
      <c r="A120" t="s">
        <v>391</v>
      </c>
      <c r="C120" s="9" t="s">
        <v>129</v>
      </c>
      <c r="D120" s="10" t="s">
        <v>130</v>
      </c>
      <c r="E120" s="11">
        <v>1000</v>
      </c>
      <c r="F120" s="130">
        <v>515</v>
      </c>
      <c r="G120" t="s">
        <v>372</v>
      </c>
    </row>
    <row r="121" spans="1:7" x14ac:dyDescent="0.25">
      <c r="A121" t="s">
        <v>392</v>
      </c>
      <c r="C121" s="9" t="s">
        <v>131</v>
      </c>
      <c r="D121" s="10" t="s">
        <v>132</v>
      </c>
      <c r="E121" s="11">
        <v>950</v>
      </c>
      <c r="F121" s="130">
        <v>914.22</v>
      </c>
      <c r="G121" t="s">
        <v>372</v>
      </c>
    </row>
    <row r="122" spans="1:7" x14ac:dyDescent="0.25">
      <c r="A122" t="s">
        <v>133</v>
      </c>
      <c r="C122" s="9" t="s">
        <v>133</v>
      </c>
      <c r="D122" s="10" t="s">
        <v>134</v>
      </c>
      <c r="E122" s="11">
        <v>1500</v>
      </c>
      <c r="F122" s="130">
        <v>75</v>
      </c>
      <c r="G122" t="s">
        <v>372</v>
      </c>
    </row>
    <row r="123" spans="1:7" x14ac:dyDescent="0.25">
      <c r="A123" t="s">
        <v>135</v>
      </c>
      <c r="C123" s="9" t="s">
        <v>135</v>
      </c>
      <c r="D123" s="10" t="s">
        <v>136</v>
      </c>
      <c r="E123" s="11">
        <v>0</v>
      </c>
      <c r="F123" s="130">
        <v>0</v>
      </c>
      <c r="G123" t="s">
        <v>372</v>
      </c>
    </row>
    <row r="124" spans="1:7" x14ac:dyDescent="0.25">
      <c r="A124" t="s">
        <v>137</v>
      </c>
      <c r="C124" s="9" t="s">
        <v>137</v>
      </c>
      <c r="D124" s="10" t="s">
        <v>138</v>
      </c>
      <c r="E124" s="11">
        <v>7500</v>
      </c>
      <c r="F124" s="130">
        <v>10980.49</v>
      </c>
      <c r="G124" t="s">
        <v>372</v>
      </c>
    </row>
    <row r="125" spans="1:7" x14ac:dyDescent="0.25">
      <c r="A125" t="s">
        <v>139</v>
      </c>
      <c r="C125" s="9" t="s">
        <v>139</v>
      </c>
      <c r="D125" s="10" t="s">
        <v>140</v>
      </c>
      <c r="E125" s="11">
        <v>1000</v>
      </c>
      <c r="F125" s="130">
        <v>445</v>
      </c>
      <c r="G125" t="s">
        <v>372</v>
      </c>
    </row>
    <row r="126" spans="1:7" x14ac:dyDescent="0.25">
      <c r="A126" t="s">
        <v>141</v>
      </c>
      <c r="C126" s="9" t="s">
        <v>141</v>
      </c>
      <c r="D126" s="10" t="s">
        <v>142</v>
      </c>
      <c r="E126" s="11">
        <v>3500</v>
      </c>
      <c r="F126" s="130">
        <v>3413.54</v>
      </c>
      <c r="G126" t="s">
        <v>372</v>
      </c>
    </row>
    <row r="127" spans="1:7" x14ac:dyDescent="0.25">
      <c r="A127" t="s">
        <v>143</v>
      </c>
      <c r="C127" s="9" t="s">
        <v>143</v>
      </c>
      <c r="D127" s="10" t="s">
        <v>144</v>
      </c>
      <c r="E127" s="11">
        <v>500</v>
      </c>
      <c r="F127" s="130">
        <v>428</v>
      </c>
      <c r="G127" t="s">
        <v>372</v>
      </c>
    </row>
    <row r="128" spans="1:7" x14ac:dyDescent="0.25">
      <c r="A128" t="s">
        <v>145</v>
      </c>
      <c r="C128" s="9" t="s">
        <v>145</v>
      </c>
      <c r="D128" s="10" t="s">
        <v>146</v>
      </c>
      <c r="E128" s="11">
        <v>1000</v>
      </c>
      <c r="F128" s="130">
        <v>0</v>
      </c>
      <c r="G128" t="s">
        <v>372</v>
      </c>
    </row>
    <row r="129" spans="1:7" x14ac:dyDescent="0.25">
      <c r="A129" t="s">
        <v>147</v>
      </c>
      <c r="C129" s="9" t="s">
        <v>147</v>
      </c>
      <c r="D129" s="10" t="s">
        <v>148</v>
      </c>
      <c r="E129" s="11">
        <v>0</v>
      </c>
      <c r="F129" s="130">
        <v>0</v>
      </c>
      <c r="G129" t="s">
        <v>372</v>
      </c>
    </row>
    <row r="130" spans="1:7" x14ac:dyDescent="0.25">
      <c r="A130" t="s">
        <v>149</v>
      </c>
      <c r="C130" s="9" t="s">
        <v>149</v>
      </c>
      <c r="D130" s="10" t="s">
        <v>150</v>
      </c>
      <c r="E130" s="11">
        <v>10000</v>
      </c>
      <c r="F130" s="130">
        <v>10000</v>
      </c>
      <c r="G130" t="s">
        <v>372</v>
      </c>
    </row>
    <row r="131" spans="1:7" x14ac:dyDescent="0.25">
      <c r="C131" s="9" t="s">
        <v>153</v>
      </c>
      <c r="D131" s="10" t="s">
        <v>154</v>
      </c>
      <c r="E131" s="11">
        <v>0</v>
      </c>
      <c r="F131" s="130">
        <v>0</v>
      </c>
      <c r="G131" t="s">
        <v>372</v>
      </c>
    </row>
    <row r="132" spans="1:7" x14ac:dyDescent="0.25">
      <c r="A132" t="s">
        <v>156</v>
      </c>
      <c r="C132" s="12" t="s">
        <v>156</v>
      </c>
      <c r="D132" s="13" t="s">
        <v>154</v>
      </c>
      <c r="E132" s="14">
        <v>0</v>
      </c>
      <c r="F132" s="129">
        <v>12483.75</v>
      </c>
      <c r="G132" t="s">
        <v>372</v>
      </c>
    </row>
    <row r="133" spans="1:7" x14ac:dyDescent="0.25">
      <c r="C133" s="5"/>
      <c r="E133" s="8"/>
      <c r="F133" s="8">
        <f>SUM(F100:F132)</f>
        <v>225762.58000000002</v>
      </c>
    </row>
    <row r="134" spans="1:7" x14ac:dyDescent="0.25">
      <c r="C134" s="5"/>
      <c r="E134" s="8"/>
      <c r="F134" s="8"/>
    </row>
    <row r="135" spans="1:7" x14ac:dyDescent="0.25">
      <c r="C135" s="5"/>
      <c r="D135" s="10" t="s">
        <v>159</v>
      </c>
      <c r="E135" s="8"/>
      <c r="F135" s="15">
        <f>F97+F133</f>
        <v>809327.82000000007</v>
      </c>
    </row>
    <row r="136" spans="1:7" x14ac:dyDescent="0.25">
      <c r="E136" s="8"/>
      <c r="F136" s="32"/>
    </row>
  </sheetData>
  <mergeCells count="4">
    <mergeCell ref="D4:H4"/>
    <mergeCell ref="D5:H5"/>
    <mergeCell ref="D41:H41"/>
    <mergeCell ref="E45:F45"/>
  </mergeCells>
  <pageMargins left="0.7" right="0.7" top="0.75" bottom="0.75" header="0.3" footer="0.3"/>
  <pageSetup scale="87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92525-A036-493A-A0D9-C8DEF597EB86}">
  <sheetPr>
    <pageSetUpPr fitToPage="1"/>
  </sheetPr>
  <dimension ref="C2:J26"/>
  <sheetViews>
    <sheetView tabSelected="1" topLeftCell="B1" workbookViewId="0">
      <selection activeCell="C2" sqref="C2:J26"/>
    </sheetView>
  </sheetViews>
  <sheetFormatPr defaultRowHeight="15" x14ac:dyDescent="0.25"/>
  <cols>
    <col min="3" max="3" width="30.7109375" customWidth="1"/>
    <col min="4" max="4" width="15.28515625" customWidth="1"/>
    <col min="5" max="10" width="18.7109375" customWidth="1"/>
    <col min="11" max="12" width="15.7109375" customWidth="1"/>
  </cols>
  <sheetData>
    <row r="2" spans="3:10" x14ac:dyDescent="0.25">
      <c r="C2" s="155" t="s">
        <v>383</v>
      </c>
      <c r="D2" s="155"/>
      <c r="E2" s="155"/>
      <c r="F2" s="155"/>
      <c r="G2" s="155"/>
      <c r="H2" s="155"/>
      <c r="I2" s="155"/>
      <c r="J2" s="155"/>
    </row>
    <row r="3" spans="3:10" x14ac:dyDescent="0.25">
      <c r="C3" s="155" t="s">
        <v>384</v>
      </c>
      <c r="D3" s="155"/>
      <c r="E3" s="155"/>
      <c r="F3" s="155"/>
      <c r="G3" s="155"/>
      <c r="H3" s="155"/>
      <c r="I3" s="155"/>
      <c r="J3" s="155"/>
    </row>
    <row r="4" spans="3:10" ht="44.25" customHeight="1" x14ac:dyDescent="0.25">
      <c r="C4" s="117" t="s">
        <v>325</v>
      </c>
      <c r="D4" s="139" t="s">
        <v>181</v>
      </c>
      <c r="E4" s="140" t="s">
        <v>381</v>
      </c>
      <c r="F4" s="140" t="s">
        <v>385</v>
      </c>
      <c r="G4" s="140" t="s">
        <v>386</v>
      </c>
      <c r="H4" s="140" t="s">
        <v>382</v>
      </c>
      <c r="I4" s="140" t="s">
        <v>385</v>
      </c>
      <c r="J4" s="140" t="s">
        <v>386</v>
      </c>
    </row>
    <row r="5" spans="3:10" x14ac:dyDescent="0.25">
      <c r="C5" s="136" t="s">
        <v>374</v>
      </c>
      <c r="D5" s="117"/>
      <c r="E5" s="117"/>
      <c r="F5" s="133"/>
      <c r="G5" s="120"/>
      <c r="H5" s="117"/>
      <c r="I5" s="117"/>
      <c r="J5" s="117"/>
    </row>
    <row r="6" spans="3:10" x14ac:dyDescent="0.25">
      <c r="C6" s="117" t="s">
        <v>388</v>
      </c>
      <c r="D6" s="133">
        <f>'Allocation of Expenses'!F12</f>
        <v>76476.777600000016</v>
      </c>
      <c r="E6" s="120">
        <f>'Wholesale Allocation Factors'!$H$24</f>
        <v>0.22447293233147284</v>
      </c>
      <c r="F6" s="133">
        <f>$D6*E6</f>
        <v>17166.966523133902</v>
      </c>
      <c r="G6" s="120">
        <f>F6/$D$25</f>
        <v>0.24320649731290656</v>
      </c>
      <c r="H6" s="120">
        <f>'Wholesale Allocation Factors'!$H$25</f>
        <v>0.40242549517701104</v>
      </c>
      <c r="I6" s="133">
        <f>$D6*H6</f>
        <v>30776.205095222151</v>
      </c>
      <c r="J6" s="117">
        <f>I6/$D$26</f>
        <v>0.24317687687782305</v>
      </c>
    </row>
    <row r="7" spans="3:10" x14ac:dyDescent="0.25">
      <c r="C7" s="117" t="s">
        <v>368</v>
      </c>
      <c r="D7" s="133">
        <f>'Allocation of Expenses'!E14</f>
        <v>4920.5</v>
      </c>
      <c r="E7" s="120">
        <f>'Wholesale Allocation Factors'!$H$24</f>
        <v>0.22447293233147284</v>
      </c>
      <c r="F7" s="133">
        <f t="shared" ref="F7:F8" si="0">$D7*E7</f>
        <v>1104.519063537012</v>
      </c>
      <c r="G7" s="120">
        <f>F7/$D$25</f>
        <v>1.5647855565872539E-2</v>
      </c>
      <c r="H7" s="120">
        <f>'Wholesale Allocation Factors'!$H$25</f>
        <v>0.40242549517701104</v>
      </c>
      <c r="I7" s="133">
        <f t="shared" ref="I7:I8" si="1">$D7*H7</f>
        <v>1980.1346490184828</v>
      </c>
      <c r="J7" s="117">
        <f t="shared" ref="J7:J8" si="2">I7/$D$26</f>
        <v>1.5645949793226227E-2</v>
      </c>
    </row>
    <row r="8" spans="3:10" x14ac:dyDescent="0.25">
      <c r="C8" s="117" t="s">
        <v>364</v>
      </c>
      <c r="D8" s="133">
        <f>'Allocation of Expenses'!E13</f>
        <v>197428.16</v>
      </c>
      <c r="E8" s="120">
        <f>'Wholesale Allocation Factors'!$H$24</f>
        <v>0.22447293233147284</v>
      </c>
      <c r="F8" s="133">
        <f t="shared" si="0"/>
        <v>44317.278000007194</v>
      </c>
      <c r="G8" s="120">
        <f>F8/$D$25</f>
        <v>0.62784825369697683</v>
      </c>
      <c r="H8" s="120">
        <f>'Wholesale Allocation Factors'!$H$25</f>
        <v>0.40242549517701104</v>
      </c>
      <c r="I8" s="133">
        <f t="shared" si="1"/>
        <v>79450.125049886163</v>
      </c>
      <c r="J8" s="117">
        <f t="shared" si="2"/>
        <v>0.62777178724297011</v>
      </c>
    </row>
    <row r="9" spans="3:10" x14ac:dyDescent="0.25">
      <c r="C9" s="136" t="s">
        <v>375</v>
      </c>
      <c r="D9" s="117"/>
      <c r="E9" s="117"/>
      <c r="F9" s="133"/>
      <c r="G9" s="120"/>
      <c r="H9" s="117"/>
      <c r="I9" s="117"/>
      <c r="J9" s="117"/>
    </row>
    <row r="10" spans="3:10" x14ac:dyDescent="0.25">
      <c r="C10" s="117" t="s">
        <v>326</v>
      </c>
      <c r="D10" s="132">
        <f>'Allocation of Expenses'!F38-'Allocation of Expenses'!F12-'Allocation of Expenses'!F13-'Allocation of Expenses'!F14</f>
        <v>381216.57999999984</v>
      </c>
      <c r="E10" s="120">
        <f>'Wholesale Allocation Factors'!$H$24</f>
        <v>0.22447293233147284</v>
      </c>
      <c r="F10" s="133">
        <f t="shared" ref="F10:F11" si="3">$D10*E10</f>
        <v>85572.803565975468</v>
      </c>
      <c r="G10" s="120">
        <f t="shared" ref="G10:G11" si="4">F10/$D$25</f>
        <v>1.2123202892299343</v>
      </c>
      <c r="H10" s="120">
        <f>'Wholesale Allocation Factors'!$H$25</f>
        <v>0.40242549517701104</v>
      </c>
      <c r="I10" s="133">
        <f t="shared" ref="I10:I11" si="5">$D10*H10</f>
        <v>153411.27097618658</v>
      </c>
      <c r="J10" s="117">
        <f t="shared" ref="J10:J11" si="6">I10/$D$26</f>
        <v>1.2121726391678502</v>
      </c>
    </row>
    <row r="11" spans="3:10" x14ac:dyDescent="0.25">
      <c r="C11" s="117" t="s">
        <v>376</v>
      </c>
      <c r="D11" s="132">
        <f>'Allocation of Expenses'!G38</f>
        <v>225762.59000000003</v>
      </c>
      <c r="E11" s="120">
        <f>'Wholesale Allocation Factors'!$H$27</f>
        <v>6.9784965215102912E-2</v>
      </c>
      <c r="F11" s="133">
        <f t="shared" si="3"/>
        <v>15754.834490021542</v>
      </c>
      <c r="G11" s="120">
        <f t="shared" si="4"/>
        <v>0.22320065148954588</v>
      </c>
      <c r="H11" s="120">
        <f>'Wholesale Allocation Factors'!$H$28</f>
        <v>0.10466434334887612</v>
      </c>
      <c r="I11" s="133">
        <f t="shared" si="5"/>
        <v>23629.293235091547</v>
      </c>
      <c r="J11" s="117">
        <f t="shared" si="6"/>
        <v>0.18670585648754617</v>
      </c>
    </row>
    <row r="12" spans="3:10" x14ac:dyDescent="0.25">
      <c r="C12" s="117" t="s">
        <v>328</v>
      </c>
      <c r="D12" s="117"/>
      <c r="E12" s="117"/>
      <c r="F12" s="133"/>
      <c r="G12" s="120"/>
      <c r="H12" s="117"/>
      <c r="I12" s="117"/>
      <c r="J12" s="117"/>
    </row>
    <row r="13" spans="3:10" x14ac:dyDescent="0.25">
      <c r="C13" s="136" t="s">
        <v>360</v>
      </c>
      <c r="D13" s="117"/>
      <c r="E13" s="117"/>
      <c r="F13" s="133"/>
      <c r="G13" s="120"/>
      <c r="H13" s="117"/>
      <c r="I13" s="117"/>
      <c r="J13" s="117"/>
    </row>
    <row r="14" spans="3:10" x14ac:dyDescent="0.25">
      <c r="C14" s="117" t="s">
        <v>326</v>
      </c>
      <c r="D14" s="133">
        <f>'Allocation of Expenses'!F39</f>
        <v>76117.83</v>
      </c>
      <c r="E14" s="120">
        <f>'Wholesale Allocation Factors'!$H$24</f>
        <v>0.22447293233147284</v>
      </c>
      <c r="F14" s="133">
        <f t="shared" ref="F14:F15" si="7">$D14*E14</f>
        <v>17086.392502808554</v>
      </c>
      <c r="G14" s="120">
        <f t="shared" ref="G14:G15" si="8">F14/$D$25</f>
        <v>0.24206499539226498</v>
      </c>
      <c r="H14" s="120">
        <f>'Wholesale Allocation Factors'!$H$25</f>
        <v>0.40242549517701104</v>
      </c>
      <c r="I14" s="133">
        <f t="shared" ref="I14:I15" si="9">$D14*H14</f>
        <v>30631.755429549547</v>
      </c>
      <c r="J14" s="117">
        <f t="shared" ref="J14:J15" si="10">I14/$D$26</f>
        <v>0.24203551398218254</v>
      </c>
    </row>
    <row r="15" spans="3:10" x14ac:dyDescent="0.25">
      <c r="C15" s="117" t="s">
        <v>377</v>
      </c>
      <c r="D15" s="133">
        <f>'Allocation of Expenses'!G39</f>
        <v>6000.5133333333333</v>
      </c>
      <c r="E15" s="120">
        <f>'Wholesale Allocation Factors'!$H$27</f>
        <v>6.9784965215102912E-2</v>
      </c>
      <c r="F15" s="133">
        <f t="shared" si="7"/>
        <v>418.74561423942788</v>
      </c>
      <c r="G15" s="120">
        <f t="shared" si="8"/>
        <v>5.9324199163010424E-3</v>
      </c>
      <c r="H15" s="120">
        <f>'Wholesale Allocation Factors'!$H$28</f>
        <v>0.10466434334887612</v>
      </c>
      <c r="I15" s="133">
        <f t="shared" si="9"/>
        <v>628.03978778950909</v>
      </c>
      <c r="J15" s="117">
        <f t="shared" si="10"/>
        <v>4.9624296977853616E-3</v>
      </c>
    </row>
    <row r="16" spans="3:10" x14ac:dyDescent="0.25">
      <c r="C16" s="117" t="s">
        <v>328</v>
      </c>
      <c r="D16" s="117"/>
      <c r="E16" s="117"/>
      <c r="F16" s="133"/>
      <c r="G16" s="120"/>
      <c r="H16" s="117"/>
      <c r="I16" s="117"/>
      <c r="J16" s="117"/>
    </row>
    <row r="17" spans="3:10" x14ac:dyDescent="0.25">
      <c r="C17" s="136" t="s">
        <v>361</v>
      </c>
      <c r="D17" s="133">
        <f>SUM(D7:D15)</f>
        <v>891446.17333333311</v>
      </c>
      <c r="E17" s="117"/>
      <c r="F17" s="133"/>
      <c r="G17" s="120"/>
      <c r="H17" s="117"/>
      <c r="I17" s="117"/>
      <c r="J17" s="117"/>
    </row>
    <row r="18" spans="3:10" x14ac:dyDescent="0.25">
      <c r="C18" s="137" t="s">
        <v>394</v>
      </c>
      <c r="D18" s="133">
        <f>D17/0.88-D17</f>
        <v>121560.8418181818</v>
      </c>
      <c r="E18" s="120">
        <f>'Wholesale Allocation Factors'!$H$24</f>
        <v>0.22447293233147284</v>
      </c>
      <c r="F18" s="133">
        <f t="shared" ref="F18:F20" si="11">$D18*E18</f>
        <v>27287.118619609595</v>
      </c>
      <c r="G18" s="120">
        <f t="shared" ref="G18:G20" si="12">F18/$D$25</f>
        <v>0.38657991977172795</v>
      </c>
      <c r="H18" s="120">
        <f>'Wholesale Allocation Factors'!$H$25</f>
        <v>0.40242549517701104</v>
      </c>
      <c r="I18" s="133">
        <f t="shared" ref="I18:I20" si="13">$D18*H18</f>
        <v>48919.181962816117</v>
      </c>
      <c r="J18" s="117">
        <f t="shared" ref="J18:J20" si="14">I18/$D$26</f>
        <v>0.38653283770136926</v>
      </c>
    </row>
    <row r="19" spans="3:10" x14ac:dyDescent="0.25">
      <c r="C19" s="137" t="s">
        <v>378</v>
      </c>
      <c r="D19" s="117"/>
      <c r="E19" s="120">
        <f>'Wholesale Allocation Factors'!$H$27</f>
        <v>6.9784965215102912E-2</v>
      </c>
      <c r="F19" s="133">
        <f t="shared" si="11"/>
        <v>0</v>
      </c>
      <c r="G19" s="120">
        <f t="shared" si="12"/>
        <v>0</v>
      </c>
      <c r="H19" s="120">
        <f>'Wholesale Allocation Factors'!$H$28</f>
        <v>0.10466434334887612</v>
      </c>
      <c r="I19" s="133">
        <f t="shared" si="13"/>
        <v>0</v>
      </c>
      <c r="J19" s="117">
        <f t="shared" si="14"/>
        <v>0</v>
      </c>
    </row>
    <row r="20" spans="3:10" x14ac:dyDescent="0.25">
      <c r="C20" s="137" t="s">
        <v>379</v>
      </c>
      <c r="D20" s="117"/>
      <c r="E20" s="120">
        <f>'Wholesale Allocation Factors'!$H$27</f>
        <v>6.9784965215102912E-2</v>
      </c>
      <c r="F20" s="133">
        <f t="shared" si="11"/>
        <v>0</v>
      </c>
      <c r="G20" s="120">
        <f t="shared" si="12"/>
        <v>0</v>
      </c>
      <c r="H20" s="120">
        <f>'Wholesale Allocation Factors'!$H$28</f>
        <v>0.10466434334887612</v>
      </c>
      <c r="I20" s="133">
        <f t="shared" si="13"/>
        <v>0</v>
      </c>
      <c r="J20" s="117">
        <f t="shared" si="14"/>
        <v>0</v>
      </c>
    </row>
    <row r="21" spans="3:10" x14ac:dyDescent="0.25">
      <c r="C21" s="136" t="s">
        <v>380</v>
      </c>
      <c r="D21" s="117"/>
      <c r="E21" s="117"/>
      <c r="F21" s="133"/>
      <c r="G21" s="141">
        <f>SUM(G5:G20)</f>
        <v>2.9568008823755298</v>
      </c>
      <c r="H21" s="117"/>
      <c r="I21" s="117"/>
      <c r="J21" s="141">
        <f>SUM(J5:J20)</f>
        <v>2.9190038909507532</v>
      </c>
    </row>
    <row r="24" spans="3:10" x14ac:dyDescent="0.25">
      <c r="C24" s="1" t="s">
        <v>387</v>
      </c>
    </row>
    <row r="25" spans="3:10" x14ac:dyDescent="0.25">
      <c r="C25" t="s">
        <v>320</v>
      </c>
      <c r="D25" s="117">
        <f>'Wholesale Allocation Factors'!E41/1000</f>
        <v>70585.97</v>
      </c>
    </row>
    <row r="26" spans="3:10" x14ac:dyDescent="0.25">
      <c r="C26" t="s">
        <v>321</v>
      </c>
      <c r="D26" s="117">
        <f>'Water Production and Sales'!K115/1000</f>
        <v>126558.929</v>
      </c>
    </row>
  </sheetData>
  <mergeCells count="2">
    <mergeCell ref="C3:J3"/>
    <mergeCell ref="C2:J2"/>
  </mergeCells>
  <pageMargins left="0.7" right="0.7" top="0.75" bottom="0.75" header="0.3" footer="0.3"/>
  <pageSetup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C00D5-7A6B-435A-8265-2F8E83592F67}">
  <sheetPr>
    <pageSetUpPr fitToPage="1"/>
  </sheetPr>
  <dimension ref="A1:P43"/>
  <sheetViews>
    <sheetView workbookViewId="0">
      <pane xSplit="2" ySplit="2" topLeftCell="C27" activePane="bottomRight" state="frozen"/>
      <selection pane="topRight" activeCell="C1" sqref="C1"/>
      <selection pane="bottomLeft" activeCell="A3" sqref="A3"/>
      <selection pane="bottomRight" activeCell="L44" sqref="L44"/>
    </sheetView>
  </sheetViews>
  <sheetFormatPr defaultColWidth="9.140625" defaultRowHeight="15" x14ac:dyDescent="0.25"/>
  <cols>
    <col min="1" max="1" width="34.7109375" style="61" customWidth="1"/>
    <col min="2" max="2" width="12.140625" style="60" customWidth="1"/>
    <col min="3" max="3" width="9.7109375" style="60" customWidth="1"/>
    <col min="4" max="4" width="6" style="60" customWidth="1"/>
    <col min="5" max="5" width="17.28515625" style="59" customWidth="1"/>
    <col min="6" max="6" width="9" style="59" hidden="1" customWidth="1"/>
    <col min="7" max="7" width="16.7109375" style="59" hidden="1" customWidth="1"/>
    <col min="8" max="8" width="17.28515625" style="59" customWidth="1"/>
    <col min="9" max="9" width="5" style="59" customWidth="1"/>
    <col min="10" max="10" width="12.85546875" style="59" customWidth="1"/>
    <col min="11" max="11" width="11.42578125" style="59" bestFit="1" customWidth="1"/>
    <col min="12" max="12" width="11.28515625" style="59" bestFit="1" customWidth="1"/>
    <col min="13" max="13" width="12.85546875" style="59" customWidth="1"/>
    <col min="14" max="14" width="6.42578125" style="59" customWidth="1"/>
    <col min="15" max="15" width="13.85546875" style="59" customWidth="1"/>
    <col min="16" max="16" width="15" style="59" customWidth="1"/>
    <col min="17" max="16384" width="9.140625" style="59"/>
  </cols>
  <sheetData>
    <row r="1" spans="1:16" x14ac:dyDescent="0.25">
      <c r="E1" s="156" t="s">
        <v>268</v>
      </c>
      <c r="F1" s="156"/>
      <c r="G1" s="156"/>
      <c r="H1" s="156"/>
      <c r="I1" s="94"/>
      <c r="J1" s="157" t="s">
        <v>267</v>
      </c>
      <c r="K1" s="157"/>
      <c r="L1" s="157"/>
      <c r="M1" s="157"/>
      <c r="N1" s="93"/>
      <c r="O1" s="92" t="s">
        <v>266</v>
      </c>
      <c r="P1" s="92" t="s">
        <v>266</v>
      </c>
    </row>
    <row r="2" spans="1:16" ht="30" x14ac:dyDescent="0.25">
      <c r="A2" s="91" t="s">
        <v>265</v>
      </c>
      <c r="B2" s="90" t="s">
        <v>264</v>
      </c>
      <c r="C2" s="90" t="s">
        <v>263</v>
      </c>
      <c r="D2" s="90" t="s">
        <v>262</v>
      </c>
      <c r="E2" s="89">
        <v>44377</v>
      </c>
      <c r="F2" s="89" t="s">
        <v>261</v>
      </c>
      <c r="G2" s="89" t="s">
        <v>260</v>
      </c>
      <c r="H2" s="89">
        <v>44742</v>
      </c>
      <c r="I2" s="87"/>
      <c r="J2" s="88">
        <v>44377</v>
      </c>
      <c r="K2" s="88" t="s">
        <v>261</v>
      </c>
      <c r="L2" s="88" t="s">
        <v>260</v>
      </c>
      <c r="M2" s="88">
        <v>44742</v>
      </c>
      <c r="N2" s="87"/>
      <c r="O2" s="86">
        <v>44377</v>
      </c>
      <c r="P2" s="86">
        <v>44742</v>
      </c>
    </row>
    <row r="3" spans="1:16" ht="15" customHeight="1" x14ac:dyDescent="0.25">
      <c r="A3" s="68" t="s">
        <v>259</v>
      </c>
      <c r="B3" s="67" t="s">
        <v>227</v>
      </c>
      <c r="C3" s="67" t="s">
        <v>230</v>
      </c>
      <c r="D3" s="66">
        <v>50</v>
      </c>
      <c r="E3" s="78">
        <v>11970</v>
      </c>
      <c r="F3" s="64"/>
      <c r="G3" s="64"/>
      <c r="H3" s="64">
        <f t="shared" ref="H3:H38" si="0">SUM(E3:G3)</f>
        <v>11970</v>
      </c>
      <c r="I3" s="78"/>
      <c r="J3" s="64">
        <v>11121.999999999998</v>
      </c>
      <c r="K3" s="64">
        <f>H3/D3</f>
        <v>239.4</v>
      </c>
      <c r="L3" s="64"/>
      <c r="M3" s="64">
        <f t="shared" ref="M3:M38" si="1">SUM(J3:L3)</f>
        <v>11361.399999999998</v>
      </c>
      <c r="N3" s="64"/>
      <c r="O3" s="64">
        <f t="shared" ref="O3:O35" si="2">+E3-J3</f>
        <v>848.00000000000182</v>
      </c>
      <c r="P3" s="63">
        <f t="shared" ref="P3:P38" si="3">H3-M3</f>
        <v>608.60000000000218</v>
      </c>
    </row>
    <row r="4" spans="1:16" ht="15" customHeight="1" x14ac:dyDescent="0.25">
      <c r="A4" s="85" t="s">
        <v>258</v>
      </c>
      <c r="B4" s="84" t="s">
        <v>227</v>
      </c>
      <c r="C4" s="84" t="s">
        <v>230</v>
      </c>
      <c r="D4" s="83">
        <v>50</v>
      </c>
      <c r="E4" s="80">
        <v>2255</v>
      </c>
      <c r="F4" s="80"/>
      <c r="G4" s="80"/>
      <c r="H4" s="81">
        <f t="shared" si="0"/>
        <v>2255</v>
      </c>
      <c r="I4" s="82"/>
      <c r="J4" s="81">
        <v>2250.8999999999996</v>
      </c>
      <c r="K4" s="81">
        <v>4.0999999999999996</v>
      </c>
      <c r="L4" s="80"/>
      <c r="M4" s="81">
        <f t="shared" si="1"/>
        <v>2254.9999999999995</v>
      </c>
      <c r="N4" s="81"/>
      <c r="O4" s="81">
        <f t="shared" si="2"/>
        <v>4.1000000000003638</v>
      </c>
      <c r="P4" s="80">
        <f t="shared" si="3"/>
        <v>0</v>
      </c>
    </row>
    <row r="5" spans="1:16" ht="15.95" customHeight="1" x14ac:dyDescent="0.25">
      <c r="A5" s="85" t="s">
        <v>257</v>
      </c>
      <c r="B5" s="84" t="s">
        <v>227</v>
      </c>
      <c r="C5" s="84" t="s">
        <v>230</v>
      </c>
      <c r="D5" s="83">
        <v>50</v>
      </c>
      <c r="E5" s="80">
        <v>279844</v>
      </c>
      <c r="F5" s="80"/>
      <c r="G5" s="80"/>
      <c r="H5" s="81">
        <f t="shared" si="0"/>
        <v>279844</v>
      </c>
      <c r="I5" s="82"/>
      <c r="J5" s="81">
        <v>279844</v>
      </c>
      <c r="K5" s="81">
        <v>0</v>
      </c>
      <c r="L5" s="80"/>
      <c r="M5" s="81">
        <f t="shared" si="1"/>
        <v>279844</v>
      </c>
      <c r="N5" s="81"/>
      <c r="O5" s="81">
        <f t="shared" si="2"/>
        <v>0</v>
      </c>
      <c r="P5" s="80">
        <f t="shared" si="3"/>
        <v>0</v>
      </c>
    </row>
    <row r="6" spans="1:16" ht="15.95" customHeight="1" x14ac:dyDescent="0.25">
      <c r="A6" s="85" t="s">
        <v>256</v>
      </c>
      <c r="B6" s="84" t="s">
        <v>227</v>
      </c>
      <c r="C6" s="84" t="s">
        <v>230</v>
      </c>
      <c r="D6" s="83">
        <v>50</v>
      </c>
      <c r="E6" s="80">
        <v>131626</v>
      </c>
      <c r="F6" s="80"/>
      <c r="G6" s="80"/>
      <c r="H6" s="81">
        <f t="shared" si="0"/>
        <v>131626</v>
      </c>
      <c r="I6" s="82"/>
      <c r="J6" s="81">
        <v>130320.00000000003</v>
      </c>
      <c r="K6" s="81">
        <v>1306</v>
      </c>
      <c r="L6" s="80"/>
      <c r="M6" s="81">
        <f t="shared" si="1"/>
        <v>131626.00000000003</v>
      </c>
      <c r="N6" s="81"/>
      <c r="O6" s="81">
        <f t="shared" si="2"/>
        <v>1305.9999999999709</v>
      </c>
      <c r="P6" s="80">
        <f t="shared" si="3"/>
        <v>0</v>
      </c>
    </row>
    <row r="7" spans="1:16" ht="15" customHeight="1" x14ac:dyDescent="0.25">
      <c r="A7" s="85" t="s">
        <v>255</v>
      </c>
      <c r="B7" s="84" t="s">
        <v>227</v>
      </c>
      <c r="C7" s="84" t="s">
        <v>230</v>
      </c>
      <c r="D7" s="83">
        <v>50</v>
      </c>
      <c r="E7" s="80">
        <v>400</v>
      </c>
      <c r="F7" s="80"/>
      <c r="G7" s="80"/>
      <c r="H7" s="81">
        <f t="shared" si="0"/>
        <v>400</v>
      </c>
      <c r="I7" s="82"/>
      <c r="J7" s="81">
        <v>388</v>
      </c>
      <c r="K7" s="81">
        <f t="shared" ref="K7:K38" si="4">H7/D7</f>
        <v>8</v>
      </c>
      <c r="L7" s="80"/>
      <c r="M7" s="81">
        <f t="shared" si="1"/>
        <v>396</v>
      </c>
      <c r="N7" s="81"/>
      <c r="O7" s="81">
        <f t="shared" si="2"/>
        <v>12</v>
      </c>
      <c r="P7" s="80">
        <f t="shared" si="3"/>
        <v>4</v>
      </c>
    </row>
    <row r="8" spans="1:16" ht="15" customHeight="1" x14ac:dyDescent="0.25">
      <c r="A8" s="85" t="s">
        <v>254</v>
      </c>
      <c r="B8" s="84" t="s">
        <v>227</v>
      </c>
      <c r="C8" s="84" t="s">
        <v>230</v>
      </c>
      <c r="D8" s="83">
        <v>50</v>
      </c>
      <c r="E8" s="80">
        <v>18629</v>
      </c>
      <c r="F8" s="80"/>
      <c r="G8" s="80"/>
      <c r="H8" s="81">
        <f t="shared" si="0"/>
        <v>18629</v>
      </c>
      <c r="I8" s="82"/>
      <c r="J8" s="81">
        <v>15823.5</v>
      </c>
      <c r="K8" s="81">
        <f t="shared" si="4"/>
        <v>372.58</v>
      </c>
      <c r="L8" s="80"/>
      <c r="M8" s="81">
        <f t="shared" si="1"/>
        <v>16196.08</v>
      </c>
      <c r="N8" s="81"/>
      <c r="O8" s="81">
        <f t="shared" si="2"/>
        <v>2805.5</v>
      </c>
      <c r="P8" s="80">
        <f t="shared" si="3"/>
        <v>2432.92</v>
      </c>
    </row>
    <row r="9" spans="1:16" ht="15.95" customHeight="1" x14ac:dyDescent="0.25">
      <c r="A9" s="85" t="s">
        <v>253</v>
      </c>
      <c r="B9" s="84" t="s">
        <v>227</v>
      </c>
      <c r="C9" s="84" t="s">
        <v>230</v>
      </c>
      <c r="D9" s="83">
        <v>50</v>
      </c>
      <c r="E9" s="80">
        <v>1819</v>
      </c>
      <c r="F9" s="80"/>
      <c r="G9" s="80"/>
      <c r="H9" s="81">
        <f t="shared" si="0"/>
        <v>1819</v>
      </c>
      <c r="I9" s="82"/>
      <c r="J9" s="81">
        <v>1504.5000000000007</v>
      </c>
      <c r="K9" s="81">
        <f t="shared" si="4"/>
        <v>36.380000000000003</v>
      </c>
      <c r="L9" s="80"/>
      <c r="M9" s="81">
        <f t="shared" si="1"/>
        <v>1540.8800000000008</v>
      </c>
      <c r="N9" s="81"/>
      <c r="O9" s="81">
        <f t="shared" si="2"/>
        <v>314.49999999999932</v>
      </c>
      <c r="P9" s="80">
        <f t="shared" si="3"/>
        <v>278.11999999999921</v>
      </c>
    </row>
    <row r="10" spans="1:16" ht="15" customHeight="1" x14ac:dyDescent="0.25">
      <c r="A10" s="85" t="s">
        <v>252</v>
      </c>
      <c r="B10" s="84" t="s">
        <v>227</v>
      </c>
      <c r="C10" s="84" t="s">
        <v>230</v>
      </c>
      <c r="D10" s="83">
        <v>50</v>
      </c>
      <c r="E10" s="80">
        <v>125953</v>
      </c>
      <c r="F10" s="80"/>
      <c r="G10" s="80"/>
      <c r="H10" s="81">
        <f t="shared" si="0"/>
        <v>125953</v>
      </c>
      <c r="I10" s="82"/>
      <c r="J10" s="81">
        <v>117135.49999999999</v>
      </c>
      <c r="K10" s="81">
        <f t="shared" si="4"/>
        <v>2519.06</v>
      </c>
      <c r="L10" s="80"/>
      <c r="M10" s="81">
        <f t="shared" si="1"/>
        <v>119654.55999999998</v>
      </c>
      <c r="N10" s="81"/>
      <c r="O10" s="81">
        <f t="shared" si="2"/>
        <v>8817.5000000000146</v>
      </c>
      <c r="P10" s="80">
        <f t="shared" si="3"/>
        <v>6298.4400000000169</v>
      </c>
    </row>
    <row r="11" spans="1:16" ht="15.95" customHeight="1" x14ac:dyDescent="0.25">
      <c r="A11" s="85" t="s">
        <v>251</v>
      </c>
      <c r="B11" s="84" t="s">
        <v>227</v>
      </c>
      <c r="C11" s="84" t="s">
        <v>230</v>
      </c>
      <c r="D11" s="83">
        <v>50</v>
      </c>
      <c r="E11" s="80">
        <v>151631</v>
      </c>
      <c r="F11" s="80"/>
      <c r="G11" s="80"/>
      <c r="H11" s="81">
        <f t="shared" si="0"/>
        <v>151631</v>
      </c>
      <c r="I11" s="82"/>
      <c r="J11" s="81">
        <v>137990.49999999997</v>
      </c>
      <c r="K11" s="81">
        <f t="shared" si="4"/>
        <v>3032.62</v>
      </c>
      <c r="L11" s="80"/>
      <c r="M11" s="81">
        <f t="shared" si="1"/>
        <v>141023.11999999997</v>
      </c>
      <c r="N11" s="81"/>
      <c r="O11" s="81">
        <f t="shared" si="2"/>
        <v>13640.500000000029</v>
      </c>
      <c r="P11" s="80">
        <f t="shared" si="3"/>
        <v>10607.880000000034</v>
      </c>
    </row>
    <row r="12" spans="1:16" ht="15" customHeight="1" x14ac:dyDescent="0.25">
      <c r="A12" s="85" t="s">
        <v>250</v>
      </c>
      <c r="B12" s="84" t="s">
        <v>227</v>
      </c>
      <c r="C12" s="84" t="s">
        <v>230</v>
      </c>
      <c r="D12" s="83">
        <v>50</v>
      </c>
      <c r="E12" s="80">
        <v>79866</v>
      </c>
      <c r="F12" s="80"/>
      <c r="G12" s="80"/>
      <c r="H12" s="81">
        <f t="shared" si="0"/>
        <v>79866</v>
      </c>
      <c r="I12" s="82"/>
      <c r="J12" s="81">
        <v>71075.000000000029</v>
      </c>
      <c r="K12" s="81">
        <f t="shared" si="4"/>
        <v>1597.32</v>
      </c>
      <c r="L12" s="80"/>
      <c r="M12" s="81">
        <f t="shared" si="1"/>
        <v>72672.320000000036</v>
      </c>
      <c r="N12" s="81"/>
      <c r="O12" s="81">
        <f t="shared" si="2"/>
        <v>8790.9999999999709</v>
      </c>
      <c r="P12" s="80">
        <f t="shared" si="3"/>
        <v>7193.6799999999639</v>
      </c>
    </row>
    <row r="13" spans="1:16" ht="15.95" customHeight="1" x14ac:dyDescent="0.25">
      <c r="A13" s="85" t="s">
        <v>249</v>
      </c>
      <c r="B13" s="84" t="s">
        <v>227</v>
      </c>
      <c r="C13" s="84" t="s">
        <v>230</v>
      </c>
      <c r="D13" s="83">
        <v>50</v>
      </c>
      <c r="E13" s="80">
        <v>2810</v>
      </c>
      <c r="F13" s="80"/>
      <c r="G13" s="80"/>
      <c r="H13" s="81">
        <f t="shared" si="0"/>
        <v>2810</v>
      </c>
      <c r="I13" s="82"/>
      <c r="J13" s="81">
        <v>2441.9999999999986</v>
      </c>
      <c r="K13" s="81">
        <f t="shared" si="4"/>
        <v>56.2</v>
      </c>
      <c r="L13" s="80"/>
      <c r="M13" s="81">
        <f t="shared" si="1"/>
        <v>2498.1999999999985</v>
      </c>
      <c r="N13" s="81"/>
      <c r="O13" s="81">
        <f t="shared" si="2"/>
        <v>368.00000000000136</v>
      </c>
      <c r="P13" s="80">
        <f t="shared" si="3"/>
        <v>311.80000000000155</v>
      </c>
    </row>
    <row r="14" spans="1:16" ht="18.95" customHeight="1" x14ac:dyDescent="0.25">
      <c r="A14" s="85" t="s">
        <v>248</v>
      </c>
      <c r="B14" s="84" t="s">
        <v>227</v>
      </c>
      <c r="C14" s="84" t="s">
        <v>230</v>
      </c>
      <c r="D14" s="83">
        <v>50</v>
      </c>
      <c r="E14" s="80">
        <v>21501</v>
      </c>
      <c r="F14" s="80"/>
      <c r="G14" s="80"/>
      <c r="H14" s="81">
        <f t="shared" si="0"/>
        <v>21501</v>
      </c>
      <c r="I14" s="82"/>
      <c r="J14" s="81">
        <v>16985.500000000004</v>
      </c>
      <c r="K14" s="81">
        <f t="shared" si="4"/>
        <v>430.02</v>
      </c>
      <c r="L14" s="80"/>
      <c r="M14" s="81">
        <f t="shared" si="1"/>
        <v>17415.520000000004</v>
      </c>
      <c r="N14" s="81"/>
      <c r="O14" s="81">
        <f t="shared" si="2"/>
        <v>4515.4999999999964</v>
      </c>
      <c r="P14" s="80">
        <f t="shared" si="3"/>
        <v>4085.4799999999959</v>
      </c>
    </row>
    <row r="15" spans="1:16" x14ac:dyDescent="0.25">
      <c r="A15" s="75" t="s">
        <v>247</v>
      </c>
      <c r="B15" s="74" t="s">
        <v>227</v>
      </c>
      <c r="C15" s="74" t="s">
        <v>230</v>
      </c>
      <c r="D15" s="73">
        <v>50</v>
      </c>
      <c r="E15" s="69">
        <v>1634</v>
      </c>
      <c r="F15" s="69"/>
      <c r="G15" s="69"/>
      <c r="H15" s="70">
        <f t="shared" si="0"/>
        <v>1634</v>
      </c>
      <c r="I15" s="79"/>
      <c r="J15" s="70">
        <v>1243.0000000000005</v>
      </c>
      <c r="K15" s="70">
        <f t="shared" si="4"/>
        <v>32.68</v>
      </c>
      <c r="L15" s="69"/>
      <c r="M15" s="70">
        <f t="shared" si="1"/>
        <v>1275.6800000000005</v>
      </c>
      <c r="N15" s="70"/>
      <c r="O15" s="70">
        <f t="shared" si="2"/>
        <v>390.99999999999955</v>
      </c>
      <c r="P15" s="69">
        <f t="shared" si="3"/>
        <v>358.31999999999948</v>
      </c>
    </row>
    <row r="16" spans="1:16" x14ac:dyDescent="0.25">
      <c r="A16" s="75" t="s">
        <v>246</v>
      </c>
      <c r="B16" s="74" t="s">
        <v>227</v>
      </c>
      <c r="C16" s="74" t="s">
        <v>230</v>
      </c>
      <c r="D16" s="73">
        <v>50</v>
      </c>
      <c r="E16" s="69">
        <v>54480</v>
      </c>
      <c r="F16" s="69"/>
      <c r="G16" s="69"/>
      <c r="H16" s="70">
        <f t="shared" si="0"/>
        <v>54480</v>
      </c>
      <c r="I16" s="79"/>
      <c r="J16" s="70">
        <v>35958.999999999993</v>
      </c>
      <c r="K16" s="70">
        <f t="shared" si="4"/>
        <v>1089.5999999999999</v>
      </c>
      <c r="L16" s="69"/>
      <c r="M16" s="70">
        <f t="shared" si="1"/>
        <v>37048.599999999991</v>
      </c>
      <c r="N16" s="70"/>
      <c r="O16" s="70">
        <f t="shared" si="2"/>
        <v>18521.000000000007</v>
      </c>
      <c r="P16" s="69">
        <f t="shared" si="3"/>
        <v>17431.400000000009</v>
      </c>
    </row>
    <row r="17" spans="1:16" x14ac:dyDescent="0.25">
      <c r="A17" s="75" t="s">
        <v>246</v>
      </c>
      <c r="B17" s="74" t="s">
        <v>227</v>
      </c>
      <c r="C17" s="74" t="s">
        <v>230</v>
      </c>
      <c r="D17" s="73">
        <v>50</v>
      </c>
      <c r="E17" s="69">
        <v>45667</v>
      </c>
      <c r="F17" s="69"/>
      <c r="G17" s="69"/>
      <c r="H17" s="70">
        <f t="shared" si="0"/>
        <v>45667</v>
      </c>
      <c r="I17" s="79"/>
      <c r="J17" s="70">
        <v>30138.5</v>
      </c>
      <c r="K17" s="70">
        <f t="shared" si="4"/>
        <v>913.34</v>
      </c>
      <c r="L17" s="69"/>
      <c r="M17" s="70">
        <f t="shared" si="1"/>
        <v>31051.84</v>
      </c>
      <c r="N17" s="70"/>
      <c r="O17" s="70">
        <f t="shared" si="2"/>
        <v>15528.5</v>
      </c>
      <c r="P17" s="69">
        <f t="shared" si="3"/>
        <v>14615.16</v>
      </c>
    </row>
    <row r="18" spans="1:16" x14ac:dyDescent="0.25">
      <c r="A18" s="68" t="s">
        <v>245</v>
      </c>
      <c r="B18" s="67" t="s">
        <v>227</v>
      </c>
      <c r="C18" s="67" t="s">
        <v>230</v>
      </c>
      <c r="D18" s="66">
        <v>50</v>
      </c>
      <c r="E18" s="63">
        <v>10364</v>
      </c>
      <c r="F18" s="63"/>
      <c r="G18" s="63"/>
      <c r="H18" s="64">
        <f t="shared" si="0"/>
        <v>10364</v>
      </c>
      <c r="I18" s="78"/>
      <c r="J18" s="64">
        <v>6838.9999999999982</v>
      </c>
      <c r="K18" s="64">
        <f t="shared" si="4"/>
        <v>207.28</v>
      </c>
      <c r="L18" s="63"/>
      <c r="M18" s="64">
        <f t="shared" si="1"/>
        <v>7046.2799999999979</v>
      </c>
      <c r="N18" s="64"/>
      <c r="O18" s="64">
        <f t="shared" si="2"/>
        <v>3525.0000000000018</v>
      </c>
      <c r="P18" s="63">
        <f t="shared" si="3"/>
        <v>3317.7200000000021</v>
      </c>
    </row>
    <row r="19" spans="1:16" x14ac:dyDescent="0.25">
      <c r="A19" s="75" t="s">
        <v>244</v>
      </c>
      <c r="B19" s="74" t="s">
        <v>227</v>
      </c>
      <c r="C19" s="74" t="s">
        <v>230</v>
      </c>
      <c r="D19" s="73">
        <v>40</v>
      </c>
      <c r="E19" s="69">
        <v>930336</v>
      </c>
      <c r="F19" s="69"/>
      <c r="G19" s="69"/>
      <c r="H19" s="70">
        <f t="shared" si="0"/>
        <v>930336</v>
      </c>
      <c r="I19" s="79"/>
      <c r="J19" s="70">
        <v>790783.00000000012</v>
      </c>
      <c r="K19" s="70">
        <f t="shared" si="4"/>
        <v>23258.400000000001</v>
      </c>
      <c r="L19" s="69"/>
      <c r="M19" s="70">
        <f t="shared" si="1"/>
        <v>814041.40000000014</v>
      </c>
      <c r="N19" s="70"/>
      <c r="O19" s="70">
        <f t="shared" si="2"/>
        <v>139552.99999999988</v>
      </c>
      <c r="P19" s="69">
        <f t="shared" si="3"/>
        <v>116294.59999999986</v>
      </c>
    </row>
    <row r="20" spans="1:16" x14ac:dyDescent="0.25">
      <c r="A20" s="75" t="s">
        <v>243</v>
      </c>
      <c r="B20" s="74" t="s">
        <v>227</v>
      </c>
      <c r="C20" s="74" t="s">
        <v>230</v>
      </c>
      <c r="D20" s="73">
        <v>50</v>
      </c>
      <c r="E20" s="69">
        <v>1442206</v>
      </c>
      <c r="F20" s="69"/>
      <c r="G20" s="69"/>
      <c r="H20" s="70">
        <f t="shared" si="0"/>
        <v>1442206</v>
      </c>
      <c r="I20" s="79"/>
      <c r="J20" s="70">
        <v>812442</v>
      </c>
      <c r="K20" s="70">
        <f t="shared" si="4"/>
        <v>28844.12</v>
      </c>
      <c r="L20" s="69"/>
      <c r="M20" s="70">
        <f t="shared" si="1"/>
        <v>841286.12</v>
      </c>
      <c r="N20" s="70"/>
      <c r="O20" s="70">
        <f t="shared" si="2"/>
        <v>629764</v>
      </c>
      <c r="P20" s="69">
        <f t="shared" si="3"/>
        <v>600919.88</v>
      </c>
    </row>
    <row r="21" spans="1:16" x14ac:dyDescent="0.25">
      <c r="A21" s="75" t="s">
        <v>242</v>
      </c>
      <c r="B21" s="74" t="s">
        <v>227</v>
      </c>
      <c r="C21" s="74" t="s">
        <v>230</v>
      </c>
      <c r="D21" s="73">
        <v>50</v>
      </c>
      <c r="E21" s="69">
        <v>4048</v>
      </c>
      <c r="F21" s="69"/>
      <c r="G21" s="69"/>
      <c r="H21" s="70">
        <f t="shared" si="0"/>
        <v>4048</v>
      </c>
      <c r="I21" s="79"/>
      <c r="J21" s="70">
        <v>2023.8200000000002</v>
      </c>
      <c r="K21" s="70">
        <f t="shared" si="4"/>
        <v>80.959999999999994</v>
      </c>
      <c r="L21" s="69"/>
      <c r="M21" s="70">
        <f t="shared" si="1"/>
        <v>2104.7800000000002</v>
      </c>
      <c r="N21" s="70"/>
      <c r="O21" s="70">
        <f t="shared" si="2"/>
        <v>2024.1799999999998</v>
      </c>
      <c r="P21" s="69">
        <f t="shared" si="3"/>
        <v>1943.2199999999998</v>
      </c>
    </row>
    <row r="22" spans="1:16" ht="30" x14ac:dyDescent="0.25">
      <c r="A22" s="75" t="s">
        <v>241</v>
      </c>
      <c r="B22" s="74" t="s">
        <v>227</v>
      </c>
      <c r="C22" s="74" t="s">
        <v>230</v>
      </c>
      <c r="D22" s="73">
        <v>50</v>
      </c>
      <c r="E22" s="69">
        <v>60890</v>
      </c>
      <c r="F22" s="69"/>
      <c r="G22" s="69"/>
      <c r="H22" s="70">
        <f t="shared" si="0"/>
        <v>60890</v>
      </c>
      <c r="I22" s="79"/>
      <c r="J22" s="70">
        <v>29227.229999999996</v>
      </c>
      <c r="K22" s="70">
        <f t="shared" si="4"/>
        <v>1217.8</v>
      </c>
      <c r="L22" s="69"/>
      <c r="M22" s="70">
        <f t="shared" si="1"/>
        <v>30445.029999999995</v>
      </c>
      <c r="N22" s="70"/>
      <c r="O22" s="70">
        <f t="shared" si="2"/>
        <v>31662.770000000004</v>
      </c>
      <c r="P22" s="69">
        <f t="shared" si="3"/>
        <v>30444.970000000005</v>
      </c>
    </row>
    <row r="23" spans="1:16" ht="30" x14ac:dyDescent="0.25">
      <c r="A23" s="75" t="s">
        <v>241</v>
      </c>
      <c r="B23" s="74" t="s">
        <v>227</v>
      </c>
      <c r="C23" s="74" t="s">
        <v>230</v>
      </c>
      <c r="D23" s="73">
        <v>50</v>
      </c>
      <c r="E23" s="69">
        <v>4996</v>
      </c>
      <c r="F23" s="69"/>
      <c r="G23" s="69"/>
      <c r="H23" s="70">
        <f t="shared" si="0"/>
        <v>4996</v>
      </c>
      <c r="I23" s="79"/>
      <c r="J23" s="70">
        <v>2398.0800000000004</v>
      </c>
      <c r="K23" s="70">
        <f t="shared" si="4"/>
        <v>99.92</v>
      </c>
      <c r="L23" s="69"/>
      <c r="M23" s="70">
        <f t="shared" si="1"/>
        <v>2498.0000000000005</v>
      </c>
      <c r="N23" s="70"/>
      <c r="O23" s="70">
        <f t="shared" si="2"/>
        <v>2597.9199999999996</v>
      </c>
      <c r="P23" s="69">
        <f t="shared" si="3"/>
        <v>2497.9999999999995</v>
      </c>
    </row>
    <row r="24" spans="1:16" x14ac:dyDescent="0.25">
      <c r="A24" s="75" t="s">
        <v>240</v>
      </c>
      <c r="B24" s="74" t="s">
        <v>227</v>
      </c>
      <c r="C24" s="74" t="s">
        <v>230</v>
      </c>
      <c r="D24" s="73">
        <v>50</v>
      </c>
      <c r="E24" s="69">
        <v>26353</v>
      </c>
      <c r="F24" s="69"/>
      <c r="G24" s="69"/>
      <c r="H24" s="70">
        <f t="shared" si="0"/>
        <v>26353</v>
      </c>
      <c r="I24" s="79"/>
      <c r="J24" s="70">
        <v>12649.579999999996</v>
      </c>
      <c r="K24" s="70">
        <f t="shared" si="4"/>
        <v>527.05999999999995</v>
      </c>
      <c r="L24" s="69"/>
      <c r="M24" s="70">
        <f t="shared" si="1"/>
        <v>13176.639999999996</v>
      </c>
      <c r="N24" s="70"/>
      <c r="O24" s="70">
        <f t="shared" si="2"/>
        <v>13703.420000000004</v>
      </c>
      <c r="P24" s="69">
        <f t="shared" si="3"/>
        <v>13176.360000000004</v>
      </c>
    </row>
    <row r="25" spans="1:16" x14ac:dyDescent="0.25">
      <c r="A25" s="75" t="s">
        <v>239</v>
      </c>
      <c r="B25" s="74" t="s">
        <v>227</v>
      </c>
      <c r="C25" s="74" t="s">
        <v>230</v>
      </c>
      <c r="D25" s="73">
        <v>50</v>
      </c>
      <c r="E25" s="69">
        <v>38670</v>
      </c>
      <c r="F25" s="69"/>
      <c r="G25" s="69"/>
      <c r="H25" s="70">
        <f t="shared" si="0"/>
        <v>38670</v>
      </c>
      <c r="I25" s="79"/>
      <c r="J25" s="70">
        <v>18561.600000000002</v>
      </c>
      <c r="K25" s="70">
        <f t="shared" si="4"/>
        <v>773.4</v>
      </c>
      <c r="L25" s="69"/>
      <c r="M25" s="70">
        <f t="shared" si="1"/>
        <v>19335.000000000004</v>
      </c>
      <c r="N25" s="70"/>
      <c r="O25" s="70">
        <f t="shared" si="2"/>
        <v>20108.399999999998</v>
      </c>
      <c r="P25" s="69">
        <f t="shared" si="3"/>
        <v>19334.999999999996</v>
      </c>
    </row>
    <row r="26" spans="1:16" x14ac:dyDescent="0.25">
      <c r="A26" s="68" t="s">
        <v>238</v>
      </c>
      <c r="B26" s="67" t="s">
        <v>227</v>
      </c>
      <c r="C26" s="67" t="s">
        <v>230</v>
      </c>
      <c r="D26" s="66">
        <v>50</v>
      </c>
      <c r="E26" s="63">
        <v>9800</v>
      </c>
      <c r="F26" s="63"/>
      <c r="G26" s="63"/>
      <c r="H26" s="64">
        <f t="shared" si="0"/>
        <v>9800</v>
      </c>
      <c r="I26" s="78"/>
      <c r="J26" s="64">
        <v>4704</v>
      </c>
      <c r="K26" s="64">
        <f t="shared" si="4"/>
        <v>196</v>
      </c>
      <c r="L26" s="63"/>
      <c r="M26" s="64">
        <f t="shared" si="1"/>
        <v>4900</v>
      </c>
      <c r="N26" s="64"/>
      <c r="O26" s="64">
        <f t="shared" si="2"/>
        <v>5096</v>
      </c>
      <c r="P26" s="63">
        <f t="shared" si="3"/>
        <v>4900</v>
      </c>
    </row>
    <row r="27" spans="1:16" x14ac:dyDescent="0.25">
      <c r="A27" s="68" t="s">
        <v>237</v>
      </c>
      <c r="B27" s="67" t="s">
        <v>227</v>
      </c>
      <c r="C27" s="67" t="s">
        <v>230</v>
      </c>
      <c r="D27" s="66">
        <v>50</v>
      </c>
      <c r="E27" s="76">
        <v>6613</v>
      </c>
      <c r="F27" s="76"/>
      <c r="G27" s="76"/>
      <c r="H27" s="64">
        <f t="shared" si="0"/>
        <v>6613</v>
      </c>
      <c r="I27" s="77"/>
      <c r="J27" s="64">
        <v>2645.0700000000006</v>
      </c>
      <c r="K27" s="64">
        <f t="shared" si="4"/>
        <v>132.26</v>
      </c>
      <c r="L27" s="76"/>
      <c r="M27" s="64">
        <f t="shared" si="1"/>
        <v>2777.3300000000008</v>
      </c>
      <c r="N27" s="64"/>
      <c r="O27" s="64">
        <f t="shared" si="2"/>
        <v>3967.9299999999994</v>
      </c>
      <c r="P27" s="63">
        <f t="shared" si="3"/>
        <v>3835.6699999999992</v>
      </c>
    </row>
    <row r="28" spans="1:16" x14ac:dyDescent="0.25">
      <c r="A28" s="68" t="s">
        <v>237</v>
      </c>
      <c r="B28" s="67" t="s">
        <v>227</v>
      </c>
      <c r="C28" s="67" t="s">
        <v>230</v>
      </c>
      <c r="D28" s="66">
        <v>50</v>
      </c>
      <c r="E28" s="76">
        <v>38201</v>
      </c>
      <c r="F28" s="76"/>
      <c r="G28" s="76"/>
      <c r="H28" s="64">
        <f t="shared" si="0"/>
        <v>38201</v>
      </c>
      <c r="I28" s="77"/>
      <c r="J28" s="64">
        <v>15280.350000000002</v>
      </c>
      <c r="K28" s="64">
        <f t="shared" si="4"/>
        <v>764.02</v>
      </c>
      <c r="L28" s="76"/>
      <c r="M28" s="64">
        <f t="shared" si="1"/>
        <v>16044.370000000003</v>
      </c>
      <c r="N28" s="64"/>
      <c r="O28" s="64">
        <f t="shared" si="2"/>
        <v>22920.649999999998</v>
      </c>
      <c r="P28" s="63">
        <f t="shared" si="3"/>
        <v>22156.629999999997</v>
      </c>
    </row>
    <row r="29" spans="1:16" x14ac:dyDescent="0.25">
      <c r="A29" s="68" t="s">
        <v>236</v>
      </c>
      <c r="B29" s="67" t="s">
        <v>227</v>
      </c>
      <c r="C29" s="67" t="s">
        <v>230</v>
      </c>
      <c r="D29" s="66">
        <v>50</v>
      </c>
      <c r="E29" s="76">
        <v>7692</v>
      </c>
      <c r="F29" s="76"/>
      <c r="G29" s="76"/>
      <c r="H29" s="64">
        <f t="shared" si="0"/>
        <v>7692</v>
      </c>
      <c r="I29" s="77"/>
      <c r="J29" s="64">
        <v>3076.8200000000011</v>
      </c>
      <c r="K29" s="64">
        <f t="shared" si="4"/>
        <v>153.84</v>
      </c>
      <c r="L29" s="76"/>
      <c r="M29" s="64">
        <f t="shared" si="1"/>
        <v>3230.6600000000012</v>
      </c>
      <c r="N29" s="64"/>
      <c r="O29" s="64">
        <f t="shared" si="2"/>
        <v>4615.1799999999985</v>
      </c>
      <c r="P29" s="63">
        <f t="shared" si="3"/>
        <v>4461.3399999999983</v>
      </c>
    </row>
    <row r="30" spans="1:16" x14ac:dyDescent="0.25">
      <c r="A30" s="68" t="s">
        <v>236</v>
      </c>
      <c r="B30" s="67" t="s">
        <v>227</v>
      </c>
      <c r="C30" s="67" t="s">
        <v>230</v>
      </c>
      <c r="D30" s="66">
        <v>50</v>
      </c>
      <c r="E30" s="76">
        <v>6204</v>
      </c>
      <c r="F30" s="76"/>
      <c r="G30" s="76"/>
      <c r="H30" s="64">
        <f t="shared" si="0"/>
        <v>6204</v>
      </c>
      <c r="I30" s="77"/>
      <c r="J30" s="64">
        <v>2481.5899999999997</v>
      </c>
      <c r="K30" s="64">
        <f t="shared" si="4"/>
        <v>124.08</v>
      </c>
      <c r="L30" s="76"/>
      <c r="M30" s="64">
        <f t="shared" si="1"/>
        <v>2605.6699999999996</v>
      </c>
      <c r="N30" s="64"/>
      <c r="O30" s="64">
        <f t="shared" si="2"/>
        <v>3722.4100000000003</v>
      </c>
      <c r="P30" s="63">
        <f t="shared" si="3"/>
        <v>3598.3300000000004</v>
      </c>
    </row>
    <row r="31" spans="1:16" x14ac:dyDescent="0.25">
      <c r="A31" s="75" t="s">
        <v>235</v>
      </c>
      <c r="B31" s="74" t="s">
        <v>227</v>
      </c>
      <c r="C31" s="74" t="s">
        <v>230</v>
      </c>
      <c r="D31" s="73">
        <v>20</v>
      </c>
      <c r="E31" s="71">
        <v>321511</v>
      </c>
      <c r="F31" s="71"/>
      <c r="G31" s="71"/>
      <c r="H31" s="70">
        <f t="shared" si="0"/>
        <v>321511</v>
      </c>
      <c r="I31" s="72"/>
      <c r="J31" s="70">
        <v>257208.79999999993</v>
      </c>
      <c r="K31" s="70">
        <f t="shared" si="4"/>
        <v>16075.55</v>
      </c>
      <c r="L31" s="71"/>
      <c r="M31" s="70">
        <f t="shared" si="1"/>
        <v>273284.34999999992</v>
      </c>
      <c r="N31" s="70"/>
      <c r="O31" s="70">
        <f t="shared" si="2"/>
        <v>64302.20000000007</v>
      </c>
      <c r="P31" s="69">
        <f t="shared" si="3"/>
        <v>48226.650000000081</v>
      </c>
    </row>
    <row r="32" spans="1:16" x14ac:dyDescent="0.25">
      <c r="A32" s="75" t="s">
        <v>234</v>
      </c>
      <c r="B32" s="74" t="s">
        <v>227</v>
      </c>
      <c r="C32" s="74" t="s">
        <v>230</v>
      </c>
      <c r="D32" s="73">
        <v>20</v>
      </c>
      <c r="E32" s="71">
        <v>46200</v>
      </c>
      <c r="F32" s="71"/>
      <c r="G32" s="71"/>
      <c r="H32" s="70">
        <f t="shared" si="0"/>
        <v>46200</v>
      </c>
      <c r="I32" s="72"/>
      <c r="J32" s="70">
        <v>36960</v>
      </c>
      <c r="K32" s="70">
        <f t="shared" si="4"/>
        <v>2310</v>
      </c>
      <c r="L32" s="71"/>
      <c r="M32" s="70">
        <f t="shared" si="1"/>
        <v>39270</v>
      </c>
      <c r="N32" s="70"/>
      <c r="O32" s="70">
        <f t="shared" si="2"/>
        <v>9240</v>
      </c>
      <c r="P32" s="69">
        <f t="shared" si="3"/>
        <v>6930</v>
      </c>
    </row>
    <row r="33" spans="1:16" x14ac:dyDescent="0.25">
      <c r="A33" s="75" t="s">
        <v>233</v>
      </c>
      <c r="B33" s="74" t="s">
        <v>227</v>
      </c>
      <c r="C33" s="74" t="s">
        <v>230</v>
      </c>
      <c r="D33" s="73">
        <v>20</v>
      </c>
      <c r="E33" s="71">
        <v>17900</v>
      </c>
      <c r="F33" s="71"/>
      <c r="G33" s="71"/>
      <c r="H33" s="70">
        <f t="shared" si="0"/>
        <v>17900</v>
      </c>
      <c r="I33" s="72"/>
      <c r="J33" s="70">
        <v>14320</v>
      </c>
      <c r="K33" s="70">
        <f t="shared" si="4"/>
        <v>895</v>
      </c>
      <c r="L33" s="71"/>
      <c r="M33" s="70">
        <f t="shared" si="1"/>
        <v>15215</v>
      </c>
      <c r="N33" s="70"/>
      <c r="O33" s="70">
        <f t="shared" si="2"/>
        <v>3580</v>
      </c>
      <c r="P33" s="69">
        <f t="shared" si="3"/>
        <v>2685</v>
      </c>
    </row>
    <row r="34" spans="1:16" x14ac:dyDescent="0.25">
      <c r="A34" s="68" t="s">
        <v>232</v>
      </c>
      <c r="B34" s="67" t="s">
        <v>227</v>
      </c>
      <c r="C34" s="67" t="s">
        <v>230</v>
      </c>
      <c r="D34" s="66">
        <v>50</v>
      </c>
      <c r="E34" s="65">
        <v>104370</v>
      </c>
      <c r="F34" s="65"/>
      <c r="G34" s="65"/>
      <c r="H34" s="64">
        <f t="shared" si="0"/>
        <v>104370</v>
      </c>
      <c r="I34" s="65"/>
      <c r="J34" s="64">
        <v>16699.2</v>
      </c>
      <c r="K34" s="64">
        <f t="shared" si="4"/>
        <v>2087.4</v>
      </c>
      <c r="L34" s="65"/>
      <c r="M34" s="64">
        <f t="shared" si="1"/>
        <v>18786.600000000002</v>
      </c>
      <c r="N34" s="64"/>
      <c r="O34" s="64">
        <f t="shared" si="2"/>
        <v>87670.8</v>
      </c>
      <c r="P34" s="63">
        <f t="shared" si="3"/>
        <v>85583.4</v>
      </c>
    </row>
    <row r="35" spans="1:16" x14ac:dyDescent="0.25">
      <c r="A35" s="68" t="s">
        <v>231</v>
      </c>
      <c r="B35" s="67" t="s">
        <v>227</v>
      </c>
      <c r="C35" s="67" t="s">
        <v>230</v>
      </c>
      <c r="D35" s="66">
        <v>15</v>
      </c>
      <c r="E35" s="65">
        <v>7325</v>
      </c>
      <c r="F35" s="65"/>
      <c r="G35" s="65"/>
      <c r="H35" s="64">
        <f t="shared" si="0"/>
        <v>7325</v>
      </c>
      <c r="I35" s="65"/>
      <c r="J35" s="64">
        <v>2930</v>
      </c>
      <c r="K35" s="64">
        <f t="shared" si="4"/>
        <v>488.33333333333331</v>
      </c>
      <c r="L35" s="65"/>
      <c r="M35" s="64">
        <f t="shared" si="1"/>
        <v>3418.3333333333335</v>
      </c>
      <c r="N35" s="64"/>
      <c r="O35" s="64">
        <f t="shared" si="2"/>
        <v>4395</v>
      </c>
      <c r="P35" s="63">
        <f t="shared" si="3"/>
        <v>3906.6666666666665</v>
      </c>
    </row>
    <row r="36" spans="1:16" x14ac:dyDescent="0.25">
      <c r="A36" s="68" t="s">
        <v>229</v>
      </c>
      <c r="B36" s="67" t="s">
        <v>227</v>
      </c>
      <c r="C36" s="67" t="s">
        <v>226</v>
      </c>
      <c r="D36" s="66">
        <v>10</v>
      </c>
      <c r="E36" s="65">
        <v>10879</v>
      </c>
      <c r="F36" s="65"/>
      <c r="G36" s="65"/>
      <c r="H36" s="64">
        <f t="shared" si="0"/>
        <v>10879</v>
      </c>
      <c r="I36" s="65"/>
      <c r="J36" s="64">
        <v>8703.1999999999989</v>
      </c>
      <c r="K36" s="64">
        <f t="shared" si="4"/>
        <v>1087.9000000000001</v>
      </c>
      <c r="L36" s="65"/>
      <c r="M36" s="64">
        <f t="shared" si="1"/>
        <v>9791.0999999999985</v>
      </c>
      <c r="N36" s="64"/>
      <c r="O36" s="64">
        <f>E36-J36</f>
        <v>2175.8000000000011</v>
      </c>
      <c r="P36" s="63">
        <f t="shared" si="3"/>
        <v>1087.9000000000015</v>
      </c>
    </row>
    <row r="37" spans="1:16" x14ac:dyDescent="0.25">
      <c r="A37" s="68" t="s">
        <v>228</v>
      </c>
      <c r="B37" s="67" t="s">
        <v>227</v>
      </c>
      <c r="C37" s="67" t="s">
        <v>226</v>
      </c>
      <c r="D37" s="66">
        <v>10</v>
      </c>
      <c r="E37" s="65">
        <v>2450</v>
      </c>
      <c r="F37" s="65"/>
      <c r="G37" s="65"/>
      <c r="H37" s="64">
        <f t="shared" si="0"/>
        <v>2450</v>
      </c>
      <c r="I37" s="65"/>
      <c r="J37" s="64">
        <v>1960</v>
      </c>
      <c r="K37" s="64">
        <f t="shared" si="4"/>
        <v>245</v>
      </c>
      <c r="L37" s="65"/>
      <c r="M37" s="64">
        <f t="shared" si="1"/>
        <v>2205</v>
      </c>
      <c r="N37" s="64"/>
      <c r="O37" s="64">
        <f>E37-J37</f>
        <v>490</v>
      </c>
      <c r="P37" s="63">
        <f t="shared" si="3"/>
        <v>245</v>
      </c>
    </row>
    <row r="38" spans="1:16" x14ac:dyDescent="0.25">
      <c r="A38" s="68" t="s">
        <v>225</v>
      </c>
      <c r="B38" s="67" t="s">
        <v>224</v>
      </c>
      <c r="C38" s="67" t="s">
        <v>223</v>
      </c>
      <c r="D38" s="66">
        <v>10</v>
      </c>
      <c r="E38" s="65">
        <v>2750</v>
      </c>
      <c r="F38" s="65"/>
      <c r="G38" s="65"/>
      <c r="H38" s="64">
        <f t="shared" si="0"/>
        <v>2750</v>
      </c>
      <c r="I38" s="65"/>
      <c r="J38" s="64">
        <v>2200</v>
      </c>
      <c r="K38" s="64">
        <f t="shared" si="4"/>
        <v>275</v>
      </c>
      <c r="L38" s="65"/>
      <c r="M38" s="64">
        <f t="shared" si="1"/>
        <v>2475</v>
      </c>
      <c r="N38" s="64"/>
      <c r="O38" s="64">
        <f>+E38-J38</f>
        <v>550</v>
      </c>
      <c r="P38" s="63">
        <f t="shared" si="3"/>
        <v>275</v>
      </c>
    </row>
    <row r="39" spans="1:16" ht="15" customHeight="1" thickBot="1" x14ac:dyDescent="0.3">
      <c r="K39" s="62">
        <f>SUM(K3:K38)</f>
        <v>91480.623333333322</v>
      </c>
    </row>
    <row r="40" spans="1:16" ht="15.75" thickTop="1" x14ac:dyDescent="0.25"/>
    <row r="41" spans="1:16" x14ac:dyDescent="0.25">
      <c r="H41" s="96" t="s">
        <v>179</v>
      </c>
      <c r="K41" s="95">
        <f>SUM(K15:K17)+SUM(K19:K25)+SUM(K31:K33)</f>
        <v>76117.83</v>
      </c>
    </row>
    <row r="42" spans="1:16" x14ac:dyDescent="0.25">
      <c r="H42" s="97" t="s">
        <v>180</v>
      </c>
      <c r="K42" s="95">
        <f>K3+K18+SUM(K26:K30)+SUM(K34:K38)</f>
        <v>6000.5133333333333</v>
      </c>
    </row>
    <row r="43" spans="1:16" x14ac:dyDescent="0.25">
      <c r="H43" s="98" t="s">
        <v>269</v>
      </c>
      <c r="K43" s="95">
        <f>SUM(K4:K14)</f>
        <v>9362.2800000000007</v>
      </c>
    </row>
  </sheetData>
  <mergeCells count="2">
    <mergeCell ref="E1:H1"/>
    <mergeCell ref="J1:M1"/>
  </mergeCells>
  <conditionalFormatting sqref="O3:P38">
    <cfRule type="cellIs" dxfId="0" priority="1" operator="lessThan">
      <formula>0</formula>
    </cfRule>
  </conditionalFormatting>
  <pageMargins left="0.7" right="0.7" top="0.75" bottom="0.75" header="0.3" footer="0.3"/>
  <pageSetup scale="67" fitToHeight="0"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8CDFC180F3FB4DA4D5F23F9098385C" ma:contentTypeVersion="5" ma:contentTypeDescription="Create a new document." ma:contentTypeScope="" ma:versionID="ed6725a3c56aca2a775e5616f18755c3">
  <xsd:schema xmlns:xsd="http://www.w3.org/2001/XMLSchema" xmlns:xs="http://www.w3.org/2001/XMLSchema" xmlns:p="http://schemas.microsoft.com/office/2006/metadata/properties" xmlns:ns3="b2a14855-ab06-4ce8-a036-59677da65c1b" targetNamespace="http://schemas.microsoft.com/office/2006/metadata/properties" ma:root="true" ma:fieldsID="a7be9297c88b06940f8431b18a9d44c5" ns3:_="">
    <xsd:import namespace="b2a14855-ab06-4ce8-a036-59677da65c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14855-ab06-4ce8-a036-59677da65c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67D800-2889-4239-B173-F9B9C853AB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8E21C5-3F00-412B-A1FE-6A63990D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a14855-ab06-4ce8-a036-59677da65c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659256-B730-408A-BF52-C032D4F8290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2a14855-ab06-4ce8-a036-59677da65c1b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Budget Analysis</vt:lpstr>
      <vt:lpstr>WTP Electric Usage</vt:lpstr>
      <vt:lpstr>Water Production and Sales</vt:lpstr>
      <vt:lpstr>Historical Water Sales</vt:lpstr>
      <vt:lpstr>Distribution Factor</vt:lpstr>
      <vt:lpstr>Wholesale Allocation Factors</vt:lpstr>
      <vt:lpstr>Allocation of Expenses</vt:lpstr>
      <vt:lpstr>Wholesale Rate</vt:lpstr>
      <vt:lpstr>Depreciation Calc</vt:lpstr>
      <vt:lpstr>Annual Water Sales</vt:lpstr>
      <vt:lpstr>'Allocation of Expenses'!Print_Area</vt:lpstr>
      <vt:lpstr>'Annual Water Sales'!Print_Area</vt:lpstr>
      <vt:lpstr>'Budget Analysis'!Print_Area</vt:lpstr>
      <vt:lpstr>'Distribution Factor'!Print_Area</vt:lpstr>
      <vt:lpstr>'Water Production and Sales'!Print_Area</vt:lpstr>
      <vt:lpstr>'Wholesale Allocation Factors'!Print_Area</vt:lpstr>
      <vt:lpstr>'Wholesale Rate'!Print_Area</vt:lpstr>
      <vt:lpstr>'WTP Electric Usage'!Print_Area</vt:lpstr>
      <vt:lpstr>'Budget Analysis'!Print_Titles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</dc:creator>
  <cp:lastModifiedBy>Mark Stephens</cp:lastModifiedBy>
  <cp:lastPrinted>2024-03-22T17:36:19Z</cp:lastPrinted>
  <dcterms:created xsi:type="dcterms:W3CDTF">2023-05-08T17:57:59Z</dcterms:created>
  <dcterms:modified xsi:type="dcterms:W3CDTF">2024-03-22T17:36:32Z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0x010100498CDFC180F3FB4DA4D5F23F9098385C</vt:lpwstr>
  </property>
</Properties>
</file>