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Internal\01_Regulatory Services\02_Cases\2024 Cases\2024-00241 Major Storm(s) thru June\12_Post Case Filings and Obligations\Final Update\"/>
    </mc:Choice>
  </mc:AlternateContent>
  <xr:revisionPtr revIDLastSave="0" documentId="13_ncr:1_{4DCE0984-E217-4611-835A-27973BE92F29}" xr6:coauthVersionLast="47" xr6:coauthVersionMax="47" xr10:uidLastSave="{00000000-0000-0000-0000-000000000000}"/>
  <bookViews>
    <workbookView xWindow="28680" yWindow="-120" windowWidth="29040" windowHeight="15720" tabRatio="1000" xr2:uid="{00000000-000D-0000-FFFF-FFFF00000000}"/>
  </bookViews>
  <sheets>
    <sheet name="Summary" sheetId="16" r:id="rId1"/>
    <sheet name="2023-00159 W16" sheetId="17" r:id="rId2"/>
    <sheet name="Exh 2D Apr 2 Thunderstorm_Distr" sheetId="8" r:id="rId3"/>
    <sheet name="Exh 2E Apr 2 Thunderstorm_Trans" sheetId="11" r:id="rId4"/>
    <sheet name="Exh 2G May 26 Thunderstorm_Dist" sheetId="15" r:id="rId5"/>
  </sheets>
  <externalReferences>
    <externalReference r:id="rId6"/>
  </externalReferences>
  <definedNames>
    <definedName name="_xlnm.Print_Area" localSheetId="2">'Exh 2D Apr 2 Thunderstorm_Distr'!$B$2:$Q$108</definedName>
    <definedName name="_xlnm.Print_Area" localSheetId="3">'Exh 2E Apr 2 Thunderstorm_Trans'!$B$2:$Q$104</definedName>
    <definedName name="_xlnm.Print_Area" localSheetId="4">'Exh 2G May 26 Thunderstorm_Dist'!$B$2:$Q$108</definedName>
    <definedName name="_xlnm.Print_Area" localSheetId="0">Summary!$A$1:$J$38</definedName>
    <definedName name="_xlnm.Print_Titles" localSheetId="2">'Exh 2D Apr 2 Thunderstorm_Distr'!$2:$8</definedName>
    <definedName name="_xlnm.Print_Titles" localSheetId="3">'Exh 2E Apr 2 Thunderstorm_Trans'!$2:$8</definedName>
    <definedName name="_xlnm.Print_Titles" localSheetId="4">'Exh 2G May 26 Thunderstorm_Dist'!$2:$8</definedName>
    <definedName name="TotalOTHours" localSheetId="1">#REF!</definedName>
    <definedName name="TotalOTHours" localSheetId="2">'Exh 2D Apr 2 Thunderstorm_Distr'!$Q$13</definedName>
    <definedName name="TotalOTHours" localSheetId="3">'Exh 2E Apr 2 Thunderstorm_Trans'!$Q$13</definedName>
    <definedName name="TotalOTHours" localSheetId="4">'Exh 2G May 26 Thunderstorm_Dist'!$Q$13</definedName>
    <definedName name="TotalOTHours" localSheetId="0">#REF!</definedName>
    <definedName name="TotalOTHo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6" l="1"/>
  <c r="J32" i="16"/>
  <c r="J31" i="16"/>
  <c r="J28" i="16"/>
  <c r="J27" i="16"/>
  <c r="H22" i="16"/>
  <c r="H19" i="16"/>
  <c r="H17" i="16"/>
  <c r="H25" i="16" s="1"/>
  <c r="K69" i="15"/>
  <c r="K69" i="8"/>
  <c r="K73" i="8"/>
  <c r="K24" i="8"/>
  <c r="K21" i="8"/>
  <c r="K31" i="8"/>
  <c r="G58" i="8"/>
  <c r="K41" i="8"/>
  <c r="K36" i="8"/>
  <c r="K58" i="8"/>
  <c r="K15" i="8"/>
  <c r="K19" i="8"/>
  <c r="K18" i="8"/>
  <c r="J33" i="16" l="1"/>
  <c r="J29" i="16"/>
  <c r="Q63" i="15"/>
  <c r="Q63" i="8"/>
  <c r="J35" i="16" l="1"/>
  <c r="I67" i="15"/>
  <c r="H67" i="15"/>
  <c r="G67" i="15"/>
  <c r="I30" i="15"/>
  <c r="H30" i="15"/>
  <c r="G30" i="15"/>
  <c r="I16" i="15"/>
  <c r="K67" i="15"/>
  <c r="K63" i="15"/>
  <c r="K63" i="8" l="1"/>
  <c r="K67" i="8"/>
  <c r="G41" i="8" l="1"/>
  <c r="I15" i="8"/>
  <c r="I15" i="15" l="1"/>
  <c r="G39" i="15"/>
  <c r="I16" i="8" l="1"/>
  <c r="I17" i="8"/>
  <c r="T21" i="15" l="1"/>
  <c r="K47" i="15"/>
  <c r="K89" i="15" l="1"/>
  <c r="I95" i="15" s="1"/>
  <c r="Q70" i="15"/>
  <c r="P70" i="15"/>
  <c r="O70" i="15"/>
  <c r="N70" i="15"/>
  <c r="M70" i="15"/>
  <c r="K70" i="15"/>
  <c r="J70" i="15"/>
  <c r="I70" i="15"/>
  <c r="H70" i="15"/>
  <c r="G70" i="15"/>
  <c r="L69" i="15"/>
  <c r="L73" i="15" s="1"/>
  <c r="J69" i="15"/>
  <c r="Q67" i="15"/>
  <c r="P67" i="15"/>
  <c r="N67" i="15"/>
  <c r="M67" i="15"/>
  <c r="P65" i="15"/>
  <c r="O65" i="15"/>
  <c r="N65" i="15"/>
  <c r="M65" i="15"/>
  <c r="K65" i="15"/>
  <c r="N63" i="15"/>
  <c r="P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Q45" i="15" l="1"/>
  <c r="J58" i="15"/>
  <c r="J73" i="15" s="1"/>
  <c r="P69" i="15"/>
  <c r="Q49" i="15"/>
  <c r="Q38" i="15"/>
  <c r="I69" i="15"/>
  <c r="O21" i="15"/>
  <c r="Q16" i="15"/>
  <c r="N69" i="15"/>
  <c r="Q34" i="15"/>
  <c r="Q10" i="15"/>
  <c r="Q40" i="15"/>
  <c r="N43" i="15"/>
  <c r="N53" i="15" s="1"/>
  <c r="Q19" i="15"/>
  <c r="M21" i="15"/>
  <c r="M53" i="15"/>
  <c r="Q41" i="15"/>
  <c r="Q29" i="15"/>
  <c r="P21" i="15"/>
  <c r="P31" i="15"/>
  <c r="O53" i="15"/>
  <c r="Q39" i="15"/>
  <c r="P53" i="15"/>
  <c r="Q52" i="15"/>
  <c r="Q13" i="15"/>
  <c r="Q27" i="15"/>
  <c r="Q37" i="15"/>
  <c r="Q47" i="15"/>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I73" i="15" l="1"/>
  <c r="H73" i="15"/>
  <c r="G73" i="15"/>
  <c r="Q21" i="15"/>
  <c r="Q53" i="15"/>
  <c r="P58" i="15"/>
  <c r="P73" i="15" s="1"/>
  <c r="Q43" i="15"/>
  <c r="O69" i="15"/>
  <c r="K53" i="15"/>
  <c r="N23" i="15"/>
  <c r="N24" i="15" s="1"/>
  <c r="N58" i="15" s="1"/>
  <c r="N73" i="15" s="1"/>
  <c r="M23" i="15"/>
  <c r="M24" i="15" s="1"/>
  <c r="M58" i="15" s="1"/>
  <c r="M73" i="15" s="1"/>
  <c r="O58" i="15"/>
  <c r="K58" i="15"/>
  <c r="K73" i="15" s="1"/>
  <c r="Q31" i="15"/>
  <c r="H21" i="8"/>
  <c r="I21" i="8"/>
  <c r="J21" i="8"/>
  <c r="G21" i="8"/>
  <c r="I94" i="15" l="1"/>
  <c r="I96" i="15" s="1"/>
  <c r="H94" i="15"/>
  <c r="H96" i="15" s="1"/>
  <c r="G94" i="15"/>
  <c r="G96" i="15" s="1"/>
  <c r="Q24" i="15"/>
  <c r="O73" i="15"/>
  <c r="K85" i="15"/>
  <c r="K88" i="15" s="1"/>
  <c r="K92" i="15" s="1"/>
  <c r="Q58" i="15"/>
  <c r="Q73" i="15" s="1"/>
  <c r="G97" i="15" l="1"/>
  <c r="J22" i="16"/>
  <c r="I97" i="15"/>
  <c r="H97" i="15"/>
  <c r="G92" i="11" l="1"/>
  <c r="G31" i="8"/>
  <c r="H31" i="8"/>
  <c r="I31" i="8"/>
  <c r="K89" i="8"/>
  <c r="I95" i="8" s="1"/>
  <c r="L69" i="8"/>
  <c r="P65" i="8"/>
  <c r="O65" i="8"/>
  <c r="N65" i="8"/>
  <c r="M65" i="8"/>
  <c r="K65" i="8"/>
  <c r="Q65" i="8" s="1"/>
  <c r="G24" i="8"/>
  <c r="H24" i="8"/>
  <c r="K13" i="8"/>
  <c r="K12" i="8"/>
  <c r="P63" i="8"/>
  <c r="K34" i="8"/>
  <c r="K35" i="8"/>
  <c r="K37" i="8"/>
  <c r="K38" i="8"/>
  <c r="K39" i="8"/>
  <c r="K40" i="8"/>
  <c r="K42" i="8"/>
  <c r="K33" i="8"/>
  <c r="K29" i="8"/>
  <c r="K28" i="8"/>
  <c r="K27" i="8"/>
  <c r="K26" i="8"/>
  <c r="K16" i="8"/>
  <c r="K17" i="8"/>
  <c r="K20" i="8"/>
  <c r="K9" i="8"/>
  <c r="K23" i="8" l="1"/>
  <c r="I24" i="8"/>
  <c r="K30" i="8"/>
  <c r="I92" i="11" l="1"/>
  <c r="H92" i="11"/>
  <c r="K84" i="11"/>
  <c r="K88" i="11" s="1"/>
  <c r="L69" i="11"/>
  <c r="Q66" i="11"/>
  <c r="P66" i="11"/>
  <c r="O66" i="11"/>
  <c r="N66" i="11"/>
  <c r="M66" i="11"/>
  <c r="K66" i="11"/>
  <c r="J66" i="11"/>
  <c r="I66" i="11"/>
  <c r="H66" i="11"/>
  <c r="G66" i="11"/>
  <c r="J65" i="11"/>
  <c r="I65" i="11"/>
  <c r="H65" i="11"/>
  <c r="G65" i="11"/>
  <c r="P63" i="11"/>
  <c r="P65" i="11" s="1"/>
  <c r="O63" i="11"/>
  <c r="O65" i="11" s="1"/>
  <c r="N63" i="11"/>
  <c r="N65" i="11" s="1"/>
  <c r="M63" i="11"/>
  <c r="M65" i="11" s="1"/>
  <c r="K63" i="11"/>
  <c r="K65" i="11" s="1"/>
  <c r="Q55" i="11"/>
  <c r="K55" i="11"/>
  <c r="J53" i="11"/>
  <c r="J58" i="11" s="1"/>
  <c r="I53" i="11"/>
  <c r="I58" i="11" s="1"/>
  <c r="G53" i="11"/>
  <c r="P52" i="11"/>
  <c r="O52" i="11"/>
  <c r="N52" i="11"/>
  <c r="M52" i="11"/>
  <c r="K52" i="11"/>
  <c r="P49" i="11"/>
  <c r="O49" i="11"/>
  <c r="N49" i="11"/>
  <c r="M49" i="11"/>
  <c r="K49" i="11"/>
  <c r="P47" i="11"/>
  <c r="O47" i="11"/>
  <c r="N47" i="11"/>
  <c r="M47" i="11"/>
  <c r="K47" i="11"/>
  <c r="P45" i="11"/>
  <c r="O45" i="11"/>
  <c r="N45" i="11"/>
  <c r="M45" i="11"/>
  <c r="K45" i="11"/>
  <c r="P43" i="11"/>
  <c r="O43" i="11"/>
  <c r="M43" i="11"/>
  <c r="H43" i="11"/>
  <c r="N43" i="11" s="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J69" i="11" l="1"/>
  <c r="P31" i="11"/>
  <c r="Q34" i="11"/>
  <c r="Q30" i="11"/>
  <c r="Q36" i="11"/>
  <c r="Q39" i="11"/>
  <c r="Q43" i="11"/>
  <c r="Q16" i="11"/>
  <c r="O21" i="11"/>
  <c r="Q12" i="11"/>
  <c r="O31" i="11"/>
  <c r="Q52" i="11"/>
  <c r="N21" i="11"/>
  <c r="M31" i="11"/>
  <c r="Q47" i="11"/>
  <c r="H53" i="11"/>
  <c r="H58" i="11" s="1"/>
  <c r="H69" i="11" s="1"/>
  <c r="N31" i="11"/>
  <c r="P21" i="11"/>
  <c r="Q19" i="11"/>
  <c r="M53" i="11"/>
  <c r="Q49" i="11"/>
  <c r="Q37" i="11"/>
  <c r="Q13" i="11"/>
  <c r="O53" i="11"/>
  <c r="Q45" i="11"/>
  <c r="Q29" i="11"/>
  <c r="P53" i="11"/>
  <c r="Q40" i="11"/>
  <c r="Q41" i="11"/>
  <c r="Q10" i="11"/>
  <c r="Q38" i="11"/>
  <c r="I69" i="11"/>
  <c r="N53" i="11"/>
  <c r="G93" i="11"/>
  <c r="H93" i="11"/>
  <c r="I93" i="11"/>
  <c r="M21" i="11"/>
  <c r="G58" i="11"/>
  <c r="Q63" i="11"/>
  <c r="Q65" i="11" s="1"/>
  <c r="Q33" i="11"/>
  <c r="K43" i="11"/>
  <c r="Q27" i="11"/>
  <c r="Q21" i="11" l="1"/>
  <c r="P58" i="11"/>
  <c r="P69" i="11" s="1"/>
  <c r="Q31" i="11"/>
  <c r="K53" i="11"/>
  <c r="Q53" i="11"/>
  <c r="K58" i="11"/>
  <c r="K69" i="11" s="1"/>
  <c r="G69" i="11"/>
  <c r="G79" i="11" l="1"/>
  <c r="M23" i="11" s="1"/>
  <c r="M24" i="11" s="1"/>
  <c r="H79" i="11"/>
  <c r="N23" i="11" s="1"/>
  <c r="N24" i="11" s="1"/>
  <c r="N58" i="11" s="1"/>
  <c r="N69" i="11" s="1"/>
  <c r="I79" i="11"/>
  <c r="O23" i="11" s="1"/>
  <c r="O24" i="11" s="1"/>
  <c r="O58" i="11" s="1"/>
  <c r="O69" i="11" s="1"/>
  <c r="J19" i="16" l="1"/>
  <c r="Q24" i="11"/>
  <c r="M58" i="11"/>
  <c r="Q58" i="11" l="1"/>
  <c r="Q69" i="11" s="1"/>
  <c r="M69" i="11"/>
  <c r="L73" i="8" l="1"/>
  <c r="Q70" i="8"/>
  <c r="P70" i="8"/>
  <c r="O70" i="8"/>
  <c r="N70" i="8"/>
  <c r="M70" i="8"/>
  <c r="K70" i="8"/>
  <c r="J70" i="8"/>
  <c r="I70" i="8"/>
  <c r="H70" i="8"/>
  <c r="G70" i="8"/>
  <c r="J69" i="8"/>
  <c r="P67" i="8"/>
  <c r="P69" i="8" s="1"/>
  <c r="Q55" i="8"/>
  <c r="K55" i="8"/>
  <c r="J53" i="8"/>
  <c r="J58" i="8" s="1"/>
  <c r="I53" i="8"/>
  <c r="I58" i="8" s="1"/>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J73" i="8" l="1"/>
  <c r="K90" i="8"/>
  <c r="G95" i="8" s="1"/>
  <c r="Q49" i="8"/>
  <c r="Q45" i="8"/>
  <c r="M21" i="8"/>
  <c r="P31" i="8"/>
  <c r="Q40" i="8"/>
  <c r="Q29" i="8"/>
  <c r="Q34" i="8"/>
  <c r="Q38" i="8"/>
  <c r="Q41" i="8"/>
  <c r="Q39" i="8"/>
  <c r="Q52" i="8"/>
  <c r="Q47" i="8"/>
  <c r="Q36" i="8"/>
  <c r="N31" i="8"/>
  <c r="Q33" i="8"/>
  <c r="Q37" i="8"/>
  <c r="N43" i="8"/>
  <c r="Q43" i="8" s="1"/>
  <c r="O31" i="8"/>
  <c r="P21" i="8"/>
  <c r="O53" i="8"/>
  <c r="Q16" i="8"/>
  <c r="Q30" i="8"/>
  <c r="M31" i="8"/>
  <c r="N21" i="8"/>
  <c r="O21" i="8"/>
  <c r="Q12" i="8"/>
  <c r="Q13" i="8"/>
  <c r="Q10" i="8"/>
  <c r="M53" i="8"/>
  <c r="P53" i="8"/>
  <c r="Q19" i="8"/>
  <c r="Q27" i="8"/>
  <c r="H53" i="8"/>
  <c r="H58" i="8" s="1"/>
  <c r="N53" i="8" l="1"/>
  <c r="Q53" i="8" s="1"/>
  <c r="P58" i="8"/>
  <c r="P73" i="8" s="1"/>
  <c r="Q21" i="8"/>
  <c r="Q31" i="8"/>
  <c r="K53" i="8"/>
  <c r="N23" i="8" l="1"/>
  <c r="N24" i="8" s="1"/>
  <c r="O23" i="8"/>
  <c r="O24" i="8" s="1"/>
  <c r="O58" i="8" s="1"/>
  <c r="M23" i="8"/>
  <c r="M24" i="8" s="1"/>
  <c r="M58" i="8" s="1"/>
  <c r="N58" i="8" l="1"/>
  <c r="Q24" i="8"/>
  <c r="Q58" i="8" l="1"/>
  <c r="N67" i="8" l="1"/>
  <c r="Q67" i="8"/>
  <c r="M67" i="8"/>
  <c r="O67" i="8" l="1"/>
  <c r="H69" i="8"/>
  <c r="H73" i="8" s="1"/>
  <c r="H94" i="8" s="1"/>
  <c r="H96" i="8" s="1"/>
  <c r="G69" i="8"/>
  <c r="G73" i="8" s="1"/>
  <c r="G94" i="8" s="1"/>
  <c r="G96" i="8" s="1"/>
  <c r="M63" i="8"/>
  <c r="M69" i="8" s="1"/>
  <c r="M73" i="8" s="1"/>
  <c r="I69" i="8"/>
  <c r="I73" i="8" s="1"/>
  <c r="I94" i="8" s="1"/>
  <c r="I96" i="8" s="1"/>
  <c r="O63" i="8" l="1"/>
  <c r="O69" i="8" s="1"/>
  <c r="O73" i="8" s="1"/>
  <c r="K85" i="8"/>
  <c r="K88" i="8" s="1"/>
  <c r="K92" i="8" s="1"/>
  <c r="I97" i="8" s="1"/>
  <c r="J17" i="16"/>
  <c r="N63" i="8"/>
  <c r="N69" i="8" s="1"/>
  <c r="N73" i="8" s="1"/>
  <c r="Q69" i="8"/>
  <c r="Q73" i="8" s="1"/>
  <c r="H97" i="8" l="1"/>
  <c r="G97" i="8"/>
  <c r="J2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tc={A3F2E28A-AE9F-4229-B677-9D1A372B8006}</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3F2E28A-AE9F-4229-B677-9D1A372B8006}">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<sst xmlns="http://schemas.openxmlformats.org/spreadsheetml/2006/main" count="422" uniqueCount="162">
  <si>
    <t>KENTUCKY POWER COMPANY</t>
  </si>
  <si>
    <t>EXPENSE DEFERRAL REQUEST</t>
  </si>
  <si>
    <t>Incremental</t>
  </si>
  <si>
    <t>Major Storms</t>
  </si>
  <si>
    <t>Storm Dates</t>
  </si>
  <si>
    <t>O&amp;M</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</si>
  <si>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</si>
  <si>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</si>
  <si>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</si>
  <si>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</si>
  <si>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</si>
  <si>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</si>
  <si>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</si>
  <si>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</si>
  <si>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</si>
  <si>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</si>
  <si>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</si>
  <si>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</si>
  <si>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</si>
  <si>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</si>
  <si>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</si>
  <si>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</si>
  <si>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</si>
  <si>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</si>
  <si>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</si>
  <si>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</si>
  <si>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</si>
  <si>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</si>
  <si>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</si>
  <si>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</si>
  <si>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</si>
  <si>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</si>
  <si>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</si>
  <si>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</si>
  <si>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</si>
  <si>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</si>
  <si>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</si>
  <si>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</si>
  <si>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</si>
  <si>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</si>
  <si>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</si>
  <si>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</si>
  <si>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</si>
  <si>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</si>
  <si>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</si>
  <si>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</si>
  <si>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</si>
  <si>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</si>
  <si>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</si>
  <si>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</si>
  <si>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</si>
  <si>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</si>
  <si>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</si>
  <si>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</si>
  <si>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</si>
  <si>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</si>
  <si>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</si>
  <si>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</si>
  <si>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</si>
  <si>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</si>
  <si>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</si>
  <si>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</si>
  <si>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</si>
  <si>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</si>
  <si>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</si>
  <si>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</si>
  <si>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</si>
  <si>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</si>
  <si>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</si>
  <si>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</si>
  <si>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</si>
  <si>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</si>
  <si>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</si>
  <si>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</si>
  <si>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</si>
  <si>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</si>
  <si>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</si>
  <si>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</si>
  <si>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</si>
  <si>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</si>
  <si>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</si>
  <si>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</si>
  <si>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</si>
  <si>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</si>
  <si>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</si>
  <si>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</si>
  <si>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</si>
  <si>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</si>
  <si>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</si>
  <si>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</si>
  <si>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</si>
  <si>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</si>
  <si>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</si>
  <si>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 xml:space="preserve">Forestry </t>
  </si>
  <si>
    <t>Distribution O&amp;M</t>
  </si>
  <si>
    <t>04/02/2024 Thunderstorm TOTAL COST</t>
  </si>
  <si>
    <t>04/02/2024 Thunderstorm INCREMENTAL COST</t>
  </si>
  <si>
    <t>Thunderstorm:04/02/2024</t>
  </si>
  <si>
    <t>DMS24KK04</t>
  </si>
  <si>
    <t>Thunderstorm 04/02/2024021</t>
  </si>
  <si>
    <t>04/02/2024 Thunderstorm  INCREMENTAL COST</t>
  </si>
  <si>
    <t>KYTRS2401</t>
  </si>
  <si>
    <t xml:space="preserve">2024 Apr 2 Thunder Distr </t>
  </si>
  <si>
    <t>2024 Apr 2 Thunder Trans</t>
  </si>
  <si>
    <t>2024 May Thunder Distr</t>
  </si>
  <si>
    <t>DMS24KK08</t>
  </si>
  <si>
    <t>JMED</t>
  </si>
  <si>
    <t>Thunderstorm:05/26/2024</t>
  </si>
  <si>
    <t>05/26/2024 Thunderstorm TOTAL COST</t>
  </si>
  <si>
    <t>05/26/2024 Thunderstorm INCREMENTAL COST</t>
  </si>
  <si>
    <t>Storm Project</t>
  </si>
  <si>
    <t>KEPCS2402</t>
  </si>
  <si>
    <t>Total</t>
  </si>
  <si>
    <t>Cost</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</si>
  <si>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</si>
  <si>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</si>
  <si>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</si>
  <si>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</si>
  <si>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</si>
  <si>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</si>
  <si>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</si>
  <si>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</si>
  <si>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</si>
  <si>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</si>
  <si>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</si>
  <si>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</si>
  <si>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</si>
  <si>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</si>
  <si>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</si>
  <si>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</si>
  <si>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</si>
  <si>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</si>
  <si>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</si>
  <si>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</si>
  <si>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</si>
  <si>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</si>
  <si>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</si>
  <si>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</si>
  <si>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</si>
  <si>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</si>
  <si>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</si>
  <si>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</si>
  <si>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</si>
  <si>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</si>
  <si>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</si>
  <si>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</si>
  <si>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</si>
  <si>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</si>
  <si>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</si>
  <si>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2024-00241 Final Costs</t>
  </si>
  <si>
    <t>Deferral Amount</t>
  </si>
  <si>
    <t>* Case No. 2023-00159, Section V, Exhibit 2, W16 approved by the Commission's January 19, 2024 Order in Case No. 2023-00159.</t>
  </si>
  <si>
    <t>Jurisdictional Base Level</t>
  </si>
  <si>
    <t>Distribution Storm TY Amount</t>
  </si>
  <si>
    <t>*</t>
  </si>
  <si>
    <t>Allocation Factor</t>
  </si>
  <si>
    <t>Jurisdiction Amount - Distribution - Base Rate Level</t>
  </si>
  <si>
    <t>Transmission Storm TY Amount</t>
  </si>
  <si>
    <t>Jurisdiction Amount - Transmission - Base Rate Level</t>
  </si>
  <si>
    <t>**</t>
  </si>
  <si>
    <t>JMED Storm Projects</t>
  </si>
  <si>
    <t>** 2024 storm damage restoration costs, not classified as major event days, exceeded the level established in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</si>
</sst>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_);[Red]\(#,##0.0\)"/>
    <numFmt numFmtId="165" formatCode="&quot;$&quot;#,##0"/>
    <numFmt numFmtId="166" formatCode="0.00000%"/>
    <numFmt numFmtId="167" formatCode="#,##0.0_);\(#,##0.0\)"/>
    <numFmt numFmtId="168" formatCode="&quot;$&quot;#,##0.0000"/>
    <numFmt numFmtId="169" formatCode="0.000000000000000%"/>
    <numFmt numFmtId="170" formatCode="0.000%"/>
    <numFmt numFmtId="171" formatCode="0.000000%"/>
    <numFmt numFmtId="172" formatCode="0.0000%"/>
    <numFmt numFmtId="173" formatCode="_(* #,##0_);_(* \(#,##0\);_(* &quot;-&quot;??_);_(@_)"/>
    <numFmt numFmtId="174" formatCode="_(* #,##0.000_);_(* \(#,##0.000\);_(* &quot;-&quot;??_);_(@_)"/>
  </numFmts>
  <fonts count="24" x14ac:knownFonts="1">
    <font>
      <sz val="11"/>
      <color theme="1"/>
      <name val="Calibri"/>
      <family val="2"/>
      <scheme val="minor"/>
    </font>
    <font>
      <sz val="11"/>
      <color theme="1"/>
      <name val="Calibri"/>
      <family val="2"/>
      <scheme val="minor"/>
    </font>
    <font>
      <sz val="10"/>
      <name val="Tahoma"/>
      <family val="2"/>
    </font>
    <font>
      <b/>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sz val="10"/>
      <color rgb="FF000000"/>
      <name val="Arial"/>
      <family val="2"/>
    </font>
    <font>
      <sz val="10"/>
      <name val="Arial"/>
      <family val="2"/>
    </font>
    <font>
      <b/>
      <u/>
      <sz val="10"/>
      <color rgb="FFFF0000"/>
      <name val="Arial"/>
      <family val="2"/>
    </font>
    <font>
      <b/>
      <u/>
      <sz val="10"/>
      <name val="Tahoma"/>
      <family val="2"/>
    </font>
    <font>
      <i/>
      <sz val="10"/>
      <name val="Tahoma"/>
      <family val="2"/>
    </font>
  </fonts>
  <fills count="4">
    <fill>
      <patternFill patternType="none"/>
    </fill>
    <fill>
      <patternFill patternType="gray125"/>
    </fill>
    <fill>
      <patternFill patternType="solid">
        <fgColor rgb="FFACF2DB"/>
        <bgColor indexed="64"/>
      </patternFill>
    </fill>
    <fill>
      <patternFill patternType="solid">
        <fgColor rgb="FF99FFCC"/>
        <bgColor indexed="64"/>
      </patternFill>
    </fill>
  </fills>
  <borders count="39">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style="mediumDashed">
        <color theme="2" tint="-0.499984740745262"/>
      </right>
      <top style="thin">
        <color indexed="64"/>
      </top>
      <bottom/>
      <diagonal/>
    </border>
    <border>
      <left/>
      <right style="mediumDashed">
        <color theme="2" tint="-0.499984740745262"/>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3">
    <xf numFmtId="0" fontId="0" fillId="0" borderId="0" xfId="0"/>
    <xf numFmtId="0" fontId="2" fillId="0" borderId="0" xfId="2"/>
    <xf numFmtId="0" fontId="2" fillId="0" borderId="0" xfId="2" applyAlignment="1">
      <alignment horizontal="center"/>
    </xf>
    <xf numFmtId="0" fontId="4" fillId="0" borderId="0" xfId="2" applyFont="1" applyFill="1" applyBorder="1" applyProtection="1"/>
    <xf numFmtId="0" fontId="3" fillId="0" borderId="0" xfId="2" applyFont="1" applyFill="1" applyBorder="1" applyAlignment="1" applyProtection="1">
      <alignment horizontal="center"/>
    </xf>
    <xf numFmtId="0" fontId="7" fillId="0" borderId="0" xfId="2" applyFont="1" applyFill="1" applyAlignment="1" applyProtection="1">
      <alignment horizontal="right"/>
    </xf>
    <xf numFmtId="0" fontId="2" fillId="0" borderId="0" xfId="2" applyFill="1" applyProtection="1"/>
    <xf numFmtId="0" fontId="3" fillId="0" borderId="0" xfId="2" applyFont="1" applyFill="1" applyAlignment="1" applyProtection="1">
      <alignment horizontal="center"/>
    </xf>
    <xf numFmtId="0" fontId="2" fillId="0" borderId="0" xfId="2" applyFill="1" applyAlignment="1" applyProtection="1">
      <alignment horizontal="right"/>
    </xf>
    <xf numFmtId="42" fontId="2" fillId="0" borderId="0" xfId="2" applyNumberFormat="1" applyFill="1" applyProtection="1"/>
    <xf numFmtId="164" fontId="2" fillId="0" borderId="4" xfId="2" applyNumberFormat="1" applyFill="1" applyBorder="1" applyProtection="1"/>
    <xf numFmtId="0" fontId="9" fillId="0" borderId="0" xfId="2" applyFont="1" applyFill="1" applyBorder="1" applyAlignment="1" applyProtection="1">
      <alignment horizontal="center"/>
    </xf>
    <xf numFmtId="165" fontId="4" fillId="0" borderId="0" xfId="2" applyNumberFormat="1" applyFont="1" applyFill="1" applyBorder="1" applyAlignment="1" applyProtection="1">
      <alignment horizontal="center"/>
    </xf>
    <xf numFmtId="42" fontId="2" fillId="0" borderId="1" xfId="2" applyNumberFormat="1" applyFill="1" applyBorder="1" applyProtection="1"/>
    <xf numFmtId="42" fontId="3" fillId="0" borderId="0" xfId="2" applyNumberFormat="1" applyFont="1" applyFill="1" applyProtection="1"/>
    <xf numFmtId="42" fontId="3" fillId="0" borderId="5" xfId="2" applyNumberFormat="1" applyFont="1" applyFill="1" applyBorder="1" applyProtection="1"/>
    <xf numFmtId="0" fontId="2" fillId="0" borderId="0" xfId="2" applyNumberFormat="1" applyFill="1" applyProtection="1"/>
    <xf numFmtId="42" fontId="2" fillId="0" borderId="0" xfId="2" applyNumberFormat="1" applyFill="1" applyBorder="1" applyProtection="1"/>
    <xf numFmtId="42" fontId="4" fillId="0" borderId="0" xfId="2" applyNumberFormat="1" applyFont="1" applyFill="1" applyBorder="1" applyProtection="1"/>
    <xf numFmtId="166" fontId="10" fillId="0" borderId="0" xfId="2" applyNumberFormat="1" applyFont="1" applyFill="1" applyBorder="1" applyAlignment="1" applyProtection="1">
      <alignment horizontal="center"/>
    </xf>
    <xf numFmtId="164" fontId="2" fillId="0" borderId="0" xfId="2" applyNumberFormat="1" applyFill="1" applyBorder="1" applyProtection="1"/>
    <xf numFmtId="42" fontId="3" fillId="0" borderId="7" xfId="2" applyNumberFormat="1" applyFont="1" applyFill="1" applyBorder="1" applyProtection="1"/>
    <xf numFmtId="165" fontId="2" fillId="0" borderId="0" xfId="2" applyNumberFormat="1" applyFill="1" applyAlignment="1" applyProtection="1">
      <alignment horizontal="right"/>
    </xf>
    <xf numFmtId="0" fontId="11" fillId="0" borderId="0" xfId="2" applyFont="1" applyFill="1" applyProtection="1"/>
    <xf numFmtId="168" fontId="2" fillId="0" borderId="0" xfId="2" applyNumberFormat="1" applyFill="1" applyAlignment="1" applyProtection="1">
      <alignment horizontal="right"/>
    </xf>
    <xf numFmtId="0" fontId="13" fillId="0" borderId="0" xfId="2" applyFont="1" applyFill="1" applyProtection="1"/>
    <xf numFmtId="0" fontId="12" fillId="0" borderId="0" xfId="2" quotePrefix="1" applyFont="1" applyFill="1" applyBorder="1" applyAlignment="1" applyProtection="1">
      <alignment horizontal="center"/>
    </xf>
    <xf numFmtId="38" fontId="12" fillId="0" borderId="0" xfId="2" applyNumberFormat="1" applyFont="1" applyFill="1" applyBorder="1" applyProtection="1"/>
    <xf numFmtId="0" fontId="2" fillId="0" borderId="0" xfId="2" applyFill="1" applyBorder="1" applyAlignment="1" applyProtection="1">
      <alignment horizontal="center"/>
    </xf>
    <xf numFmtId="38" fontId="2" fillId="0" borderId="0" xfId="2" applyNumberFormat="1" applyFill="1" applyBorder="1" applyProtection="1"/>
    <xf numFmtId="14" fontId="2" fillId="0" borderId="0" xfId="2" applyNumberFormat="1" applyFill="1" applyBorder="1" applyProtection="1"/>
    <xf numFmtId="0" fontId="2" fillId="0" borderId="0" xfId="2" applyFill="1" applyBorder="1" applyProtection="1"/>
    <xf numFmtId="38" fontId="15" fillId="0" borderId="0" xfId="2" applyNumberFormat="1" applyFont="1" applyFill="1" applyBorder="1" applyProtection="1"/>
    <xf numFmtId="171" fontId="2" fillId="0" borderId="0" xfId="2" applyNumberFormat="1" applyFill="1" applyBorder="1" applyProtection="1"/>
    <xf numFmtId="38" fontId="2" fillId="0" borderId="0" xfId="2" applyNumberFormat="1" applyFont="1" applyFill="1" applyBorder="1" applyAlignment="1" applyProtection="1">
      <alignment horizontal="center"/>
    </xf>
    <xf numFmtId="10" fontId="11" fillId="0" borderId="0" xfId="2" applyNumberFormat="1" applyFont="1" applyFill="1" applyProtection="1"/>
    <xf numFmtId="0" fontId="2" fillId="0" borderId="22" xfId="2" applyFill="1" applyBorder="1"/>
    <xf numFmtId="0" fontId="2" fillId="0" borderId="0" xfId="2" applyFill="1" applyBorder="1"/>
    <xf numFmtId="0" fontId="2" fillId="0" borderId="0" xfId="2" applyFill="1" applyBorder="1" applyAlignment="1">
      <alignment horizontal="center"/>
    </xf>
    <xf numFmtId="0" fontId="2" fillId="0" borderId="23" xfId="2" applyBorder="1"/>
    <xf numFmtId="0" fontId="2" fillId="0" borderId="22" xfId="2" applyFont="1" applyFill="1" applyBorder="1"/>
    <xf numFmtId="42" fontId="2" fillId="0" borderId="0" xfId="2" applyNumberFormat="1" applyFill="1" applyBorder="1"/>
    <xf numFmtId="14" fontId="2" fillId="0" borderId="0" xfId="2" applyNumberFormat="1" applyFill="1" applyBorder="1"/>
    <xf numFmtId="0" fontId="2" fillId="0" borderId="24" xfId="2" applyBorder="1"/>
    <xf numFmtId="0" fontId="2" fillId="0" borderId="25" xfId="2" applyBorder="1"/>
    <xf numFmtId="0" fontId="2" fillId="0" borderId="26" xfId="2" applyBorder="1"/>
    <xf numFmtId="0" fontId="2" fillId="0" borderId="11" xfId="2" applyFill="1" applyBorder="1" applyProtection="1"/>
    <xf numFmtId="42" fontId="2" fillId="0" borderId="0" xfId="2" applyNumberForma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5" fillId="0" borderId="0" xfId="2" applyFont="1" applyFill="1" applyProtection="1"/>
    <xf numFmtId="0" fontId="6" fillId="0" borderId="0" xfId="2" applyFont="1" applyFill="1" applyProtection="1"/>
    <xf numFmtId="0" fontId="8" fillId="0" borderId="0" xfId="2" applyFont="1" applyFill="1" applyProtection="1"/>
    <xf numFmtId="42" fontId="4" fillId="0" borderId="0" xfId="2" applyNumberFormat="1" applyFont="1" applyFill="1" applyProtection="1"/>
    <xf numFmtId="164" fontId="4" fillId="0" borderId="0" xfId="2" applyNumberFormat="1" applyFont="1" applyFill="1" applyBorder="1" applyProtection="1"/>
    <xf numFmtId="0" fontId="4"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0" fillId="0" borderId="0" xfId="2" applyNumberFormat="1" applyFont="1" applyFill="1" applyBorder="1" applyProtection="1"/>
    <xf numFmtId="42" fontId="10"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167" fontId="3" fillId="0" borderId="0" xfId="2" applyNumberFormat="1" applyFont="1" applyFill="1" applyBorder="1" applyProtection="1"/>
    <xf numFmtId="0" fontId="12" fillId="0" borderId="0" xfId="2" applyFont="1" applyFill="1" applyProtection="1"/>
    <xf numFmtId="169"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170" fontId="12" fillId="0" borderId="0" xfId="2" applyNumberFormat="1" applyFont="1" applyFill="1" applyProtection="1"/>
    <xf numFmtId="44" fontId="4" fillId="0" borderId="0" xfId="1" applyFont="1" applyFill="1" applyProtection="1"/>
    <xf numFmtId="44" fontId="4" fillId="0" borderId="0" xfId="2" applyNumberFormat="1" applyFont="1" applyFill="1" applyProtection="1"/>
    <xf numFmtId="0" fontId="2" fillId="0" borderId="12" xfId="2" applyFill="1" applyBorder="1" applyProtection="1"/>
    <xf numFmtId="38" fontId="2" fillId="0" borderId="12" xfId="2" applyNumberFormat="1" applyFill="1" applyBorder="1" applyProtection="1"/>
    <xf numFmtId="38" fontId="2" fillId="0" borderId="13" xfId="2" applyNumberFormat="1" applyFill="1" applyBorder="1" applyProtection="1"/>
    <xf numFmtId="4" fontId="4" fillId="0" borderId="0" xfId="2" applyNumberFormat="1" applyFont="1" applyFill="1" applyProtection="1"/>
    <xf numFmtId="38" fontId="2" fillId="0" borderId="14" xfId="2" applyNumberFormat="1" applyFill="1" applyBorder="1" applyProtection="1"/>
    <xf numFmtId="0" fontId="14"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4" fillId="0" borderId="0" xfId="2" applyNumberFormat="1" applyFont="1" applyFill="1" applyProtection="1"/>
    <xf numFmtId="38" fontId="2" fillId="0" borderId="9" xfId="2" applyNumberFormat="1" applyFill="1" applyBorder="1" applyProtection="1"/>
    <xf numFmtId="0" fontId="15" fillId="0" borderId="0" xfId="2" applyFont="1" applyFill="1" applyBorder="1" applyProtection="1"/>
    <xf numFmtId="38" fontId="12" fillId="0" borderId="0" xfId="2" applyNumberFormat="1" applyFont="1" applyFill="1" applyProtection="1"/>
    <xf numFmtId="172" fontId="4" fillId="0" borderId="0" xfId="2" applyNumberFormat="1" applyFont="1" applyFill="1" applyProtection="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173" fontId="2" fillId="0" borderId="0" xfId="5" applyNumberFormat="1" applyFont="1"/>
    <xf numFmtId="0" fontId="3" fillId="0" borderId="3" xfId="2" applyFont="1" applyFill="1" applyBorder="1" applyAlignment="1" applyProtection="1">
      <alignment horizontal="center"/>
    </xf>
    <xf numFmtId="42" fontId="12" fillId="0" borderId="0" xfId="2" applyNumberFormat="1" applyFont="1" applyFill="1" applyProtection="1"/>
    <xf numFmtId="0" fontId="2" fillId="0" borderId="0" xfId="2" applyFont="1" applyAlignment="1">
      <alignment horizontal="center" vertical="center"/>
    </xf>
    <xf numFmtId="0" fontId="2" fillId="0" borderId="0" xfId="2" applyFont="1" applyFill="1" applyBorder="1" applyAlignment="1">
      <alignment horizontal="center" vertical="center"/>
    </xf>
    <xf numFmtId="0" fontId="2" fillId="0" borderId="25" xfId="2" applyFont="1" applyBorder="1" applyAlignment="1">
      <alignment horizontal="center" vertical="center"/>
    </xf>
    <xf numFmtId="42" fontId="2" fillId="0" borderId="23" xfId="2" applyNumberFormat="1" applyBorder="1"/>
    <xf numFmtId="165" fontId="2" fillId="0" borderId="0" xfId="2" applyNumberFormat="1" applyFill="1" applyProtection="1"/>
    <xf numFmtId="0" fontId="3" fillId="0" borderId="0" xfId="2" applyFont="1" applyAlignment="1">
      <alignment horizontal="center"/>
    </xf>
    <xf numFmtId="0" fontId="3" fillId="0" borderId="3" xfId="2" applyFont="1" applyFill="1" applyBorder="1" applyAlignment="1" applyProtection="1">
      <alignment horizontal="center"/>
    </xf>
    <xf numFmtId="14" fontId="2" fillId="0" borderId="0" xfId="2" applyNumberFormat="1" applyFill="1" applyBorder="1" applyAlignment="1">
      <alignment horizontal="center"/>
    </xf>
    <xf numFmtId="0" fontId="19" fillId="0" borderId="0" xfId="0" applyFont="1" applyAlignment="1">
      <alignment horizontal="left" wrapText="1"/>
    </xf>
    <xf numFmtId="0" fontId="20" fillId="0" borderId="0" xfId="0" applyFont="1"/>
    <xf numFmtId="0" fontId="19" fillId="0" borderId="27" xfId="0" applyFont="1" applyBorder="1" applyAlignment="1">
      <alignment horizontal="center" wrapText="1"/>
    </xf>
    <xf numFmtId="0" fontId="19" fillId="0" borderId="28" xfId="0" applyFont="1" applyBorder="1" applyAlignment="1">
      <alignment horizontal="center" wrapText="1"/>
    </xf>
    <xf numFmtId="0" fontId="19" fillId="0" borderId="29" xfId="0" applyFont="1" applyBorder="1" applyAlignment="1">
      <alignment horizontal="center" wrapText="1"/>
    </xf>
    <xf numFmtId="0" fontId="19" fillId="0" borderId="30" xfId="0" applyFont="1" applyBorder="1" applyAlignment="1">
      <alignment wrapText="1"/>
    </xf>
    <xf numFmtId="0" fontId="19" fillId="0" borderId="31" xfId="0" applyFont="1" applyBorder="1" applyAlignment="1">
      <alignment horizontal="center" wrapText="1"/>
    </xf>
    <xf numFmtId="0" fontId="19" fillId="0" borderId="31" xfId="0" applyFont="1" applyBorder="1" applyAlignment="1">
      <alignment horizontal="center" wrapText="1"/>
    </xf>
    <xf numFmtId="0" fontId="19" fillId="0" borderId="32" xfId="0" applyFont="1" applyBorder="1" applyAlignment="1">
      <alignment horizontal="center" wrapText="1"/>
    </xf>
    <xf numFmtId="0" fontId="19" fillId="0" borderId="32" xfId="0" applyFont="1" applyBorder="1" applyAlignment="1">
      <alignment horizontal="center" wrapText="1"/>
    </xf>
    <xf numFmtId="0" fontId="19" fillId="0" borderId="33" xfId="0" applyFont="1" applyBorder="1" applyAlignment="1">
      <alignment horizontal="center" wrapText="1"/>
    </xf>
    <xf numFmtId="0" fontId="19" fillId="0" borderId="33" xfId="0" applyFont="1" applyBorder="1" applyAlignment="1">
      <alignment wrapText="1"/>
    </xf>
    <xf numFmtId="6" fontId="19" fillId="0" borderId="33" xfId="0" applyNumberFormat="1" applyFont="1" applyBorder="1" applyAlignment="1">
      <alignment wrapText="1"/>
    </xf>
    <xf numFmtId="0" fontId="19" fillId="0" borderId="0" xfId="0" applyFont="1" applyAlignment="1">
      <alignment horizontal="center" wrapText="1"/>
    </xf>
    <xf numFmtId="0" fontId="19" fillId="0" borderId="0" xfId="0" applyFont="1" applyAlignment="1">
      <alignment wrapText="1"/>
    </xf>
    <xf numFmtId="3" fontId="19" fillId="0" borderId="34" xfId="0" applyNumberFormat="1" applyFont="1" applyBorder="1" applyAlignment="1">
      <alignment wrapText="1"/>
    </xf>
    <xf numFmtId="6" fontId="19" fillId="0" borderId="35" xfId="0" applyNumberFormat="1" applyFont="1" applyBorder="1" applyAlignment="1">
      <alignment wrapText="1"/>
    </xf>
    <xf numFmtId="0" fontId="19" fillId="0" borderId="36" xfId="0" applyFont="1" applyBorder="1" applyAlignment="1">
      <alignment wrapText="1"/>
    </xf>
    <xf numFmtId="0" fontId="19" fillId="0" borderId="34" xfId="0" applyFont="1" applyBorder="1" applyAlignment="1">
      <alignment wrapText="1"/>
    </xf>
    <xf numFmtId="0" fontId="19" fillId="0" borderId="0" xfId="0" applyFont="1" applyAlignment="1">
      <alignment wrapText="1"/>
    </xf>
    <xf numFmtId="3" fontId="19" fillId="0" borderId="0" xfId="0" applyNumberFormat="1" applyFont="1" applyAlignment="1">
      <alignment wrapText="1"/>
    </xf>
    <xf numFmtId="6" fontId="19" fillId="0" borderId="28" xfId="0" applyNumberFormat="1" applyFont="1" applyBorder="1" applyAlignment="1">
      <alignment wrapText="1"/>
    </xf>
    <xf numFmtId="0" fontId="21" fillId="0" borderId="0" xfId="0" applyFont="1" applyAlignment="1">
      <alignment horizontal="center" wrapText="1"/>
    </xf>
    <xf numFmtId="0" fontId="19" fillId="0" borderId="28" xfId="0" applyFont="1" applyBorder="1" applyAlignment="1">
      <alignment wrapText="1"/>
    </xf>
    <xf numFmtId="3" fontId="19" fillId="0" borderId="35" xfId="0" applyNumberFormat="1" applyFont="1" applyBorder="1" applyAlignment="1">
      <alignment wrapText="1"/>
    </xf>
    <xf numFmtId="0" fontId="19" fillId="0" borderId="35" xfId="0" applyFont="1" applyBorder="1" applyAlignment="1">
      <alignment wrapText="1"/>
    </xf>
    <xf numFmtId="0" fontId="19" fillId="0" borderId="0" xfId="0" applyFont="1" applyAlignment="1">
      <alignment horizontal="right" wrapText="1"/>
    </xf>
    <xf numFmtId="0" fontId="19" fillId="0" borderId="0" xfId="0" applyFont="1" applyAlignment="1">
      <alignment horizontal="left" wrapText="1"/>
    </xf>
    <xf numFmtId="0" fontId="2" fillId="3" borderId="0" xfId="2" applyFont="1" applyFill="1" applyBorder="1" applyAlignment="1">
      <alignment horizontal="center" vertical="center"/>
    </xf>
    <xf numFmtId="0" fontId="2" fillId="3" borderId="0" xfId="2" applyFill="1" applyBorder="1"/>
    <xf numFmtId="0" fontId="2" fillId="0" borderId="23" xfId="2" applyFill="1" applyBorder="1"/>
    <xf numFmtId="0" fontId="2" fillId="0" borderId="0" xfId="2" applyFont="1" applyBorder="1" applyAlignment="1">
      <alignment horizontal="center" vertical="center"/>
    </xf>
    <xf numFmtId="0" fontId="2" fillId="0" borderId="0" xfId="2" applyBorder="1"/>
    <xf numFmtId="42" fontId="2" fillId="0" borderId="23" xfId="2" applyNumberFormat="1" applyFill="1" applyBorder="1"/>
    <xf numFmtId="0" fontId="6" fillId="0" borderId="0" xfId="2" applyFont="1" applyAlignment="1">
      <alignment horizontal="center"/>
    </xf>
    <xf numFmtId="42" fontId="3" fillId="2" borderId="5" xfId="2" applyNumberFormat="1" applyFont="1" applyFill="1" applyBorder="1"/>
    <xf numFmtId="42" fontId="3" fillId="2" borderId="37" xfId="2" applyNumberFormat="1" applyFont="1" applyFill="1" applyBorder="1"/>
    <xf numFmtId="0" fontId="3" fillId="0" borderId="19" xfId="2" applyFont="1" applyBorder="1" applyAlignment="1"/>
    <xf numFmtId="0" fontId="3" fillId="0" borderId="20" xfId="2" applyFont="1" applyBorder="1" applyAlignment="1">
      <alignment horizontal="center" vertical="center"/>
    </xf>
    <xf numFmtId="0" fontId="3" fillId="0" borderId="20" xfId="2" applyFont="1" applyBorder="1" applyAlignment="1"/>
    <xf numFmtId="0" fontId="3" fillId="0" borderId="21" xfId="2" applyFont="1" applyBorder="1" applyAlignment="1"/>
    <xf numFmtId="0" fontId="3" fillId="0" borderId="22"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3" fillId="0" borderId="0" xfId="2" applyFont="1" applyFill="1" applyBorder="1" applyAlignment="1">
      <alignment horizontal="center"/>
    </xf>
    <xf numFmtId="0" fontId="3" fillId="0" borderId="23" xfId="2" applyFont="1" applyFill="1" applyBorder="1" applyAlignment="1">
      <alignment horizontal="center"/>
    </xf>
    <xf numFmtId="0" fontId="22" fillId="0" borderId="22" xfId="2" applyFont="1" applyFill="1" applyBorder="1" applyAlignment="1">
      <alignment horizontal="center"/>
    </xf>
    <xf numFmtId="0" fontId="22" fillId="0" borderId="0" xfId="2" applyFont="1" applyFill="1" applyBorder="1" applyAlignment="1">
      <alignment horizontal="center" vertical="center"/>
    </xf>
    <xf numFmtId="0" fontId="22" fillId="0" borderId="0" xfId="2" applyFont="1" applyFill="1" applyBorder="1" applyAlignment="1">
      <alignment horizontal="center"/>
    </xf>
    <xf numFmtId="0" fontId="22" fillId="0" borderId="23" xfId="2" applyFont="1" applyFill="1" applyBorder="1" applyAlignment="1">
      <alignment horizontal="center"/>
    </xf>
    <xf numFmtId="0" fontId="2" fillId="0" borderId="22" xfId="2" applyBorder="1"/>
    <xf numFmtId="174" fontId="2" fillId="0" borderId="23" xfId="5" applyNumberFormat="1" applyFont="1" applyFill="1" applyBorder="1"/>
    <xf numFmtId="42" fontId="3" fillId="0" borderId="38" xfId="2" applyNumberFormat="1" applyFont="1" applyBorder="1"/>
    <xf numFmtId="0" fontId="3" fillId="2" borderId="0" xfId="2" applyFont="1" applyFill="1" applyBorder="1"/>
    <xf numFmtId="0" fontId="2" fillId="0" borderId="0" xfId="2" applyBorder="1" applyAlignment="1">
      <alignment horizontal="center" vertical="center"/>
    </xf>
    <xf numFmtId="0" fontId="2" fillId="0" borderId="0" xfId="2" applyBorder="1" applyAlignment="1">
      <alignment horizontal="right"/>
    </xf>
    <xf numFmtId="42" fontId="2" fillId="0" borderId="0" xfId="2" applyNumberFormat="1" applyBorder="1"/>
    <xf numFmtId="0" fontId="2" fillId="0" borderId="0" xfId="2" applyBorder="1" applyAlignment="1">
      <alignment horizontal="center"/>
    </xf>
    <xf numFmtId="0" fontId="0" fillId="0" borderId="0" xfId="0" applyBorder="1" applyAlignment="1">
      <alignment horizontal="center"/>
    </xf>
    <xf numFmtId="0" fontId="0" fillId="0" borderId="0" xfId="0" applyBorder="1"/>
    <xf numFmtId="0" fontId="3" fillId="0" borderId="0" xfId="2" applyFont="1" applyBorder="1" applyAlignment="1">
      <alignment horizontal="right"/>
    </xf>
    <xf numFmtId="0" fontId="23" fillId="0" borderId="0" xfId="2" applyFont="1" applyAlignment="1">
      <alignment vertical="top"/>
    </xf>
    <xf numFmtId="0" fontId="2" fillId="3" borderId="22" xfId="2" applyFont="1" applyFill="1" applyBorder="1"/>
    <xf numFmtId="0" fontId="2" fillId="0" borderId="22" xfId="2" applyFont="1" applyBorder="1" applyAlignment="1">
      <alignment horizontal="left"/>
    </xf>
    <xf numFmtId="42" fontId="3" fillId="0" borderId="38" xfId="2" applyNumberFormat="1" applyFont="1" applyFill="1" applyBorder="1"/>
    <xf numFmtId="0" fontId="2" fillId="0" borderId="0" xfId="2" applyFill="1" applyBorder="1" applyAlignment="1">
      <alignment horizontal="right"/>
    </xf>
    <xf numFmtId="0" fontId="3" fillId="0" borderId="0" xfId="2" applyFont="1" applyFill="1" applyBorder="1" applyAlignment="1">
      <alignment horizontal="right"/>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99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67515</xdr:rowOff>
    </xdr:to>
    <xdr:pic>
      <xdr:nvPicPr>
        <xdr:cNvPr id="2" name="Picture 1">
          <a:extLst>
            <a:ext uri="{FF2B5EF4-FFF2-40B4-BE49-F238E27FC236}">
              <a16:creationId xmlns:a16="http://schemas.microsoft.com/office/drawing/2014/main" id="{8853BEC5-96E2-4FD6-ABDE-74CEA05B5861}"/>
            </a:ext>
          </a:extLst>
        </xdr:cNvPr>
        <xdr:cNvPicPr>
          <a:picLocks noChangeAspect="1"/>
        </xdr:cNvPicPr>
      </xdr:nvPicPr>
      <xdr:blipFill>
        <a:blip xmlns:r="http://schemas.openxmlformats.org/officeDocument/2006/relationships" r:embed="rId1"/>
        <a:stretch>
          <a:fillRect/>
        </a:stretch>
      </xdr:blipFill>
      <xdr:spPr>
        <a:xfrm>
          <a:off x="12792075" y="1352550"/>
          <a:ext cx="7821116" cy="5572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Internal\01_Regulatory%20Services\02_Cases\2024%20Cases\2024-00241%20Major%20Storm(s)%20thru%20June\05_Application%20Package\As%20Filed\KPCO_Exhibit_2.xlsx" TargetMode="External"/><Relationship Id="rId1" Type="http://schemas.openxmlformats.org/officeDocument/2006/relationships/externalLinkPath" Target="/Internal/01_Regulatory%20Services/02_Cases/2024%20Cases/2024-00241%20Major%20Storm(s)%20thru%20June/05_Application%20Package/As%20Filed/KPCO_Exhibit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Exh 3 Feb 10 Ice Storm_D 67%"/>
      <sheetName val="2023-00159 W16"/>
      <sheetName val="Exh 2A Jan 9 Windstorm_Distr"/>
      <sheetName val="Exh 2B Jan 12 Windstorm_Distr"/>
      <sheetName val="Exh 2C Feb 28 Wind_Distr"/>
      <sheetName val="Exh 2D Apr 2 Thunderstorm_Distr"/>
      <sheetName val="Exh 2E Apr 2 Thunderstorm_Trans"/>
      <sheetName val="Exh 2E Apr 11 Thunderstorm_Dist"/>
      <sheetName val="Exh 2F May 22 Thunderstorm_Dist"/>
      <sheetName val="Exh 2G May 26 Thunderstorm_Dist"/>
      <sheetName val="Exh 2H Jun 30 Thunderstorm_Dis "/>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A3F2E28A-AE9F-4229-B677-9D1A372B8006}">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99E2-9F03-461B-9B6A-B6C89025AAB7}">
  <sheetPr>
    <pageSetUpPr fitToPage="1"/>
  </sheetPr>
  <dimension ref="B1:M49"/>
  <sheetViews>
    <sheetView tabSelected="1" workbookViewId="0">
      <selection activeCell="H40" sqref="H40"/>
    </sheetView>
  </sheetViews>
  <sheetFormatPr defaultColWidth="9.140625" defaultRowHeight="12.75" outlineLevelRow="1" x14ac:dyDescent="0.2"/>
  <cols>
    <col min="1" max="1" width="9.140625" style="1"/>
    <col min="2" max="2" width="31.5703125" style="1" bestFit="1" customWidth="1"/>
    <col min="3" max="3" width="7.140625" style="98" customWidth="1"/>
    <col min="4" max="4" width="16" style="1" customWidth="1"/>
    <col min="5" max="5" width="3.42578125" style="1" customWidth="1"/>
    <col min="6" max="6" width="19.140625" style="1" customWidth="1"/>
    <col min="7" max="7" width="3.42578125" style="1" customWidth="1"/>
    <col min="8" max="8" width="13.140625" style="1" bestFit="1" customWidth="1"/>
    <col min="9" max="9" width="3.42578125" style="1" customWidth="1"/>
    <col min="10" max="10" width="16.140625" style="1" customWidth="1"/>
    <col min="11" max="11" width="14.28515625" style="1" bestFit="1" customWidth="1"/>
    <col min="12" max="12" width="14" style="1" customWidth="1"/>
    <col min="13" max="13" width="10.7109375" style="1" bestFit="1" customWidth="1"/>
    <col min="14" max="16384" width="9.140625" style="1"/>
  </cols>
  <sheetData>
    <row r="1" spans="2:13" ht="15" x14ac:dyDescent="0.2">
      <c r="B1" s="140" t="s">
        <v>0</v>
      </c>
      <c r="C1" s="140"/>
      <c r="D1" s="140"/>
      <c r="E1" s="140"/>
      <c r="F1" s="140"/>
      <c r="G1" s="140"/>
      <c r="H1" s="140"/>
      <c r="I1" s="140"/>
      <c r="J1" s="140"/>
    </row>
    <row r="2" spans="2:13" ht="15" x14ac:dyDescent="0.2">
      <c r="B2" s="140" t="s">
        <v>149</v>
      </c>
      <c r="C2" s="140"/>
      <c r="D2" s="140"/>
      <c r="E2" s="140"/>
      <c r="F2" s="140"/>
      <c r="G2" s="140"/>
      <c r="H2" s="140"/>
      <c r="I2" s="140"/>
      <c r="J2" s="140"/>
    </row>
    <row r="3" spans="2:13" hidden="1" x14ac:dyDescent="0.2">
      <c r="B3" s="103" t="s">
        <v>1</v>
      </c>
      <c r="C3" s="103"/>
      <c r="D3" s="103"/>
      <c r="E3" s="103"/>
      <c r="F3" s="103"/>
      <c r="G3" s="103"/>
      <c r="H3" s="103"/>
      <c r="I3" s="103"/>
      <c r="J3" s="103"/>
    </row>
    <row r="4" spans="2:13" x14ac:dyDescent="0.2">
      <c r="B4" s="103"/>
      <c r="C4" s="103"/>
      <c r="D4" s="103"/>
      <c r="E4" s="103"/>
      <c r="F4" s="103"/>
      <c r="G4" s="103"/>
      <c r="H4" s="103"/>
      <c r="I4" s="103"/>
      <c r="J4" s="103"/>
    </row>
    <row r="5" spans="2:13" ht="13.5" thickBot="1" x14ac:dyDescent="0.25">
      <c r="B5" s="2"/>
      <c r="D5" s="2"/>
      <c r="E5" s="2"/>
      <c r="F5" s="2"/>
      <c r="G5" s="2"/>
      <c r="H5" s="2"/>
      <c r="I5" s="2"/>
      <c r="J5" s="2"/>
    </row>
    <row r="6" spans="2:13" ht="15" customHeight="1" x14ac:dyDescent="0.2">
      <c r="B6" s="143"/>
      <c r="C6" s="144"/>
      <c r="D6" s="145"/>
      <c r="E6" s="145"/>
      <c r="F6" s="145"/>
      <c r="G6" s="145"/>
      <c r="H6" s="145"/>
      <c r="I6" s="145"/>
      <c r="J6" s="146"/>
    </row>
    <row r="7" spans="2:13" x14ac:dyDescent="0.2">
      <c r="B7" s="147"/>
      <c r="C7" s="148"/>
      <c r="D7" s="149"/>
      <c r="E7" s="149"/>
      <c r="F7" s="149"/>
      <c r="G7" s="149"/>
      <c r="H7" s="150" t="s">
        <v>112</v>
      </c>
      <c r="I7" s="149"/>
      <c r="J7" s="151" t="s">
        <v>2</v>
      </c>
    </row>
    <row r="8" spans="2:13" x14ac:dyDescent="0.2">
      <c r="B8" s="152" t="s">
        <v>3</v>
      </c>
      <c r="C8" s="153"/>
      <c r="D8" s="154" t="s">
        <v>4</v>
      </c>
      <c r="E8" s="154"/>
      <c r="F8" s="154" t="s">
        <v>110</v>
      </c>
      <c r="G8" s="149"/>
      <c r="H8" s="154" t="s">
        <v>113</v>
      </c>
      <c r="I8" s="149"/>
      <c r="J8" s="155" t="s">
        <v>94</v>
      </c>
    </row>
    <row r="9" spans="2:13" ht="13.5" hidden="1" customHeight="1" x14ac:dyDescent="0.2">
      <c r="B9" s="36"/>
      <c r="C9" s="99"/>
      <c r="D9" s="37"/>
      <c r="E9" s="37"/>
      <c r="F9" s="37"/>
      <c r="G9" s="37"/>
      <c r="H9" s="37"/>
      <c r="I9" s="37"/>
      <c r="J9" s="136"/>
    </row>
    <row r="10" spans="2:13" hidden="1" x14ac:dyDescent="0.2">
      <c r="B10" s="36"/>
      <c r="C10" s="99"/>
      <c r="D10" s="37"/>
      <c r="E10" s="37"/>
      <c r="F10" s="37"/>
      <c r="G10" s="37"/>
      <c r="H10" s="37"/>
      <c r="I10" s="37"/>
      <c r="J10" s="136"/>
    </row>
    <row r="11" spans="2:13" hidden="1" x14ac:dyDescent="0.2">
      <c r="B11" s="36"/>
      <c r="C11" s="137"/>
      <c r="D11" s="138"/>
      <c r="E11" s="138"/>
      <c r="F11" s="138"/>
      <c r="G11" s="138"/>
      <c r="H11" s="138"/>
      <c r="I11" s="138"/>
      <c r="J11" s="39"/>
      <c r="K11" s="47"/>
      <c r="L11" s="95"/>
      <c r="M11" s="47"/>
    </row>
    <row r="12" spans="2:13" hidden="1" x14ac:dyDescent="0.2">
      <c r="B12" s="36"/>
      <c r="C12" s="137"/>
      <c r="D12" s="138"/>
      <c r="E12" s="138"/>
      <c r="F12" s="138"/>
      <c r="G12" s="138"/>
      <c r="H12" s="138"/>
      <c r="I12" s="138"/>
      <c r="J12" s="39"/>
      <c r="L12" s="95"/>
    </row>
    <row r="13" spans="2:13" hidden="1" x14ac:dyDescent="0.2">
      <c r="B13" s="36"/>
      <c r="C13" s="137"/>
      <c r="D13" s="138"/>
      <c r="E13" s="138"/>
      <c r="F13" s="138"/>
      <c r="G13" s="138"/>
      <c r="H13" s="138"/>
      <c r="I13" s="138"/>
      <c r="J13" s="39"/>
      <c r="K13" s="47"/>
      <c r="L13" s="95"/>
    </row>
    <row r="14" spans="2:13" hidden="1" x14ac:dyDescent="0.2">
      <c r="B14" s="36"/>
      <c r="C14" s="137"/>
      <c r="D14" s="138"/>
      <c r="E14" s="138"/>
      <c r="F14" s="138"/>
      <c r="G14" s="138"/>
      <c r="H14" s="138"/>
      <c r="I14" s="138"/>
      <c r="J14" s="39"/>
      <c r="L14" s="95"/>
    </row>
    <row r="15" spans="2:13" x14ac:dyDescent="0.2">
      <c r="B15" s="36"/>
      <c r="C15" s="137"/>
      <c r="D15" s="138"/>
      <c r="E15" s="138"/>
      <c r="F15" s="138"/>
      <c r="G15" s="138"/>
      <c r="H15" s="138"/>
      <c r="I15" s="138"/>
      <c r="J15" s="39"/>
      <c r="K15" s="47"/>
      <c r="L15" s="95"/>
    </row>
    <row r="16" spans="2:13" x14ac:dyDescent="0.2">
      <c r="B16" s="36"/>
      <c r="C16" s="99"/>
      <c r="D16" s="37"/>
      <c r="E16" s="37"/>
      <c r="F16" s="37"/>
      <c r="G16" s="37"/>
      <c r="H16" s="37"/>
      <c r="I16" s="37"/>
      <c r="J16" s="136"/>
      <c r="L16" s="95"/>
    </row>
    <row r="17" spans="2:12" x14ac:dyDescent="0.2">
      <c r="B17" s="40" t="s">
        <v>102</v>
      </c>
      <c r="C17" s="99" t="s">
        <v>106</v>
      </c>
      <c r="D17" s="105">
        <v>45384</v>
      </c>
      <c r="E17" s="38"/>
      <c r="F17" s="38" t="s">
        <v>98</v>
      </c>
      <c r="G17" s="37"/>
      <c r="H17" s="41">
        <f>'Exh 2D Apr 2 Thunderstorm_Distr'!K73</f>
        <v>2678409.4</v>
      </c>
      <c r="I17" s="37"/>
      <c r="J17" s="139">
        <f>'Exh 2D Apr 2 Thunderstorm_Distr'!O73</f>
        <v>1300393.0424265452</v>
      </c>
      <c r="L17" s="95"/>
    </row>
    <row r="18" spans="2:12" x14ac:dyDescent="0.2">
      <c r="B18" s="36"/>
      <c r="C18" s="99"/>
      <c r="D18" s="38"/>
      <c r="E18" s="38"/>
      <c r="F18" s="38"/>
      <c r="G18" s="37"/>
      <c r="H18" s="37"/>
      <c r="I18" s="37"/>
      <c r="J18" s="136"/>
      <c r="L18" s="95"/>
    </row>
    <row r="19" spans="2:12" x14ac:dyDescent="0.2">
      <c r="B19" s="40" t="s">
        <v>103</v>
      </c>
      <c r="C19" s="99" t="s">
        <v>106</v>
      </c>
      <c r="D19" s="105">
        <v>45384</v>
      </c>
      <c r="E19" s="38"/>
      <c r="F19" s="38" t="s">
        <v>111</v>
      </c>
      <c r="G19" s="37"/>
      <c r="H19" s="41">
        <f>'Exh 2E Apr 2 Thunderstorm_Trans'!K69</f>
        <v>1357408</v>
      </c>
      <c r="I19" s="37"/>
      <c r="J19" s="139">
        <f>'Exh 2E Apr 2 Thunderstorm_Trans'!O69</f>
        <v>61017</v>
      </c>
      <c r="K19" s="47"/>
      <c r="L19" s="95"/>
    </row>
    <row r="20" spans="2:12" x14ac:dyDescent="0.2">
      <c r="B20" s="40"/>
      <c r="C20" s="99"/>
      <c r="D20" s="105"/>
      <c r="E20" s="38"/>
      <c r="F20" s="38" t="s">
        <v>101</v>
      </c>
      <c r="G20" s="37"/>
      <c r="H20" s="37"/>
      <c r="I20" s="37"/>
      <c r="J20" s="139"/>
      <c r="K20" s="47"/>
      <c r="L20" s="95"/>
    </row>
    <row r="21" spans="2:12" x14ac:dyDescent="0.2">
      <c r="B21" s="40"/>
      <c r="C21" s="99"/>
      <c r="D21" s="105"/>
      <c r="E21" s="38"/>
      <c r="F21" s="38"/>
      <c r="G21" s="37"/>
      <c r="H21" s="37"/>
      <c r="I21" s="37"/>
      <c r="J21" s="139"/>
      <c r="K21" s="47"/>
      <c r="L21" s="95"/>
    </row>
    <row r="22" spans="2:12" x14ac:dyDescent="0.2">
      <c r="B22" s="36" t="s">
        <v>104</v>
      </c>
      <c r="C22" s="99" t="s">
        <v>106</v>
      </c>
      <c r="D22" s="105">
        <v>45438</v>
      </c>
      <c r="E22" s="38"/>
      <c r="F22" s="38" t="s">
        <v>105</v>
      </c>
      <c r="G22" s="37"/>
      <c r="H22" s="41">
        <f>'Exh 2G May 26 Thunderstorm_Dist'!K73</f>
        <v>4716883.87</v>
      </c>
      <c r="I22" s="37"/>
      <c r="J22" s="139">
        <f>'Exh 2G May 26 Thunderstorm_Dist'!O73</f>
        <v>2919812.2854959751</v>
      </c>
      <c r="L22" s="95"/>
    </row>
    <row r="23" spans="2:12" x14ac:dyDescent="0.2">
      <c r="B23" s="36"/>
      <c r="C23" s="99"/>
      <c r="D23" s="38"/>
      <c r="E23" s="38"/>
      <c r="F23" s="38"/>
      <c r="G23" s="37"/>
      <c r="H23" s="37"/>
      <c r="I23" s="37"/>
      <c r="J23" s="136"/>
    </row>
    <row r="24" spans="2:12" x14ac:dyDescent="0.2">
      <c r="B24" s="40"/>
      <c r="C24" s="99"/>
      <c r="D24" s="42"/>
      <c r="E24" s="37"/>
      <c r="F24" s="37"/>
      <c r="G24" s="37"/>
      <c r="H24" s="37"/>
      <c r="I24" s="37"/>
      <c r="J24" s="139"/>
      <c r="K24" s="47"/>
      <c r="L24" s="95"/>
    </row>
    <row r="25" spans="2:12" x14ac:dyDescent="0.2">
      <c r="B25" s="168" t="s">
        <v>160</v>
      </c>
      <c r="C25" s="134"/>
      <c r="D25" s="135"/>
      <c r="E25" s="135"/>
      <c r="F25" s="135"/>
      <c r="G25" s="135"/>
      <c r="H25" s="141">
        <f>SUM(H17:H22)</f>
        <v>8752701.2699999996</v>
      </c>
      <c r="I25" s="159"/>
      <c r="J25" s="142">
        <f>SUM(J17:J23)</f>
        <v>4281222.3279225202</v>
      </c>
    </row>
    <row r="26" spans="2:12" x14ac:dyDescent="0.2">
      <c r="B26" s="36"/>
      <c r="C26" s="99"/>
      <c r="D26" s="37"/>
      <c r="E26" s="37"/>
      <c r="F26" s="37"/>
      <c r="G26" s="37"/>
      <c r="H26" s="37"/>
      <c r="I26" s="37"/>
      <c r="J26" s="139"/>
    </row>
    <row r="27" spans="2:12" hidden="1" outlineLevel="1" x14ac:dyDescent="0.2">
      <c r="B27" s="156"/>
      <c r="C27" s="160"/>
      <c r="D27" s="138"/>
      <c r="E27" s="138"/>
      <c r="F27" s="138"/>
      <c r="G27" s="138"/>
      <c r="H27" s="161" t="s">
        <v>153</v>
      </c>
      <c r="I27" s="138"/>
      <c r="J27" s="101">
        <f>'2023-00159 W16'!F15</f>
        <v>1013489</v>
      </c>
      <c r="K27" s="1" t="s">
        <v>154</v>
      </c>
    </row>
    <row r="28" spans="2:12" hidden="1" outlineLevel="1" x14ac:dyDescent="0.2">
      <c r="B28" s="156"/>
      <c r="C28" s="160"/>
      <c r="D28" s="138"/>
      <c r="E28" s="138"/>
      <c r="F28" s="138"/>
      <c r="G28" s="138"/>
      <c r="H28" s="161" t="s">
        <v>155</v>
      </c>
      <c r="I28" s="138"/>
      <c r="J28" s="157">
        <f>'2023-00159 W16'!F18</f>
        <v>0.999</v>
      </c>
    </row>
    <row r="29" spans="2:12" hidden="1" outlineLevel="1" x14ac:dyDescent="0.2">
      <c r="B29" s="156"/>
      <c r="C29" s="160"/>
      <c r="D29" s="138"/>
      <c r="E29" s="138"/>
      <c r="F29" s="138"/>
      <c r="G29" s="138"/>
      <c r="H29" s="161" t="s">
        <v>156</v>
      </c>
      <c r="I29" s="138"/>
      <c r="J29" s="101">
        <f>ROUND(J27*J28,0)</f>
        <v>1012476</v>
      </c>
    </row>
    <row r="30" spans="2:12" hidden="1" outlineLevel="1" x14ac:dyDescent="0.2">
      <c r="B30" s="156"/>
      <c r="C30" s="160"/>
      <c r="D30" s="138"/>
      <c r="E30" s="138"/>
      <c r="F30" s="138"/>
      <c r="G30" s="138"/>
      <c r="H30" s="162"/>
      <c r="I30" s="138"/>
      <c r="J30" s="101"/>
    </row>
    <row r="31" spans="2:12" hidden="1" outlineLevel="1" x14ac:dyDescent="0.2">
      <c r="B31" s="156"/>
      <c r="C31" s="160"/>
      <c r="D31" s="163"/>
      <c r="E31" s="138"/>
      <c r="F31" s="163"/>
      <c r="G31" s="138"/>
      <c r="H31" s="161" t="s">
        <v>157</v>
      </c>
      <c r="I31" s="138"/>
      <c r="J31" s="101">
        <f>'2023-00159 W16'!F23</f>
        <v>89872</v>
      </c>
      <c r="K31" s="1" t="s">
        <v>154</v>
      </c>
    </row>
    <row r="32" spans="2:12" hidden="1" outlineLevel="1" x14ac:dyDescent="0.2">
      <c r="B32" s="156"/>
      <c r="C32" s="160"/>
      <c r="D32" s="163"/>
      <c r="E32" s="138"/>
      <c r="F32" s="163"/>
      <c r="G32" s="138"/>
      <c r="H32" s="161" t="s">
        <v>155</v>
      </c>
      <c r="I32" s="138"/>
      <c r="J32" s="157">
        <f>'2023-00159 W16'!F26</f>
        <v>0.98499999999999999</v>
      </c>
    </row>
    <row r="33" spans="2:11" hidden="1" outlineLevel="1" x14ac:dyDescent="0.2">
      <c r="B33" s="156"/>
      <c r="C33" s="160"/>
      <c r="D33" s="163"/>
      <c r="E33" s="138"/>
      <c r="F33" s="163"/>
      <c r="G33" s="138"/>
      <c r="H33" s="161" t="s">
        <v>158</v>
      </c>
      <c r="I33" s="138"/>
      <c r="J33" s="101">
        <f>ROUND(J31*J32,0)</f>
        <v>88524</v>
      </c>
    </row>
    <row r="34" spans="2:11" hidden="1" outlineLevel="1" x14ac:dyDescent="0.2">
      <c r="B34" s="156"/>
      <c r="C34" s="160"/>
      <c r="D34" s="138"/>
      <c r="E34" s="138"/>
      <c r="F34" s="138"/>
      <c r="G34" s="138"/>
      <c r="H34" s="138"/>
      <c r="I34" s="138"/>
      <c r="J34" s="101"/>
    </row>
    <row r="35" spans="2:11" ht="15" collapsed="1" x14ac:dyDescent="0.25">
      <c r="B35" s="169"/>
      <c r="C35" s="160"/>
      <c r="D35" s="163"/>
      <c r="E35" s="138"/>
      <c r="F35" s="164"/>
      <c r="G35" s="165"/>
      <c r="H35" s="166" t="s">
        <v>152</v>
      </c>
      <c r="I35" s="165"/>
      <c r="J35" s="158">
        <f>ROUND(J29+J33,0)</f>
        <v>1101000</v>
      </c>
      <c r="K35" s="1" t="s">
        <v>159</v>
      </c>
    </row>
    <row r="36" spans="2:11" x14ac:dyDescent="0.2">
      <c r="B36" s="36"/>
      <c r="C36" s="99"/>
      <c r="D36" s="37"/>
      <c r="E36" s="37"/>
      <c r="F36" s="37"/>
      <c r="G36" s="37"/>
      <c r="H36" s="171"/>
      <c r="I36" s="37"/>
      <c r="J36" s="139"/>
    </row>
    <row r="37" spans="2:11" x14ac:dyDescent="0.2">
      <c r="B37" s="36"/>
      <c r="C37" s="99"/>
      <c r="D37" s="37"/>
      <c r="E37" s="37"/>
      <c r="F37" s="37"/>
      <c r="G37" s="37"/>
      <c r="H37" s="172" t="s">
        <v>150</v>
      </c>
      <c r="I37" s="37"/>
      <c r="J37" s="170">
        <f>J25</f>
        <v>4281222.3279225202</v>
      </c>
      <c r="K37" s="1" t="s">
        <v>159</v>
      </c>
    </row>
    <row r="38" spans="2:11" x14ac:dyDescent="0.2">
      <c r="B38" s="36"/>
      <c r="C38" s="99"/>
      <c r="D38" s="37"/>
      <c r="E38" s="37"/>
      <c r="F38" s="37"/>
      <c r="G38" s="37"/>
      <c r="H38" s="171"/>
      <c r="I38" s="37"/>
      <c r="J38" s="139"/>
    </row>
    <row r="39" spans="2:11" ht="13.5" thickBot="1" x14ac:dyDescent="0.25">
      <c r="B39" s="43"/>
      <c r="C39" s="100"/>
      <c r="D39" s="44"/>
      <c r="E39" s="44"/>
      <c r="F39" s="44"/>
      <c r="G39" s="44"/>
      <c r="H39" s="44"/>
      <c r="I39" s="44"/>
      <c r="J39" s="45"/>
    </row>
    <row r="42" spans="2:11" x14ac:dyDescent="0.2">
      <c r="J42" s="47"/>
    </row>
    <row r="43" spans="2:11" x14ac:dyDescent="0.2">
      <c r="B43" s="167" t="s">
        <v>151</v>
      </c>
      <c r="C43" s="167"/>
      <c r="D43" s="167"/>
      <c r="E43" s="167"/>
      <c r="F43" s="167"/>
      <c r="G43" s="167"/>
      <c r="H43" s="167"/>
      <c r="I43" s="167"/>
      <c r="J43" s="167"/>
    </row>
    <row r="44" spans="2:11" x14ac:dyDescent="0.2">
      <c r="B44" s="167"/>
      <c r="C44" s="167"/>
      <c r="D44" s="167"/>
      <c r="E44" s="167"/>
      <c r="F44" s="167"/>
      <c r="G44" s="167"/>
      <c r="H44" s="167"/>
      <c r="I44" s="167"/>
      <c r="J44" s="167"/>
    </row>
    <row r="45" spans="2:11" x14ac:dyDescent="0.2">
      <c r="B45" s="167" t="s">
        <v>161</v>
      </c>
      <c r="C45" s="167"/>
      <c r="D45" s="167"/>
      <c r="E45" s="167"/>
      <c r="F45" s="167"/>
      <c r="G45" s="167"/>
      <c r="H45" s="167"/>
      <c r="I45" s="167"/>
      <c r="J45" s="167"/>
    </row>
    <row r="46" spans="2:11" x14ac:dyDescent="0.2">
      <c r="B46" s="167"/>
      <c r="C46" s="167"/>
      <c r="D46" s="167"/>
      <c r="E46" s="167"/>
      <c r="F46" s="167"/>
      <c r="G46" s="167"/>
      <c r="H46" s="167"/>
      <c r="I46" s="167"/>
      <c r="J46" s="167"/>
    </row>
    <row r="48" spans="2:11" x14ac:dyDescent="0.2">
      <c r="J48" s="47"/>
    </row>
    <row r="49" spans="10:10" x14ac:dyDescent="0.2">
      <c r="J49" s="47"/>
    </row>
  </sheetData>
  <mergeCells count="4">
    <mergeCell ref="B1:J1"/>
    <mergeCell ref="B2:J2"/>
    <mergeCell ref="B3:J3"/>
    <mergeCell ref="B4:J4"/>
  </mergeCells>
  <pageMargins left="1" right="1" top="1" bottom="1" header="0.5" footer="0.5"/>
  <pageSetup scale="4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3C4FE-ED36-43E5-9FCE-EE7749B4DFF2}">
  <dimension ref="A1:G31"/>
  <sheetViews>
    <sheetView topLeftCell="B1" workbookViewId="0">
      <selection activeCell="B35" sqref="B35"/>
    </sheetView>
  </sheetViews>
  <sheetFormatPr defaultRowHeight="15" x14ac:dyDescent="0.25"/>
  <cols>
    <col min="1" max="1" width="8.5703125" customWidth="1"/>
    <col min="2" max="2" width="56.7109375" customWidth="1"/>
    <col min="3" max="7" width="23.28515625" customWidth="1"/>
  </cols>
  <sheetData>
    <row r="1" spans="1:7" x14ac:dyDescent="0.25">
      <c r="A1" s="106" t="s">
        <v>114</v>
      </c>
      <c r="B1" s="106"/>
      <c r="C1" s="106"/>
      <c r="D1" s="106"/>
      <c r="E1" s="106"/>
      <c r="F1" s="106"/>
      <c r="G1" s="107"/>
    </row>
    <row r="2" spans="1:7" x14ac:dyDescent="0.25">
      <c r="A2" s="106" t="s">
        <v>115</v>
      </c>
      <c r="B2" s="106"/>
      <c r="C2" s="106"/>
      <c r="D2" s="106"/>
      <c r="E2" s="106"/>
      <c r="F2" s="106"/>
      <c r="G2" s="107"/>
    </row>
    <row r="3" spans="1:7" x14ac:dyDescent="0.25">
      <c r="A3" s="106" t="s">
        <v>116</v>
      </c>
      <c r="B3" s="106"/>
      <c r="C3" s="106"/>
      <c r="D3" s="106"/>
      <c r="E3" s="106"/>
      <c r="F3" s="106"/>
      <c r="G3" s="107"/>
    </row>
    <row r="4" spans="1:7" x14ac:dyDescent="0.25">
      <c r="A4" s="106" t="s">
        <v>117</v>
      </c>
      <c r="B4" s="106"/>
      <c r="C4" s="106"/>
      <c r="D4" s="106"/>
      <c r="E4" s="106"/>
      <c r="F4" s="106"/>
      <c r="G4" s="107"/>
    </row>
    <row r="5" spans="1:7" x14ac:dyDescent="0.25">
      <c r="A5" s="107"/>
      <c r="B5" s="107"/>
      <c r="C5" s="107"/>
      <c r="D5" s="107"/>
      <c r="E5" s="107"/>
      <c r="F5" s="107"/>
      <c r="G5" s="107"/>
    </row>
    <row r="6" spans="1:7" ht="25.5" customHeight="1" x14ac:dyDescent="0.25">
      <c r="A6" s="107"/>
      <c r="B6" s="107"/>
      <c r="C6" s="108" t="s">
        <v>118</v>
      </c>
      <c r="D6" s="109"/>
      <c r="E6" s="110"/>
      <c r="F6" s="111"/>
      <c r="G6" s="107"/>
    </row>
    <row r="7" spans="1:7" x14ac:dyDescent="0.25">
      <c r="A7" s="112" t="s">
        <v>119</v>
      </c>
      <c r="B7" s="113" t="s">
        <v>120</v>
      </c>
      <c r="C7" s="113">
        <v>2021</v>
      </c>
      <c r="D7" s="113">
        <v>2022</v>
      </c>
      <c r="E7" s="113">
        <v>2023</v>
      </c>
      <c r="F7" s="113" t="s">
        <v>121</v>
      </c>
      <c r="G7" s="113" t="s">
        <v>122</v>
      </c>
    </row>
    <row r="8" spans="1:7" x14ac:dyDescent="0.25">
      <c r="A8" s="114"/>
      <c r="B8" s="115" t="s">
        <v>123</v>
      </c>
      <c r="C8" s="115" t="s">
        <v>124</v>
      </c>
      <c r="D8" s="115" t="s">
        <v>125</v>
      </c>
      <c r="E8" s="115" t="s">
        <v>126</v>
      </c>
      <c r="F8" s="115" t="s">
        <v>127</v>
      </c>
      <c r="G8" s="115" t="s">
        <v>128</v>
      </c>
    </row>
    <row r="9" spans="1:7" x14ac:dyDescent="0.25">
      <c r="A9" s="116">
        <v>1</v>
      </c>
      <c r="B9" s="117" t="s">
        <v>129</v>
      </c>
      <c r="C9" s="118">
        <v>59577052</v>
      </c>
      <c r="D9" s="118">
        <v>3324126</v>
      </c>
      <c r="E9" s="118">
        <v>24194769</v>
      </c>
      <c r="F9" s="118">
        <v>29031982</v>
      </c>
      <c r="G9" s="117"/>
    </row>
    <row r="10" spans="1:7" x14ac:dyDescent="0.25">
      <c r="A10" s="119">
        <v>2</v>
      </c>
      <c r="B10" s="120" t="s">
        <v>130</v>
      </c>
      <c r="C10" s="121">
        <v>2821753</v>
      </c>
      <c r="D10" s="121">
        <v>247794</v>
      </c>
      <c r="E10" s="121">
        <v>89872</v>
      </c>
      <c r="F10" s="121">
        <v>1053140</v>
      </c>
      <c r="G10" s="107"/>
    </row>
    <row r="11" spans="1:7" ht="15.75" thickBot="1" x14ac:dyDescent="0.3">
      <c r="A11" s="119">
        <v>3</v>
      </c>
      <c r="B11" s="120" t="s">
        <v>131</v>
      </c>
      <c r="C11" s="122">
        <v>62398805</v>
      </c>
      <c r="D11" s="122">
        <v>3571920</v>
      </c>
      <c r="E11" s="122">
        <v>24284641</v>
      </c>
      <c r="F11" s="122">
        <v>30085122</v>
      </c>
      <c r="G11" s="107"/>
    </row>
    <row r="12" spans="1:7" ht="15.75" thickTop="1" x14ac:dyDescent="0.25">
      <c r="A12" s="119"/>
      <c r="B12" s="107"/>
      <c r="C12" s="123"/>
      <c r="D12" s="123"/>
      <c r="E12" s="123"/>
      <c r="F12" s="123"/>
      <c r="G12" s="107"/>
    </row>
    <row r="13" spans="1:7" x14ac:dyDescent="0.25">
      <c r="A13" s="119">
        <v>4</v>
      </c>
      <c r="B13" s="124" t="s">
        <v>132</v>
      </c>
      <c r="C13" s="107"/>
      <c r="D13" s="107"/>
      <c r="E13" s="107"/>
      <c r="F13" s="107"/>
      <c r="G13" s="107"/>
    </row>
    <row r="14" spans="1:7" x14ac:dyDescent="0.25">
      <c r="A14" s="119">
        <v>5</v>
      </c>
      <c r="B14" s="117" t="s">
        <v>121</v>
      </c>
      <c r="C14" s="107"/>
      <c r="D14" s="107"/>
      <c r="E14" s="107"/>
      <c r="F14" s="120" t="s">
        <v>133</v>
      </c>
      <c r="G14" s="107"/>
    </row>
    <row r="15" spans="1:7" x14ac:dyDescent="0.25">
      <c r="A15" s="119">
        <v>6</v>
      </c>
      <c r="B15" s="125" t="s">
        <v>134</v>
      </c>
      <c r="C15" s="125"/>
      <c r="D15" s="125"/>
      <c r="E15" s="125"/>
      <c r="F15" s="126">
        <v>1013489</v>
      </c>
      <c r="G15" s="107"/>
    </row>
    <row r="16" spans="1:7" x14ac:dyDescent="0.25">
      <c r="A16" s="119">
        <v>7</v>
      </c>
      <c r="B16" s="120" t="s">
        <v>135</v>
      </c>
      <c r="C16" s="107"/>
      <c r="D16" s="107"/>
      <c r="E16" s="107"/>
      <c r="F16" s="121">
        <v>7333484</v>
      </c>
      <c r="G16" s="107"/>
    </row>
    <row r="17" spans="1:7" x14ac:dyDescent="0.25">
      <c r="A17" s="119">
        <v>8</v>
      </c>
      <c r="B17" s="120" t="s">
        <v>136</v>
      </c>
      <c r="C17" s="107"/>
      <c r="D17" s="107"/>
      <c r="E17" s="107"/>
      <c r="F17" s="127">
        <v>-6319995</v>
      </c>
      <c r="G17" s="119"/>
    </row>
    <row r="18" spans="1:7" x14ac:dyDescent="0.25">
      <c r="A18" s="119">
        <v>9</v>
      </c>
      <c r="B18" s="120" t="s">
        <v>137</v>
      </c>
      <c r="C18" s="128"/>
      <c r="D18" s="128"/>
      <c r="E18" s="128"/>
      <c r="F18" s="129">
        <v>0.999</v>
      </c>
      <c r="G18" s="107"/>
    </row>
    <row r="19" spans="1:7" ht="15.75" thickBot="1" x14ac:dyDescent="0.3">
      <c r="A19" s="119">
        <v>10</v>
      </c>
      <c r="B19" s="120" t="s">
        <v>138</v>
      </c>
      <c r="C19" s="107"/>
      <c r="D19" s="107"/>
      <c r="E19" s="107"/>
      <c r="F19" s="130">
        <v>-6313675</v>
      </c>
      <c r="G19" s="119">
        <v>593</v>
      </c>
    </row>
    <row r="20" spans="1:7" ht="15.75" thickTop="1" x14ac:dyDescent="0.25">
      <c r="A20" s="119"/>
      <c r="B20" s="107"/>
      <c r="C20" s="107"/>
      <c r="D20" s="107"/>
      <c r="E20" s="107"/>
      <c r="F20" s="123"/>
      <c r="G20" s="107"/>
    </row>
    <row r="21" spans="1:7" x14ac:dyDescent="0.25">
      <c r="A21" s="119">
        <v>11</v>
      </c>
      <c r="B21" s="124" t="s">
        <v>139</v>
      </c>
      <c r="C21" s="107"/>
      <c r="D21" s="107"/>
      <c r="E21" s="107"/>
      <c r="F21" s="120"/>
      <c r="G21" s="107"/>
    </row>
    <row r="22" spans="1:7" x14ac:dyDescent="0.25">
      <c r="A22" s="119">
        <v>12</v>
      </c>
      <c r="B22" s="117" t="s">
        <v>140</v>
      </c>
      <c r="C22" s="107"/>
      <c r="D22" s="107"/>
      <c r="E22" s="107"/>
      <c r="F22" s="120" t="s">
        <v>133</v>
      </c>
      <c r="G22" s="107"/>
    </row>
    <row r="23" spans="1:7" x14ac:dyDescent="0.25">
      <c r="A23" s="119">
        <v>13</v>
      </c>
      <c r="B23" s="120" t="s">
        <v>141</v>
      </c>
      <c r="C23" s="107"/>
      <c r="D23" s="107"/>
      <c r="E23" s="107"/>
      <c r="F23" s="126">
        <v>89872</v>
      </c>
      <c r="G23" s="107"/>
    </row>
    <row r="24" spans="1:7" x14ac:dyDescent="0.25">
      <c r="A24" s="119">
        <v>14</v>
      </c>
      <c r="B24" s="120" t="s">
        <v>135</v>
      </c>
      <c r="C24" s="107"/>
      <c r="D24" s="107"/>
      <c r="E24" s="107"/>
      <c r="F24" s="121">
        <v>89872</v>
      </c>
      <c r="G24" s="107"/>
    </row>
    <row r="25" spans="1:7" x14ac:dyDescent="0.25">
      <c r="A25" s="119">
        <v>15</v>
      </c>
      <c r="B25" s="120" t="s">
        <v>142</v>
      </c>
      <c r="C25" s="107"/>
      <c r="D25" s="107"/>
      <c r="E25" s="107"/>
      <c r="F25" s="129" t="s">
        <v>143</v>
      </c>
      <c r="G25" s="119"/>
    </row>
    <row r="26" spans="1:7" x14ac:dyDescent="0.25">
      <c r="A26" s="119">
        <v>16</v>
      </c>
      <c r="B26" s="120" t="s">
        <v>144</v>
      </c>
      <c r="C26" s="128"/>
      <c r="D26" s="128"/>
      <c r="E26" s="128"/>
      <c r="F26" s="129">
        <v>0.98499999999999999</v>
      </c>
      <c r="G26" s="107"/>
    </row>
    <row r="27" spans="1:7" ht="15.75" thickBot="1" x14ac:dyDescent="0.3">
      <c r="A27" s="119">
        <v>17</v>
      </c>
      <c r="B27" s="120" t="s">
        <v>145</v>
      </c>
      <c r="C27" s="120"/>
      <c r="D27" s="120"/>
      <c r="E27" s="120"/>
      <c r="F27" s="131" t="s">
        <v>146</v>
      </c>
      <c r="G27" s="119">
        <v>571</v>
      </c>
    </row>
    <row r="28" spans="1:7" ht="15.75" thickTop="1" x14ac:dyDescent="0.25">
      <c r="A28" s="107"/>
      <c r="B28" s="107"/>
      <c r="C28" s="107"/>
      <c r="D28" s="107"/>
      <c r="E28" s="107"/>
      <c r="F28" s="123"/>
      <c r="G28" s="107"/>
    </row>
    <row r="29" spans="1:7" x14ac:dyDescent="0.25">
      <c r="A29" s="107"/>
      <c r="B29" s="107"/>
      <c r="C29" s="107"/>
      <c r="D29" s="107"/>
      <c r="E29" s="107"/>
      <c r="F29" s="107"/>
      <c r="G29" s="107"/>
    </row>
    <row r="30" spans="1:7" x14ac:dyDescent="0.25">
      <c r="A30" s="132" t="s">
        <v>147</v>
      </c>
      <c r="B30" s="133" t="s">
        <v>148</v>
      </c>
      <c r="C30" s="107"/>
      <c r="D30" s="107"/>
      <c r="E30" s="107"/>
      <c r="F30" s="107"/>
      <c r="G30" s="107"/>
    </row>
    <row r="31" spans="1:7" x14ac:dyDescent="0.25">
      <c r="A31" s="107"/>
      <c r="B31" s="107"/>
      <c r="C31" s="107"/>
      <c r="D31" s="107"/>
      <c r="E31" s="107"/>
      <c r="F31" s="107"/>
      <c r="G31" s="107"/>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99FFCC"/>
    <pageSetUpPr fitToPage="1"/>
  </sheetPr>
  <dimension ref="A1:Y109"/>
  <sheetViews>
    <sheetView topLeftCell="A41" zoomScale="90" zoomScaleNormal="90" workbookViewId="0">
      <selection activeCell="K73" sqref="K73"/>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49"/>
      <c r="F1" s="49"/>
      <c r="I1" s="50"/>
    </row>
    <row r="2" spans="2:25" ht="20.25" thickBot="1" x14ac:dyDescent="0.3">
      <c r="B2" s="51" t="s">
        <v>6</v>
      </c>
      <c r="C2" s="49"/>
      <c r="D2" s="49"/>
      <c r="E2" s="49"/>
      <c r="F2" s="49"/>
      <c r="G2" s="104" t="s">
        <v>95</v>
      </c>
      <c r="H2" s="104"/>
      <c r="I2" s="104"/>
      <c r="J2" s="104"/>
      <c r="K2" s="104"/>
      <c r="M2" s="104" t="s">
        <v>96</v>
      </c>
      <c r="N2" s="104"/>
      <c r="O2" s="104"/>
      <c r="P2" s="104"/>
      <c r="Q2" s="104"/>
      <c r="R2" s="4"/>
      <c r="S2" s="4"/>
      <c r="T2" s="4"/>
      <c r="U2" s="4"/>
      <c r="V2" s="4"/>
      <c r="W2" s="4"/>
    </row>
    <row r="3" spans="2:25" ht="19.5" x14ac:dyDescent="0.25">
      <c r="B3" s="51" t="s">
        <v>7</v>
      </c>
      <c r="C3" s="49"/>
      <c r="D3" s="49"/>
    </row>
    <row r="4" spans="2:25" x14ac:dyDescent="0.2">
      <c r="B4" s="49" t="s">
        <v>97</v>
      </c>
      <c r="C4" s="49"/>
      <c r="D4" s="49"/>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2"/>
      <c r="C5" s="49"/>
      <c r="D5" s="52"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98</v>
      </c>
      <c r="D6" s="5"/>
      <c r="G6" s="7"/>
      <c r="H6" s="7" t="s">
        <v>19</v>
      </c>
      <c r="I6" s="7"/>
      <c r="J6" s="7"/>
      <c r="K6" s="7"/>
      <c r="M6" s="7"/>
      <c r="N6" s="7" t="s">
        <v>19</v>
      </c>
      <c r="O6" s="7"/>
      <c r="P6" s="7"/>
      <c r="Q6" s="7"/>
      <c r="R6" s="7"/>
      <c r="S6" s="7"/>
      <c r="T6" s="7"/>
      <c r="U6" s="7"/>
      <c r="V6" s="7"/>
      <c r="W6" s="7"/>
    </row>
    <row r="7" spans="2:25" ht="13.5" thickBot="1" x14ac:dyDescent="0.25">
      <c r="B7" s="49"/>
      <c r="G7" s="48" t="s">
        <v>20</v>
      </c>
      <c r="H7" s="48" t="s">
        <v>21</v>
      </c>
      <c r="I7" s="48" t="s">
        <v>22</v>
      </c>
      <c r="J7" s="48"/>
      <c r="K7" s="48" t="s">
        <v>23</v>
      </c>
      <c r="M7" s="48" t="s">
        <v>20</v>
      </c>
      <c r="N7" s="48" t="s">
        <v>21</v>
      </c>
      <c r="O7" s="48" t="s">
        <v>22</v>
      </c>
      <c r="P7" s="48"/>
      <c r="Q7" s="48" t="s">
        <v>23</v>
      </c>
      <c r="R7" s="4"/>
      <c r="S7" s="4"/>
      <c r="T7" s="4"/>
      <c r="U7" s="4"/>
      <c r="V7" s="4"/>
      <c r="W7" s="4"/>
    </row>
    <row r="8" spans="2:25" ht="5.0999999999999996" customHeight="1" x14ac:dyDescent="0.2">
      <c r="B8" s="49"/>
      <c r="G8" s="7"/>
      <c r="H8" s="7"/>
      <c r="I8" s="7"/>
      <c r="J8" s="7"/>
      <c r="K8" s="7"/>
      <c r="M8" s="7"/>
      <c r="N8" s="7"/>
      <c r="O8" s="7"/>
      <c r="P8" s="7"/>
      <c r="Q8" s="7"/>
      <c r="R8" s="7"/>
      <c r="S8" s="7"/>
      <c r="T8" s="7"/>
      <c r="U8" s="7"/>
      <c r="V8" s="7"/>
      <c r="W8" s="7"/>
    </row>
    <row r="9" spans="2:25" ht="15" thickBot="1" x14ac:dyDescent="0.25">
      <c r="B9" s="53" t="s">
        <v>24</v>
      </c>
      <c r="D9" s="6" t="s">
        <v>25</v>
      </c>
      <c r="E9" s="8" t="s">
        <v>26</v>
      </c>
      <c r="G9" s="9">
        <v>27289</v>
      </c>
      <c r="H9" s="9">
        <v>2616</v>
      </c>
      <c r="I9" s="9">
        <v>58408</v>
      </c>
      <c r="J9" s="9"/>
      <c r="K9" s="9">
        <f>J9+I9+H9+G9</f>
        <v>88313</v>
      </c>
      <c r="M9" s="9">
        <v>0</v>
      </c>
      <c r="N9" s="9">
        <v>0</v>
      </c>
      <c r="O9" s="9">
        <v>0</v>
      </c>
      <c r="P9" s="9">
        <v>0</v>
      </c>
      <c r="Q9" s="9">
        <f>SUM(M9:P9)</f>
        <v>0</v>
      </c>
      <c r="R9" s="9"/>
      <c r="S9" s="9"/>
      <c r="T9" s="9"/>
      <c r="U9" s="9"/>
      <c r="V9" s="9"/>
      <c r="W9" s="9"/>
    </row>
    <row r="10" spans="2:25" x14ac:dyDescent="0.2">
      <c r="B10" s="49" t="s">
        <v>27</v>
      </c>
      <c r="E10" s="8" t="s">
        <v>28</v>
      </c>
      <c r="G10" s="10">
        <v>468.2</v>
      </c>
      <c r="H10" s="10">
        <v>45</v>
      </c>
      <c r="I10" s="10">
        <v>1000.2</v>
      </c>
      <c r="J10" s="10">
        <v>0</v>
      </c>
      <c r="K10" s="10"/>
      <c r="M10" s="10">
        <f>G10</f>
        <v>468.2</v>
      </c>
      <c r="N10" s="10">
        <f>H10</f>
        <v>45</v>
      </c>
      <c r="O10" s="10">
        <f>I10</f>
        <v>1000.2</v>
      </c>
      <c r="P10" s="10">
        <v>0</v>
      </c>
      <c r="Q10" s="10">
        <f>SUM(M10:P10)</f>
        <v>1513.4</v>
      </c>
      <c r="R10" s="20"/>
      <c r="S10" s="20"/>
      <c r="T10" s="20"/>
      <c r="U10" s="20"/>
      <c r="V10" s="20"/>
      <c r="W10" s="20"/>
    </row>
    <row r="11" spans="2:25" x14ac:dyDescent="0.2">
      <c r="E11" s="8"/>
    </row>
    <row r="12" spans="2:25" ht="13.5" thickBot="1" x14ac:dyDescent="0.25">
      <c r="D12" s="6" t="s">
        <v>29</v>
      </c>
      <c r="E12" s="8" t="s">
        <v>26</v>
      </c>
      <c r="G12" s="9">
        <v>82142</v>
      </c>
      <c r="H12" s="9">
        <v>8214</v>
      </c>
      <c r="I12" s="9">
        <v>183450</v>
      </c>
      <c r="J12" s="9"/>
      <c r="K12" s="9">
        <f>J12+I12+H12+G12</f>
        <v>273806</v>
      </c>
      <c r="M12" s="9">
        <f t="shared" ref="M12:P13" si="0">G12</f>
        <v>82142</v>
      </c>
      <c r="N12" s="9">
        <f t="shared" si="0"/>
        <v>8214</v>
      </c>
      <c r="O12" s="9">
        <f t="shared" si="0"/>
        <v>183450</v>
      </c>
      <c r="P12" s="9">
        <f t="shared" si="0"/>
        <v>0</v>
      </c>
      <c r="Q12" s="9">
        <f>SUM(M12:P12)</f>
        <v>273806</v>
      </c>
      <c r="R12" s="9"/>
      <c r="S12" s="9"/>
      <c r="T12" s="54">
        <f>223294-K12</f>
        <v>-50512</v>
      </c>
      <c r="U12" s="9"/>
      <c r="V12" s="9"/>
      <c r="W12" s="9"/>
    </row>
    <row r="13" spans="2:25" x14ac:dyDescent="0.2">
      <c r="E13" s="8" t="s">
        <v>28</v>
      </c>
      <c r="G13" s="10">
        <v>1301</v>
      </c>
      <c r="H13" s="10">
        <v>130.4</v>
      </c>
      <c r="I13" s="10">
        <v>2905.7</v>
      </c>
      <c r="J13" s="10">
        <v>0</v>
      </c>
      <c r="K13" s="10">
        <f>G13+H13+I13+J13</f>
        <v>4337.1000000000004</v>
      </c>
      <c r="M13" s="10">
        <f t="shared" si="0"/>
        <v>1301</v>
      </c>
      <c r="N13" s="10">
        <f t="shared" si="0"/>
        <v>130.4</v>
      </c>
      <c r="O13" s="10">
        <f t="shared" si="0"/>
        <v>2905.7</v>
      </c>
      <c r="P13" s="10">
        <v>0</v>
      </c>
      <c r="Q13" s="10">
        <f>SUM(M13:P13)</f>
        <v>4337.1000000000004</v>
      </c>
      <c r="R13" s="20"/>
      <c r="S13" s="20"/>
      <c r="T13" s="55"/>
      <c r="U13" s="20"/>
      <c r="V13" s="20"/>
      <c r="W13" s="20"/>
    </row>
    <row r="14" spans="2:25" x14ac:dyDescent="0.2">
      <c r="T14" s="56"/>
      <c r="Y14" s="11" t="s">
        <v>30</v>
      </c>
    </row>
    <row r="15" spans="2:25" x14ac:dyDescent="0.2">
      <c r="D15" s="6" t="s">
        <v>31</v>
      </c>
      <c r="E15" s="8" t="s">
        <v>32</v>
      </c>
      <c r="G15" s="9">
        <v>10250</v>
      </c>
      <c r="H15" s="9">
        <v>982</v>
      </c>
      <c r="I15" s="9">
        <f>21804+120</f>
        <v>21924</v>
      </c>
      <c r="J15" s="9"/>
      <c r="K15" s="9">
        <f>G15+H15+I15+J15-0.45</f>
        <v>33155.550000000003</v>
      </c>
      <c r="M15" s="9">
        <v>0</v>
      </c>
      <c r="N15" s="9">
        <v>0</v>
      </c>
      <c r="O15" s="9">
        <v>0</v>
      </c>
      <c r="P15" s="9">
        <v>0</v>
      </c>
      <c r="Q15" s="9">
        <f t="shared" ref="Q15:Q20" si="1">SUM(M15:P15)</f>
        <v>0</v>
      </c>
      <c r="R15" s="9"/>
      <c r="S15" s="9"/>
      <c r="T15" s="54"/>
      <c r="U15" s="9"/>
      <c r="V15" s="9"/>
      <c r="W15" s="9"/>
    </row>
    <row r="16" spans="2:25" x14ac:dyDescent="0.2">
      <c r="D16" s="6" t="s">
        <v>33</v>
      </c>
      <c r="E16" s="8" t="s">
        <v>34</v>
      </c>
      <c r="G16" s="9">
        <v>9282</v>
      </c>
      <c r="H16" s="9">
        <v>928</v>
      </c>
      <c r="I16" s="9">
        <f>33+20697</f>
        <v>20730</v>
      </c>
      <c r="J16" s="9"/>
      <c r="K16" s="9">
        <f t="shared" ref="K16:K20" si="2">G16+H16+I16+J16</f>
        <v>30940</v>
      </c>
      <c r="M16" s="9">
        <f>G16</f>
        <v>9282</v>
      </c>
      <c r="N16" s="9">
        <f>H16</f>
        <v>928</v>
      </c>
      <c r="O16" s="9">
        <f>I16</f>
        <v>20730</v>
      </c>
      <c r="P16" s="9">
        <f>J16</f>
        <v>0</v>
      </c>
      <c r="Q16" s="9">
        <f t="shared" si="1"/>
        <v>30940</v>
      </c>
      <c r="R16" s="9"/>
      <c r="S16" s="9"/>
      <c r="T16" s="54"/>
      <c r="U16" s="9"/>
      <c r="V16" s="9"/>
      <c r="W16" s="9"/>
      <c r="Y16" s="3" t="s">
        <v>35</v>
      </c>
    </row>
    <row r="17" spans="2:25" x14ac:dyDescent="0.2">
      <c r="D17" s="57"/>
      <c r="E17" s="8" t="s">
        <v>36</v>
      </c>
      <c r="G17" s="9">
        <v>996</v>
      </c>
      <c r="H17" s="9">
        <v>99</v>
      </c>
      <c r="I17" s="9">
        <f>7+2196</f>
        <v>2203</v>
      </c>
      <c r="J17" s="9"/>
      <c r="K17" s="9">
        <f t="shared" si="2"/>
        <v>3298</v>
      </c>
      <c r="M17" s="9">
        <v>0</v>
      </c>
      <c r="N17" s="9">
        <v>0</v>
      </c>
      <c r="O17" s="9">
        <v>0</v>
      </c>
      <c r="P17" s="9">
        <v>0</v>
      </c>
      <c r="Q17" s="9">
        <f t="shared" si="1"/>
        <v>0</v>
      </c>
      <c r="R17" s="9"/>
      <c r="S17" s="9"/>
      <c r="T17" s="54"/>
      <c r="U17" s="9"/>
      <c r="V17" s="9"/>
      <c r="W17" s="9"/>
      <c r="Y17" s="12">
        <v>614800</v>
      </c>
    </row>
    <row r="18" spans="2:25" x14ac:dyDescent="0.2">
      <c r="E18" s="8" t="s">
        <v>37</v>
      </c>
      <c r="G18" s="9">
        <v>10683</v>
      </c>
      <c r="H18" s="9">
        <v>1041</v>
      </c>
      <c r="I18" s="9">
        <v>23681</v>
      </c>
      <c r="J18" s="9"/>
      <c r="K18" s="9">
        <f>G18+H18+I18+J18-0.45</f>
        <v>35404.550000000003</v>
      </c>
      <c r="M18" s="9">
        <v>0</v>
      </c>
      <c r="N18" s="9">
        <v>0</v>
      </c>
      <c r="O18" s="9">
        <v>0</v>
      </c>
      <c r="P18" s="9">
        <v>0</v>
      </c>
      <c r="Q18" s="9">
        <f t="shared" si="1"/>
        <v>0</v>
      </c>
      <c r="R18" s="9"/>
      <c r="S18" s="9"/>
      <c r="T18" s="54"/>
      <c r="U18" s="9"/>
      <c r="V18" s="9"/>
      <c r="W18" s="9"/>
    </row>
    <row r="19" spans="2:25" x14ac:dyDescent="0.2">
      <c r="E19" s="8" t="s">
        <v>38</v>
      </c>
      <c r="G19" s="9">
        <v>194667</v>
      </c>
      <c r="H19" s="9">
        <v>13393</v>
      </c>
      <c r="I19" s="9"/>
      <c r="J19" s="9"/>
      <c r="K19" s="9">
        <f>G19+H19+I19+J19-0.45</f>
        <v>208059.55</v>
      </c>
      <c r="M19" s="9">
        <f>G19</f>
        <v>194667</v>
      </c>
      <c r="N19" s="9">
        <f>H19</f>
        <v>13393</v>
      </c>
      <c r="O19" s="9">
        <f>I19</f>
        <v>0</v>
      </c>
      <c r="P19" s="9">
        <f>J19</f>
        <v>0</v>
      </c>
      <c r="Q19" s="9">
        <f t="shared" si="1"/>
        <v>208060</v>
      </c>
      <c r="R19" s="9"/>
      <c r="S19" s="9"/>
      <c r="T19" s="54"/>
      <c r="U19" s="9"/>
      <c r="V19" s="9"/>
      <c r="W19" s="9"/>
      <c r="Y19" s="3" t="s">
        <v>39</v>
      </c>
    </row>
    <row r="20" spans="2:25" x14ac:dyDescent="0.2">
      <c r="E20" s="8" t="s">
        <v>40</v>
      </c>
      <c r="G20" s="13">
        <v>8633</v>
      </c>
      <c r="H20" s="13">
        <v>797</v>
      </c>
      <c r="I20" s="13">
        <v>17358</v>
      </c>
      <c r="J20" s="13"/>
      <c r="K20" s="13">
        <f t="shared" si="2"/>
        <v>26788</v>
      </c>
      <c r="M20" s="9">
        <v>0</v>
      </c>
      <c r="N20" s="9">
        <v>0</v>
      </c>
      <c r="O20" s="9">
        <v>0</v>
      </c>
      <c r="P20" s="9">
        <v>0</v>
      </c>
      <c r="Q20" s="9">
        <f t="shared" si="1"/>
        <v>0</v>
      </c>
      <c r="R20" s="9"/>
      <c r="S20" s="9"/>
      <c r="T20" s="54"/>
      <c r="U20" s="9"/>
      <c r="V20" s="9"/>
      <c r="W20" s="9"/>
      <c r="Y20" s="12">
        <f>31030+1679</f>
        <v>32709</v>
      </c>
    </row>
    <row r="21" spans="2:25" x14ac:dyDescent="0.2">
      <c r="D21" s="49" t="s">
        <v>41</v>
      </c>
      <c r="E21" s="8"/>
      <c r="G21" s="14">
        <f>SUM(G15:G20)+G12+G9</f>
        <v>343942</v>
      </c>
      <c r="H21" s="14">
        <f>SUM(H15:H20)+H12+H9</f>
        <v>28070</v>
      </c>
      <c r="I21" s="14">
        <f>SUM(I15:I20)+I12+I9</f>
        <v>327754</v>
      </c>
      <c r="J21" s="14">
        <f>SUM(J15:J20)+J12+J9</f>
        <v>0</v>
      </c>
      <c r="K21" s="14">
        <f>SUM(K15:K20)+K12+K9</f>
        <v>699764.65</v>
      </c>
      <c r="M21" s="15">
        <f>M9+M12+SUM(M15:M20)</f>
        <v>286091</v>
      </c>
      <c r="N21" s="15">
        <f>N9+N12+SUM(N15:N20)</f>
        <v>22535</v>
      </c>
      <c r="O21" s="15">
        <f>O9+O12+SUM(O15:O20)</f>
        <v>204180</v>
      </c>
      <c r="P21" s="15">
        <f>P9+P12+SUM(P15:P20)</f>
        <v>0</v>
      </c>
      <c r="Q21" s="15">
        <f>Q9+Q12+SUM(Q15:Q20)</f>
        <v>512806</v>
      </c>
      <c r="R21" s="58"/>
      <c r="S21" s="58"/>
      <c r="T21" s="59"/>
      <c r="U21" s="58"/>
      <c r="V21" s="58"/>
      <c r="W21" s="58"/>
    </row>
    <row r="22" spans="2:25" x14ac:dyDescent="0.2">
      <c r="E22" s="8"/>
      <c r="G22" s="9"/>
      <c r="H22" s="9"/>
      <c r="I22" s="9"/>
      <c r="J22" s="9"/>
      <c r="K22" s="9"/>
      <c r="M22" s="16"/>
      <c r="N22" s="9"/>
      <c r="O22" s="9"/>
      <c r="P22" s="9"/>
      <c r="Q22" s="9"/>
      <c r="R22" s="9"/>
      <c r="S22" s="9"/>
      <c r="T22" s="54"/>
      <c r="U22" s="9"/>
      <c r="V22" s="9"/>
      <c r="W22" s="9"/>
      <c r="Y22" s="3" t="s">
        <v>42</v>
      </c>
    </row>
    <row r="23" spans="2:25" x14ac:dyDescent="0.2">
      <c r="B23" s="49" t="s">
        <v>43</v>
      </c>
      <c r="E23" s="8" t="s">
        <v>44</v>
      </c>
      <c r="G23" s="13">
        <v>36739</v>
      </c>
      <c r="H23" s="13">
        <v>3418</v>
      </c>
      <c r="I23" s="13">
        <v>82227</v>
      </c>
      <c r="J23" s="13"/>
      <c r="K23" s="13">
        <f>J23+I23+H23+G23</f>
        <v>122384</v>
      </c>
      <c r="M23" s="13">
        <f>$Q$23*G$83</f>
        <v>1953.3465790500975</v>
      </c>
      <c r="N23" s="13">
        <f>$Q$23*H$83</f>
        <v>195.33465790500975</v>
      </c>
      <c r="O23" s="13">
        <f>$Q$23*I$83</f>
        <v>4362.4740265452183</v>
      </c>
      <c r="P23" s="13">
        <v>0</v>
      </c>
      <c r="Q23" s="13">
        <f>K23*Y23</f>
        <v>6511.1552635003254</v>
      </c>
      <c r="R23" s="17"/>
      <c r="S23" s="17"/>
      <c r="T23" s="18">
        <f>251603.59-K23</f>
        <v>129219.59</v>
      </c>
      <c r="U23" s="17"/>
      <c r="V23" s="17"/>
      <c r="W23" s="17"/>
      <c r="Y23" s="19">
        <f>Y20/Y17</f>
        <v>5.320266753415745E-2</v>
      </c>
    </row>
    <row r="24" spans="2:25" x14ac:dyDescent="0.2">
      <c r="B24" s="49"/>
      <c r="D24" s="49" t="s">
        <v>45</v>
      </c>
      <c r="E24" s="8"/>
      <c r="G24" s="14">
        <f>G23</f>
        <v>36739</v>
      </c>
      <c r="H24" s="14">
        <f>H23</f>
        <v>3418</v>
      </c>
      <c r="I24" s="14">
        <f>I23</f>
        <v>82227</v>
      </c>
      <c r="J24" s="14"/>
      <c r="K24" s="14">
        <f>K23</f>
        <v>122384</v>
      </c>
      <c r="M24" s="14">
        <f>SUM(M23)</f>
        <v>1953.3465790500975</v>
      </c>
      <c r="N24" s="14">
        <f>SUM(N23)</f>
        <v>195.33465790500975</v>
      </c>
      <c r="O24" s="14">
        <f>SUM(O23)</f>
        <v>4362.4740265452183</v>
      </c>
      <c r="P24" s="14">
        <f>SUM(P23)</f>
        <v>0</v>
      </c>
      <c r="Q24" s="14">
        <f>SUM(M24:P24)</f>
        <v>6511.1552635003254</v>
      </c>
      <c r="R24" s="14"/>
      <c r="S24" s="14"/>
      <c r="T24" s="60"/>
      <c r="U24" s="14"/>
      <c r="V24" s="14"/>
      <c r="W24" s="14"/>
    </row>
    <row r="25" spans="2:25" x14ac:dyDescent="0.2">
      <c r="B25" s="49"/>
    </row>
    <row r="26" spans="2:25" x14ac:dyDescent="0.2">
      <c r="B26" s="49" t="s">
        <v>46</v>
      </c>
      <c r="E26" s="8" t="s">
        <v>47</v>
      </c>
      <c r="G26" s="9">
        <v>652</v>
      </c>
      <c r="H26" s="9">
        <v>55</v>
      </c>
      <c r="I26" s="9">
        <v>1454</v>
      </c>
      <c r="J26" s="9"/>
      <c r="K26" s="9">
        <f>G26+H26+I26+J26</f>
        <v>2161</v>
      </c>
      <c r="M26" s="17">
        <v>0</v>
      </c>
      <c r="N26" s="17">
        <v>0</v>
      </c>
      <c r="O26" s="17">
        <v>0</v>
      </c>
      <c r="P26" s="9">
        <v>0</v>
      </c>
      <c r="Q26" s="9">
        <f t="shared" ref="Q26:Q31" si="3">SUM(M26:P26)</f>
        <v>0</v>
      </c>
      <c r="R26" s="9"/>
      <c r="S26" s="9"/>
      <c r="T26" s="9"/>
      <c r="U26" s="9"/>
      <c r="V26" s="9"/>
      <c r="W26" s="9"/>
    </row>
    <row r="27" spans="2:25" x14ac:dyDescent="0.2">
      <c r="B27" s="49"/>
      <c r="E27" s="8" t="s">
        <v>48</v>
      </c>
      <c r="G27" s="9">
        <v>1846</v>
      </c>
      <c r="H27" s="9">
        <v>185</v>
      </c>
      <c r="I27" s="9">
        <v>4123</v>
      </c>
      <c r="J27" s="9"/>
      <c r="K27" s="9">
        <f>G27+H27+I27+J27</f>
        <v>6154</v>
      </c>
      <c r="M27" s="9">
        <f>G27</f>
        <v>1846</v>
      </c>
      <c r="N27" s="9">
        <f>H27</f>
        <v>185</v>
      </c>
      <c r="O27" s="9">
        <f>I27</f>
        <v>4123</v>
      </c>
      <c r="P27" s="9">
        <f>J27</f>
        <v>0</v>
      </c>
      <c r="Q27" s="9">
        <f>SUM(M27:P27)</f>
        <v>6154</v>
      </c>
      <c r="R27" s="9"/>
      <c r="S27" s="9"/>
      <c r="T27" s="9"/>
      <c r="U27" s="9"/>
      <c r="V27" s="9"/>
      <c r="W27" s="9"/>
    </row>
    <row r="28" spans="2:25" x14ac:dyDescent="0.2">
      <c r="B28" s="49"/>
      <c r="E28" s="6" t="s">
        <v>49</v>
      </c>
      <c r="G28" s="9"/>
      <c r="H28" s="9"/>
      <c r="I28" s="9"/>
      <c r="J28" s="9"/>
      <c r="K28" s="9">
        <f>G28+H28+I28+J28</f>
        <v>0</v>
      </c>
      <c r="M28" s="9">
        <v>0</v>
      </c>
      <c r="N28" s="9">
        <v>0</v>
      </c>
      <c r="O28" s="9">
        <v>0</v>
      </c>
      <c r="P28" s="9">
        <v>0</v>
      </c>
      <c r="Q28" s="9">
        <f t="shared" si="3"/>
        <v>0</v>
      </c>
      <c r="R28" s="9"/>
      <c r="S28" s="9"/>
      <c r="T28" s="9"/>
      <c r="U28" s="9"/>
      <c r="V28" s="9"/>
      <c r="W28" s="9"/>
    </row>
    <row r="29" spans="2:25" x14ac:dyDescent="0.2">
      <c r="B29" s="49"/>
      <c r="E29" s="8" t="s">
        <v>50</v>
      </c>
      <c r="G29" s="9">
        <v>17431</v>
      </c>
      <c r="H29" s="9">
        <v>1743</v>
      </c>
      <c r="I29" s="9">
        <v>38929</v>
      </c>
      <c r="J29" s="9"/>
      <c r="K29" s="9">
        <f>G29+H29+I29+J29</f>
        <v>58103</v>
      </c>
      <c r="M29" s="9">
        <f t="shared" ref="M29:P30" si="4">G29</f>
        <v>17431</v>
      </c>
      <c r="N29" s="9">
        <f t="shared" si="4"/>
        <v>1743</v>
      </c>
      <c r="O29" s="9">
        <f t="shared" si="4"/>
        <v>38929</v>
      </c>
      <c r="P29" s="9">
        <f t="shared" si="4"/>
        <v>0</v>
      </c>
      <c r="Q29" s="9">
        <f t="shared" si="3"/>
        <v>58103</v>
      </c>
      <c r="R29" s="9"/>
      <c r="S29" s="9"/>
      <c r="T29" s="9"/>
      <c r="U29" s="9"/>
      <c r="V29" s="9"/>
      <c r="W29" s="9"/>
    </row>
    <row r="30" spans="2:25" x14ac:dyDescent="0.2">
      <c r="B30" s="49"/>
      <c r="E30" s="8" t="s">
        <v>51</v>
      </c>
      <c r="G30" s="13">
        <v>1243</v>
      </c>
      <c r="H30" s="13">
        <v>97</v>
      </c>
      <c r="I30" s="13">
        <v>2758</v>
      </c>
      <c r="J30" s="13"/>
      <c r="K30" s="13">
        <f>G30+H30+I30+J30</f>
        <v>4098</v>
      </c>
      <c r="M30" s="13">
        <f t="shared" si="4"/>
        <v>1243</v>
      </c>
      <c r="N30" s="13">
        <f t="shared" si="4"/>
        <v>97</v>
      </c>
      <c r="O30" s="13">
        <f t="shared" si="4"/>
        <v>2758</v>
      </c>
      <c r="P30" s="13">
        <f>J30</f>
        <v>0</v>
      </c>
      <c r="Q30" s="13">
        <f t="shared" si="3"/>
        <v>4098</v>
      </c>
      <c r="R30" s="17"/>
      <c r="S30" s="17"/>
      <c r="T30" s="17"/>
      <c r="U30" s="17"/>
      <c r="V30" s="17"/>
      <c r="W30" s="17"/>
    </row>
    <row r="31" spans="2:25" x14ac:dyDescent="0.2">
      <c r="B31" s="49"/>
      <c r="D31" s="49" t="s">
        <v>52</v>
      </c>
      <c r="G31" s="14">
        <f>SUM(G26:G30)</f>
        <v>21172</v>
      </c>
      <c r="H31" s="14">
        <f>SUM(H26:H30)</f>
        <v>2080</v>
      </c>
      <c r="I31" s="14">
        <f>SUM(I26:I30)</f>
        <v>47264</v>
      </c>
      <c r="J31" s="14"/>
      <c r="K31" s="14">
        <f>SUM(K26:K30)</f>
        <v>70516</v>
      </c>
      <c r="M31" s="14">
        <f>SUM(M26:M30)</f>
        <v>20520</v>
      </c>
      <c r="N31" s="14">
        <f>SUM(N26:N30)</f>
        <v>2025</v>
      </c>
      <c r="O31" s="14">
        <f>SUM(O26:O30)</f>
        <v>45810</v>
      </c>
      <c r="P31" s="14">
        <f>SUM(P26:P30)</f>
        <v>0</v>
      </c>
      <c r="Q31" s="14">
        <f t="shared" si="3"/>
        <v>68355</v>
      </c>
      <c r="R31" s="14"/>
      <c r="S31" s="14"/>
      <c r="T31" s="14"/>
      <c r="U31" s="14"/>
      <c r="V31" s="14"/>
      <c r="W31" s="14"/>
    </row>
    <row r="32" spans="2:25" x14ac:dyDescent="0.2">
      <c r="B32" s="49"/>
    </row>
    <row r="33" spans="2:23" x14ac:dyDescent="0.2">
      <c r="B33" s="49" t="s">
        <v>53</v>
      </c>
      <c r="D33" s="49" t="s">
        <v>54</v>
      </c>
      <c r="E33" s="6" t="s">
        <v>55</v>
      </c>
      <c r="G33" s="9">
        <v>51842</v>
      </c>
      <c r="H33" s="9"/>
      <c r="I33" s="9"/>
      <c r="J33" s="9"/>
      <c r="K33" s="9">
        <f>G33+H33+I33+J33</f>
        <v>51842</v>
      </c>
      <c r="M33" s="9">
        <f t="shared" ref="M33:P34" si="5">G33</f>
        <v>51842</v>
      </c>
      <c r="N33" s="9">
        <f t="shared" si="5"/>
        <v>0</v>
      </c>
      <c r="O33" s="9">
        <f t="shared" si="5"/>
        <v>0</v>
      </c>
      <c r="P33" s="9">
        <f t="shared" si="5"/>
        <v>0</v>
      </c>
      <c r="Q33" s="9">
        <f>SUM(M33:P33)</f>
        <v>51842</v>
      </c>
      <c r="R33" s="9"/>
      <c r="S33" s="9"/>
      <c r="T33" s="9"/>
      <c r="U33" s="9"/>
      <c r="V33" s="9"/>
      <c r="W33" s="9"/>
    </row>
    <row r="34" spans="2:23" x14ac:dyDescent="0.2">
      <c r="B34" s="49" t="s">
        <v>56</v>
      </c>
      <c r="D34" s="49" t="s">
        <v>57</v>
      </c>
      <c r="E34" s="6" t="s">
        <v>58</v>
      </c>
      <c r="G34" s="9">
        <v>1392</v>
      </c>
      <c r="H34" s="9"/>
      <c r="I34" s="9"/>
      <c r="J34" s="9"/>
      <c r="K34" s="9">
        <f t="shared" ref="K34:K42" si="6">G34+H34+I34+J34</f>
        <v>1392</v>
      </c>
      <c r="M34" s="9">
        <f t="shared" si="5"/>
        <v>1392</v>
      </c>
      <c r="N34" s="9">
        <f t="shared" si="5"/>
        <v>0</v>
      </c>
      <c r="O34" s="9">
        <f t="shared" si="5"/>
        <v>0</v>
      </c>
      <c r="P34" s="9">
        <f t="shared" si="5"/>
        <v>0</v>
      </c>
      <c r="Q34" s="9">
        <f>SUM(M34:P34)</f>
        <v>1392</v>
      </c>
      <c r="R34" s="9"/>
      <c r="S34" s="9"/>
      <c r="T34" s="9"/>
      <c r="U34" s="9"/>
      <c r="V34" s="9"/>
      <c r="W34" s="9"/>
    </row>
    <row r="35" spans="2:23" x14ac:dyDescent="0.2">
      <c r="D35" s="49"/>
      <c r="K35" s="9">
        <f t="shared" si="6"/>
        <v>0</v>
      </c>
      <c r="Q35" s="9"/>
      <c r="R35" s="9"/>
      <c r="S35" s="9"/>
      <c r="T35" s="9"/>
      <c r="U35" s="9"/>
      <c r="V35" s="9"/>
      <c r="W35" s="9"/>
    </row>
    <row r="36" spans="2:23" x14ac:dyDescent="0.2">
      <c r="D36" s="49" t="s">
        <v>59</v>
      </c>
      <c r="E36" s="6" t="s">
        <v>60</v>
      </c>
      <c r="G36" s="9">
        <v>9557</v>
      </c>
      <c r="H36" s="9"/>
      <c r="I36" s="9"/>
      <c r="J36" s="9"/>
      <c r="K36" s="9">
        <f t="shared" si="6"/>
        <v>9557</v>
      </c>
      <c r="M36" s="9">
        <f t="shared" ref="M36:P41" si="7">G36</f>
        <v>9557</v>
      </c>
      <c r="N36" s="9">
        <f t="shared" si="7"/>
        <v>0</v>
      </c>
      <c r="O36" s="9">
        <f t="shared" si="7"/>
        <v>0</v>
      </c>
      <c r="P36" s="9">
        <f t="shared" si="7"/>
        <v>0</v>
      </c>
      <c r="Q36" s="9">
        <f t="shared" ref="Q36:Q41" si="8">SUM(M36:P36)</f>
        <v>9557</v>
      </c>
      <c r="R36" s="9"/>
      <c r="S36" s="9"/>
      <c r="T36" s="9"/>
      <c r="U36" s="9"/>
      <c r="V36" s="9"/>
      <c r="W36" s="9"/>
    </row>
    <row r="37" spans="2:23" x14ac:dyDescent="0.2">
      <c r="D37" s="49" t="s">
        <v>61</v>
      </c>
      <c r="E37" s="6" t="s">
        <v>62</v>
      </c>
      <c r="G37" s="9">
        <v>7397</v>
      </c>
      <c r="H37" s="9"/>
      <c r="I37" s="9"/>
      <c r="J37" s="9"/>
      <c r="K37" s="9">
        <f t="shared" si="6"/>
        <v>7397</v>
      </c>
      <c r="M37" s="9">
        <f t="shared" si="7"/>
        <v>7397</v>
      </c>
      <c r="N37" s="9">
        <f t="shared" si="7"/>
        <v>0</v>
      </c>
      <c r="O37" s="9">
        <f t="shared" si="7"/>
        <v>0</v>
      </c>
      <c r="P37" s="9">
        <f t="shared" si="7"/>
        <v>0</v>
      </c>
      <c r="Q37" s="9">
        <f t="shared" si="8"/>
        <v>7397</v>
      </c>
      <c r="R37" s="9"/>
      <c r="S37" s="9"/>
      <c r="T37" s="9"/>
      <c r="U37" s="9"/>
      <c r="V37" s="9"/>
      <c r="W37" s="9"/>
    </row>
    <row r="38" spans="2:23" x14ac:dyDescent="0.2">
      <c r="D38" s="49"/>
      <c r="E38" s="6" t="s">
        <v>63</v>
      </c>
      <c r="G38" s="9">
        <v>5925</v>
      </c>
      <c r="H38" s="9"/>
      <c r="I38" s="9"/>
      <c r="J38" s="9"/>
      <c r="K38" s="9">
        <f t="shared" si="6"/>
        <v>5925</v>
      </c>
      <c r="M38" s="9">
        <f t="shared" si="7"/>
        <v>5925</v>
      </c>
      <c r="N38" s="9">
        <f t="shared" si="7"/>
        <v>0</v>
      </c>
      <c r="O38" s="9">
        <f t="shared" si="7"/>
        <v>0</v>
      </c>
      <c r="P38" s="9">
        <f t="shared" si="7"/>
        <v>0</v>
      </c>
      <c r="Q38" s="9">
        <f t="shared" si="8"/>
        <v>5925</v>
      </c>
      <c r="R38" s="9"/>
      <c r="S38" s="9"/>
      <c r="T38" s="9"/>
      <c r="U38" s="9"/>
      <c r="V38" s="9"/>
      <c r="W38" s="9"/>
    </row>
    <row r="39" spans="2:23" x14ac:dyDescent="0.2">
      <c r="D39" s="49"/>
      <c r="E39" s="6" t="s">
        <v>64</v>
      </c>
      <c r="G39" s="9">
        <v>35115</v>
      </c>
      <c r="H39" s="9"/>
      <c r="I39" s="9"/>
      <c r="J39" s="9"/>
      <c r="K39" s="9">
        <f t="shared" si="6"/>
        <v>35115</v>
      </c>
      <c r="M39" s="9">
        <f t="shared" si="7"/>
        <v>35115</v>
      </c>
      <c r="N39" s="9">
        <f t="shared" si="7"/>
        <v>0</v>
      </c>
      <c r="O39" s="9">
        <f t="shared" si="7"/>
        <v>0</v>
      </c>
      <c r="P39" s="9">
        <f t="shared" si="7"/>
        <v>0</v>
      </c>
      <c r="Q39" s="9">
        <f t="shared" si="8"/>
        <v>35115</v>
      </c>
      <c r="R39" s="9"/>
      <c r="S39" s="9"/>
      <c r="T39" s="9"/>
      <c r="U39" s="9"/>
      <c r="V39" s="9"/>
      <c r="W39" s="9"/>
    </row>
    <row r="40" spans="2:23" x14ac:dyDescent="0.2">
      <c r="D40" s="49"/>
      <c r="E40" s="6" t="s">
        <v>65</v>
      </c>
      <c r="G40" s="9">
        <v>3411</v>
      </c>
      <c r="H40" s="9"/>
      <c r="I40" s="9"/>
      <c r="J40" s="9"/>
      <c r="K40" s="9">
        <f t="shared" si="6"/>
        <v>3411</v>
      </c>
      <c r="M40" s="9">
        <f t="shared" si="7"/>
        <v>3411</v>
      </c>
      <c r="N40" s="9">
        <f t="shared" si="7"/>
        <v>0</v>
      </c>
      <c r="O40" s="9">
        <f t="shared" si="7"/>
        <v>0</v>
      </c>
      <c r="P40" s="9">
        <f t="shared" si="7"/>
        <v>0</v>
      </c>
      <c r="Q40" s="9">
        <f t="shared" si="8"/>
        <v>3411</v>
      </c>
      <c r="R40" s="9"/>
      <c r="S40" s="9"/>
      <c r="T40" s="9"/>
      <c r="U40" s="9"/>
      <c r="V40" s="9"/>
      <c r="W40" s="9"/>
    </row>
    <row r="41" spans="2:23" x14ac:dyDescent="0.2">
      <c r="D41" s="49"/>
      <c r="E41" s="6" t="s">
        <v>66</v>
      </c>
      <c r="G41" s="9">
        <f>60759+6270.36</f>
        <v>67029.36</v>
      </c>
      <c r="H41" s="9"/>
      <c r="I41" s="9"/>
      <c r="J41" s="9"/>
      <c r="K41" s="9">
        <f t="shared" si="6"/>
        <v>67029.36</v>
      </c>
      <c r="M41" s="9">
        <f t="shared" si="7"/>
        <v>67029.36</v>
      </c>
      <c r="N41" s="9">
        <f t="shared" si="7"/>
        <v>0</v>
      </c>
      <c r="O41" s="9">
        <f t="shared" si="7"/>
        <v>0</v>
      </c>
      <c r="P41" s="9">
        <f t="shared" si="7"/>
        <v>0</v>
      </c>
      <c r="Q41" s="9">
        <f t="shared" si="8"/>
        <v>67029.36</v>
      </c>
      <c r="R41" s="9"/>
      <c r="S41" s="9"/>
      <c r="T41" s="9"/>
      <c r="U41" s="9"/>
      <c r="V41" s="9"/>
      <c r="W41" s="9"/>
    </row>
    <row r="42" spans="2:23" x14ac:dyDescent="0.2">
      <c r="D42" s="49"/>
      <c r="K42" s="9">
        <f t="shared" si="6"/>
        <v>0</v>
      </c>
      <c r="Q42" s="9"/>
      <c r="R42" s="9"/>
      <c r="S42" s="9"/>
      <c r="T42" s="9"/>
      <c r="U42" s="9"/>
      <c r="V42" s="9"/>
      <c r="W42" s="9"/>
    </row>
    <row r="43" spans="2:23" x14ac:dyDescent="0.2">
      <c r="D43" s="49"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49"/>
    </row>
    <row r="45" spans="2:23" x14ac:dyDescent="0.2">
      <c r="D45" s="49"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49"/>
    </row>
    <row r="47" spans="2:23" x14ac:dyDescent="0.2">
      <c r="D47" s="49"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49"/>
    </row>
    <row r="49" spans="2:23" x14ac:dyDescent="0.2">
      <c r="D49" s="49"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49" t="s">
        <v>71</v>
      </c>
    </row>
    <row r="51" spans="2:23" x14ac:dyDescent="0.2">
      <c r="D51" s="49"/>
    </row>
    <row r="52" spans="2:23" x14ac:dyDescent="0.2">
      <c r="B52" s="49"/>
      <c r="D52" s="49"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49" t="s">
        <v>72</v>
      </c>
      <c r="G53" s="14">
        <f>SUM(G33:G52)</f>
        <v>181668.36</v>
      </c>
      <c r="H53" s="14">
        <f>SUM(H33:H52)</f>
        <v>0</v>
      </c>
      <c r="I53" s="14">
        <f>SUM(I33:I52)</f>
        <v>0</v>
      </c>
      <c r="J53" s="14">
        <f>SUM(J33:J52)</f>
        <v>0</v>
      </c>
      <c r="K53" s="14">
        <f>SUM(G53:J53)</f>
        <v>181668.36</v>
      </c>
      <c r="M53" s="14">
        <f>SUM(M33:M52)</f>
        <v>181668.36</v>
      </c>
      <c r="N53" s="14">
        <f>SUM(N33:N52)</f>
        <v>0</v>
      </c>
      <c r="O53" s="14">
        <f>SUM(O33:O52)</f>
        <v>0</v>
      </c>
      <c r="P53" s="14">
        <f>SUM(P33:P52)</f>
        <v>0</v>
      </c>
      <c r="Q53" s="14">
        <f>SUM(M53:P53)</f>
        <v>181668.36</v>
      </c>
      <c r="R53" s="14"/>
      <c r="S53" s="14"/>
      <c r="T53" s="14"/>
      <c r="U53" s="14"/>
      <c r="V53" s="14"/>
      <c r="W53" s="14"/>
    </row>
    <row r="54" spans="2:23" x14ac:dyDescent="0.2">
      <c r="B54" s="49"/>
      <c r="G54" s="9"/>
    </row>
    <row r="55" spans="2:23" x14ac:dyDescent="0.2">
      <c r="B55" s="49"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49" t="s">
        <v>74</v>
      </c>
      <c r="D56" s="9"/>
    </row>
    <row r="57" spans="2:23" ht="13.5" thickBot="1" x14ac:dyDescent="0.25">
      <c r="K57" s="9"/>
      <c r="Q57" s="61"/>
      <c r="R57" s="62"/>
      <c r="S57" s="62"/>
      <c r="T57" s="62"/>
      <c r="U57" s="62"/>
      <c r="V57" s="62"/>
      <c r="W57" s="62"/>
    </row>
    <row r="58" spans="2:23" x14ac:dyDescent="0.2">
      <c r="B58" s="49" t="s">
        <v>75</v>
      </c>
      <c r="E58" s="9"/>
      <c r="G58" s="63">
        <f>G21+G24+G31+G53+G55-0.45</f>
        <v>583520.91</v>
      </c>
      <c r="H58" s="63">
        <f>H21+H24+H31+H53+H55</f>
        <v>33568</v>
      </c>
      <c r="I58" s="63">
        <f>I21+I24+I31+I53+I55</f>
        <v>457245</v>
      </c>
      <c r="J58" s="63">
        <f>J21+J24+J31+J53+J55</f>
        <v>0</v>
      </c>
      <c r="K58" s="63">
        <f>SUM(G58:J58)</f>
        <v>1074333.9100000001</v>
      </c>
      <c r="L58" s="64"/>
      <c r="M58" s="63">
        <f>M21+M24+M31+M53+M55</f>
        <v>490232.70657905011</v>
      </c>
      <c r="N58" s="63">
        <f>N21+N24+N31+N53+N55</f>
        <v>24755.334657905008</v>
      </c>
      <c r="O58" s="63">
        <f>O21+O24+O31+O53+O55</f>
        <v>254352.47402654521</v>
      </c>
      <c r="P58" s="63">
        <f>P21+P24+P31+P53+P55</f>
        <v>0</v>
      </c>
      <c r="Q58" s="63">
        <f>SUM(M58:P58)</f>
        <v>769340.51526350027</v>
      </c>
      <c r="R58" s="58"/>
      <c r="S58" s="58"/>
      <c r="T58" s="58"/>
      <c r="U58" s="58"/>
      <c r="V58" s="58"/>
      <c r="W58" s="58"/>
    </row>
    <row r="61" spans="2:23" ht="14.25" x14ac:dyDescent="0.2">
      <c r="B61" s="53" t="s">
        <v>76</v>
      </c>
    </row>
    <row r="62" spans="2:23" x14ac:dyDescent="0.2">
      <c r="E62" s="8"/>
    </row>
    <row r="63" spans="2:23" x14ac:dyDescent="0.2">
      <c r="D63" s="6" t="s">
        <v>77</v>
      </c>
      <c r="E63" s="8" t="s">
        <v>26</v>
      </c>
      <c r="G63" s="9">
        <v>238722.3</v>
      </c>
      <c r="H63" s="9">
        <v>23872.23</v>
      </c>
      <c r="I63" s="9">
        <v>533146.47000000009</v>
      </c>
      <c r="J63" s="9"/>
      <c r="K63" s="9">
        <f>I63+H63+G63</f>
        <v>795741</v>
      </c>
      <c r="M63" s="9">
        <f>Q63*G83</f>
        <v>181528.95600000001</v>
      </c>
      <c r="N63" s="9">
        <f>Q63*H83</f>
        <v>18152.8956</v>
      </c>
      <c r="O63" s="9">
        <f>Q63*I83</f>
        <v>405414.66840000002</v>
      </c>
      <c r="P63" s="9">
        <f>J63</f>
        <v>0</v>
      </c>
      <c r="Q63" s="9">
        <f>K63-((((52*114.57)*8)*4))</f>
        <v>605096.52</v>
      </c>
    </row>
    <row r="64" spans="2:23" x14ac:dyDescent="0.2">
      <c r="E64" s="8"/>
      <c r="G64" s="9"/>
      <c r="H64" s="9"/>
      <c r="I64" s="9"/>
      <c r="J64" s="9"/>
      <c r="K64" s="9"/>
      <c r="M64" s="9"/>
      <c r="N64" s="9"/>
      <c r="O64" s="9"/>
      <c r="P64" s="9"/>
      <c r="Q64" s="9"/>
    </row>
    <row r="65" spans="1:24" x14ac:dyDescent="0.2">
      <c r="D65" s="6" t="s">
        <v>93</v>
      </c>
      <c r="E65" s="8" t="s">
        <v>26</v>
      </c>
      <c r="G65" s="9">
        <v>0</v>
      </c>
      <c r="H65" s="9">
        <v>0</v>
      </c>
      <c r="I65" s="9">
        <v>197371</v>
      </c>
      <c r="J65" s="9">
        <v>0</v>
      </c>
      <c r="K65" s="9">
        <f>I65+H65+G65</f>
        <v>197371</v>
      </c>
      <c r="M65" s="9">
        <f>G65</f>
        <v>0</v>
      </c>
      <c r="N65" s="9">
        <f>H65</f>
        <v>0</v>
      </c>
      <c r="O65" s="9">
        <f>I65</f>
        <v>197371</v>
      </c>
      <c r="P65" s="9">
        <f>J65</f>
        <v>0</v>
      </c>
      <c r="Q65" s="9">
        <f>K65</f>
        <v>197371</v>
      </c>
    </row>
    <row r="66" spans="1:24" x14ac:dyDescent="0.2">
      <c r="E66" s="8"/>
    </row>
    <row r="67" spans="1:24" s="3" customFormat="1" x14ac:dyDescent="0.2">
      <c r="A67" s="6"/>
      <c r="B67" s="6"/>
      <c r="C67" s="6"/>
      <c r="D67" s="6" t="s">
        <v>78</v>
      </c>
      <c r="E67" s="8" t="s">
        <v>26</v>
      </c>
      <c r="F67" s="6"/>
      <c r="G67" s="9">
        <v>156764.84</v>
      </c>
      <c r="H67" s="9">
        <v>10944.76</v>
      </c>
      <c r="I67" s="9">
        <v>443254.9</v>
      </c>
      <c r="J67" s="9">
        <v>0</v>
      </c>
      <c r="K67" s="9">
        <f>I67+H67+G67</f>
        <v>610964.5</v>
      </c>
      <c r="L67" s="6"/>
      <c r="M67" s="9">
        <f>G67</f>
        <v>156764.84</v>
      </c>
      <c r="N67" s="9">
        <f>H67</f>
        <v>10944.76</v>
      </c>
      <c r="O67" s="9">
        <f>I67</f>
        <v>443254.9</v>
      </c>
      <c r="P67" s="9">
        <f>J67</f>
        <v>0</v>
      </c>
      <c r="Q67" s="9">
        <f>K67</f>
        <v>610964.5</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49" t="s">
        <v>79</v>
      </c>
      <c r="C69" s="6"/>
      <c r="D69" s="6"/>
      <c r="E69" s="8" t="s">
        <v>26</v>
      </c>
      <c r="F69" s="6"/>
      <c r="G69" s="63">
        <f>G67+G63</f>
        <v>395487.14</v>
      </c>
      <c r="H69" s="63">
        <f>H67+H63</f>
        <v>34816.99</v>
      </c>
      <c r="I69" s="63">
        <f>I67+I63+I65</f>
        <v>1173772.3700000001</v>
      </c>
      <c r="J69" s="63">
        <f t="shared" ref="H69:Q70" si="9">J67</f>
        <v>0</v>
      </c>
      <c r="K69" s="63">
        <f>K67+K63+K65-0.45</f>
        <v>1604076.05</v>
      </c>
      <c r="L69" s="63">
        <f t="shared" ref="L69:Q69" si="10">L67+L63+L65</f>
        <v>0</v>
      </c>
      <c r="M69" s="63">
        <f t="shared" si="10"/>
        <v>338293.79599999997</v>
      </c>
      <c r="N69" s="63">
        <f t="shared" si="10"/>
        <v>29097.655599999998</v>
      </c>
      <c r="O69" s="63">
        <f>O67+O63+O65</f>
        <v>1046040.5684</v>
      </c>
      <c r="P69" s="63">
        <f t="shared" si="10"/>
        <v>0</v>
      </c>
      <c r="Q69" s="63">
        <f t="shared" si="10"/>
        <v>1413432.02</v>
      </c>
      <c r="R69" s="58"/>
      <c r="S69" s="58"/>
      <c r="T69" s="58"/>
      <c r="U69" s="58"/>
      <c r="V69" s="58"/>
      <c r="W69" s="58"/>
      <c r="X69" s="62"/>
    </row>
    <row r="70" spans="1:24" s="3" customFormat="1" x14ac:dyDescent="0.2">
      <c r="A70" s="6"/>
      <c r="B70" s="49"/>
      <c r="C70" s="6"/>
      <c r="D70" s="6"/>
      <c r="E70" s="8" t="s">
        <v>28</v>
      </c>
      <c r="F70" s="6"/>
      <c r="G70" s="63">
        <f>G68</f>
        <v>0</v>
      </c>
      <c r="H70" s="63">
        <f t="shared" si="9"/>
        <v>0</v>
      </c>
      <c r="I70" s="63">
        <f t="shared" si="9"/>
        <v>0</v>
      </c>
      <c r="J70" s="63">
        <f t="shared" si="9"/>
        <v>0</v>
      </c>
      <c r="K70" s="63">
        <f t="shared" si="9"/>
        <v>0</v>
      </c>
      <c r="L70" s="6"/>
      <c r="M70" s="63">
        <f t="shared" si="9"/>
        <v>0</v>
      </c>
      <c r="N70" s="63">
        <f t="shared" si="9"/>
        <v>0</v>
      </c>
      <c r="O70" s="63">
        <f t="shared" si="9"/>
        <v>0</v>
      </c>
      <c r="P70" s="63">
        <f t="shared" si="9"/>
        <v>0</v>
      </c>
      <c r="Q70" s="63">
        <f t="shared" si="9"/>
        <v>0</v>
      </c>
      <c r="R70" s="65"/>
      <c r="S70" s="65"/>
      <c r="T70" s="65"/>
      <c r="U70" s="65"/>
      <c r="V70" s="65"/>
      <c r="W70" s="65"/>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3" t="s">
        <v>80</v>
      </c>
      <c r="C73" s="6"/>
      <c r="D73" s="6"/>
      <c r="E73" s="6"/>
      <c r="F73" s="6"/>
      <c r="G73" s="21">
        <f t="shared" ref="G73:Q73" si="11">G58+G69</f>
        <v>979008.05</v>
      </c>
      <c r="H73" s="21">
        <f t="shared" si="11"/>
        <v>68384.989999999991</v>
      </c>
      <c r="I73" s="21">
        <f t="shared" si="11"/>
        <v>1631017.37</v>
      </c>
      <c r="J73" s="21">
        <f t="shared" si="11"/>
        <v>0</v>
      </c>
      <c r="K73" s="21">
        <f>K58+K69-0.56</f>
        <v>2678409.4</v>
      </c>
      <c r="L73" s="21">
        <f t="shared" si="11"/>
        <v>0</v>
      </c>
      <c r="M73" s="21">
        <f t="shared" si="11"/>
        <v>828526.50257905014</v>
      </c>
      <c r="N73" s="21">
        <f t="shared" si="11"/>
        <v>53852.99025790501</v>
      </c>
      <c r="O73" s="21">
        <f t="shared" si="11"/>
        <v>1300393.0424265452</v>
      </c>
      <c r="P73" s="21">
        <f t="shared" si="11"/>
        <v>0</v>
      </c>
      <c r="Q73" s="21">
        <f t="shared" si="11"/>
        <v>2182772.5352635002</v>
      </c>
      <c r="R73" s="58"/>
      <c r="S73" s="58"/>
      <c r="T73" s="58"/>
      <c r="U73" s="58"/>
      <c r="V73" s="58"/>
      <c r="W73" s="58"/>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57"/>
      <c r="H76" s="57"/>
      <c r="I76" s="57"/>
      <c r="J76" s="9"/>
      <c r="K76" s="9"/>
      <c r="O76" s="23"/>
    </row>
    <row r="77" spans="1:24" x14ac:dyDescent="0.2">
      <c r="G77" s="22"/>
      <c r="H77" s="22"/>
      <c r="I77" s="22"/>
      <c r="K77" s="9"/>
      <c r="O77" s="35"/>
    </row>
    <row r="78" spans="1:24" x14ac:dyDescent="0.2">
      <c r="G78" s="24"/>
      <c r="H78" s="24"/>
      <c r="I78" s="24"/>
      <c r="K78" s="9"/>
      <c r="O78" s="23"/>
    </row>
    <row r="79" spans="1:24" x14ac:dyDescent="0.2">
      <c r="G79" s="22"/>
      <c r="H79" s="22"/>
      <c r="I79" s="22"/>
      <c r="J79" s="9"/>
      <c r="K79" s="9"/>
      <c r="M79" s="66"/>
      <c r="N79" s="66"/>
      <c r="O79" s="25"/>
      <c r="P79" s="66"/>
      <c r="Q79" s="66"/>
      <c r="R79" s="66"/>
      <c r="S79" s="66"/>
      <c r="T79" s="66"/>
      <c r="U79" s="66"/>
    </row>
    <row r="80" spans="1:24" x14ac:dyDescent="0.2">
      <c r="G80" s="22"/>
      <c r="H80" s="22"/>
      <c r="I80" s="22"/>
      <c r="K80" s="9"/>
      <c r="M80" s="66"/>
      <c r="N80" s="66"/>
      <c r="O80" s="25"/>
      <c r="P80" s="66"/>
      <c r="Q80" s="66"/>
      <c r="R80" s="66"/>
      <c r="S80" s="66"/>
      <c r="T80" s="66"/>
      <c r="U80" s="66"/>
    </row>
    <row r="81" spans="5:25" x14ac:dyDescent="0.2">
      <c r="G81" s="67"/>
      <c r="I81" s="22"/>
      <c r="M81" s="66"/>
      <c r="N81" s="66"/>
      <c r="O81" s="25"/>
      <c r="P81" s="66"/>
      <c r="Q81" s="66"/>
      <c r="R81" s="66"/>
      <c r="S81" s="66"/>
      <c r="T81" s="66"/>
      <c r="U81" s="66"/>
    </row>
    <row r="82" spans="5:25" ht="13.5" thickBot="1" x14ac:dyDescent="0.25">
      <c r="M82" s="66"/>
      <c r="N82" s="66"/>
      <c r="O82" s="66"/>
      <c r="P82" s="66"/>
      <c r="Q82" s="66"/>
      <c r="R82" s="66"/>
      <c r="S82" s="66"/>
      <c r="T82" s="66"/>
      <c r="U82" s="66"/>
    </row>
    <row r="83" spans="5:25" x14ac:dyDescent="0.2">
      <c r="E83" s="68"/>
      <c r="F83" s="69"/>
      <c r="G83" s="70">
        <v>0.3</v>
      </c>
      <c r="H83" s="70">
        <v>0.03</v>
      </c>
      <c r="I83" s="70">
        <v>0.67</v>
      </c>
      <c r="J83" s="69"/>
      <c r="K83" s="92"/>
      <c r="M83" s="71"/>
      <c r="N83" s="72"/>
      <c r="O83" s="72"/>
      <c r="P83" s="72"/>
      <c r="Q83" s="73"/>
      <c r="R83" s="56"/>
      <c r="S83" s="56"/>
      <c r="T83" s="56"/>
      <c r="U83" s="56"/>
    </row>
    <row r="84" spans="5:25" x14ac:dyDescent="0.2">
      <c r="E84" s="46"/>
      <c r="F84" s="31"/>
      <c r="G84" s="31"/>
      <c r="H84" s="31"/>
      <c r="I84" s="31"/>
      <c r="J84" s="31"/>
      <c r="K84" s="74"/>
      <c r="M84" s="26"/>
      <c r="N84" s="56"/>
      <c r="O84" s="56"/>
      <c r="P84" s="56"/>
      <c r="Q84" s="56"/>
      <c r="R84" s="56"/>
      <c r="S84" s="56"/>
      <c r="T84" s="56"/>
      <c r="U84" s="56"/>
    </row>
    <row r="85" spans="5:25" x14ac:dyDescent="0.2">
      <c r="E85" s="46" t="s">
        <v>81</v>
      </c>
      <c r="F85" s="31"/>
      <c r="G85" s="31"/>
      <c r="H85" s="31"/>
      <c r="I85" s="31"/>
      <c r="J85" s="31"/>
      <c r="K85" s="75">
        <f>K73</f>
        <v>2678409.4</v>
      </c>
      <c r="M85" s="27"/>
      <c r="N85" s="73"/>
      <c r="O85" s="73"/>
      <c r="P85" s="73"/>
      <c r="Q85" s="73"/>
      <c r="R85" s="56"/>
      <c r="S85" s="56"/>
      <c r="T85" s="56"/>
      <c r="U85" s="56"/>
    </row>
    <row r="86" spans="5:25" x14ac:dyDescent="0.2">
      <c r="E86" s="46" t="s">
        <v>82</v>
      </c>
      <c r="F86" s="31"/>
      <c r="G86" s="31"/>
      <c r="H86" s="31"/>
      <c r="I86" s="31"/>
      <c r="J86" s="31"/>
      <c r="K86" s="75">
        <v>0</v>
      </c>
      <c r="M86" s="66"/>
      <c r="N86" s="56"/>
      <c r="O86" s="56"/>
      <c r="P86" s="56"/>
      <c r="Q86" s="56"/>
      <c r="R86" s="56"/>
      <c r="S86" s="56"/>
      <c r="T86" s="56"/>
      <c r="U86" s="56"/>
    </row>
    <row r="87" spans="5:25" x14ac:dyDescent="0.2">
      <c r="E87" s="46"/>
      <c r="F87" s="31"/>
      <c r="G87" s="31"/>
      <c r="H87" s="31"/>
      <c r="I87" s="31"/>
      <c r="J87" s="31"/>
      <c r="K87" s="75"/>
      <c r="M87" s="27"/>
      <c r="N87" s="56"/>
      <c r="O87" s="56"/>
      <c r="P87" s="56"/>
      <c r="Q87" s="56"/>
      <c r="R87" s="56"/>
      <c r="S87" s="56"/>
      <c r="T87" s="56"/>
      <c r="U87" s="56"/>
    </row>
    <row r="88" spans="5:25" x14ac:dyDescent="0.2">
      <c r="E88" s="46" t="s">
        <v>83</v>
      </c>
      <c r="F88" s="31"/>
      <c r="G88" s="31"/>
      <c r="H88" s="31"/>
      <c r="I88" s="31"/>
      <c r="J88" s="31"/>
      <c r="K88" s="76">
        <f>SUM(K85:K87)</f>
        <v>2678409.4</v>
      </c>
      <c r="M88" s="27"/>
      <c r="N88" s="56"/>
      <c r="O88" s="56"/>
      <c r="P88" s="56"/>
      <c r="Q88" s="56"/>
      <c r="R88" s="56"/>
      <c r="S88" s="56"/>
      <c r="T88" s="56"/>
      <c r="U88" s="56"/>
    </row>
    <row r="89" spans="5:25" x14ac:dyDescent="0.2">
      <c r="E89" s="46" t="s">
        <v>84</v>
      </c>
      <c r="F89" s="31"/>
      <c r="G89" s="31"/>
      <c r="H89" s="31"/>
      <c r="I89" s="31"/>
      <c r="J89" s="31"/>
      <c r="K89" s="75">
        <f>I65</f>
        <v>197371</v>
      </c>
      <c r="M89" s="27"/>
      <c r="N89" s="56"/>
      <c r="O89" s="77"/>
      <c r="P89" s="77"/>
      <c r="Q89" s="73"/>
      <c r="R89" s="56"/>
      <c r="S89" s="56"/>
      <c r="T89" s="56"/>
      <c r="U89" s="56"/>
    </row>
    <row r="90" spans="5:25" x14ac:dyDescent="0.2">
      <c r="E90" s="46" t="s">
        <v>85</v>
      </c>
      <c r="F90" s="31"/>
      <c r="G90" s="31"/>
      <c r="H90" s="31"/>
      <c r="I90" s="31"/>
      <c r="J90" s="31"/>
      <c r="K90" s="75">
        <f>G53</f>
        <v>181668.36</v>
      </c>
      <c r="M90" s="27"/>
      <c r="N90" s="56"/>
      <c r="O90" s="77"/>
      <c r="P90" s="77"/>
      <c r="Q90" s="73"/>
      <c r="R90" s="56"/>
      <c r="S90" s="56"/>
      <c r="T90" s="56"/>
      <c r="U90" s="56"/>
    </row>
    <row r="91" spans="5:25" x14ac:dyDescent="0.2">
      <c r="E91" s="46"/>
      <c r="F91" s="31"/>
      <c r="G91" s="31"/>
      <c r="H91" s="31"/>
      <c r="I91" s="31"/>
      <c r="J91" s="31"/>
      <c r="K91" s="75"/>
      <c r="M91" s="27"/>
      <c r="N91" s="56"/>
      <c r="O91" s="77"/>
      <c r="P91" s="77"/>
      <c r="Q91" s="73"/>
      <c r="R91" s="56"/>
      <c r="S91" s="56"/>
      <c r="T91" s="56"/>
      <c r="U91" s="56"/>
    </row>
    <row r="92" spans="5:25" ht="13.5" thickBot="1" x14ac:dyDescent="0.25">
      <c r="E92" s="46" t="s">
        <v>86</v>
      </c>
      <c r="F92" s="31"/>
      <c r="G92" s="31"/>
      <c r="H92" s="31"/>
      <c r="I92" s="31"/>
      <c r="J92" s="31"/>
      <c r="K92" s="78">
        <f>K88-K89-K90-K91</f>
        <v>2299370.04</v>
      </c>
      <c r="M92" s="27"/>
      <c r="N92" s="56"/>
      <c r="O92" s="56"/>
      <c r="P92" s="56"/>
      <c r="Q92" s="56"/>
      <c r="R92" s="56"/>
      <c r="S92" s="56"/>
      <c r="T92" s="56"/>
      <c r="U92" s="56"/>
    </row>
    <row r="93" spans="5:25" ht="13.5" thickTop="1" x14ac:dyDescent="0.2">
      <c r="E93" s="46"/>
      <c r="F93" s="31"/>
      <c r="G93" s="31"/>
      <c r="H93" s="31"/>
      <c r="I93" s="31"/>
      <c r="J93" s="79" t="s">
        <v>87</v>
      </c>
      <c r="K93" s="75"/>
      <c r="M93" s="27"/>
      <c r="N93" s="56"/>
      <c r="O93" s="56"/>
      <c r="P93" s="56"/>
      <c r="Q93" s="73"/>
      <c r="R93" s="56"/>
      <c r="S93" s="56"/>
      <c r="T93" s="56"/>
      <c r="U93" s="56"/>
    </row>
    <row r="94" spans="5:25" x14ac:dyDescent="0.2">
      <c r="E94" s="46" t="s">
        <v>81</v>
      </c>
      <c r="F94" s="31"/>
      <c r="G94" s="29">
        <f>G73</f>
        <v>979008.05</v>
      </c>
      <c r="H94" s="29">
        <f>H73</f>
        <v>68384.989999999991</v>
      </c>
      <c r="I94" s="29">
        <f>I73</f>
        <v>1631017.37</v>
      </c>
      <c r="J94" s="29"/>
      <c r="K94" s="75"/>
      <c r="M94" s="27"/>
      <c r="N94" s="56"/>
      <c r="O94" s="56"/>
      <c r="P94" s="56"/>
      <c r="Q94" s="56"/>
      <c r="R94" s="56"/>
      <c r="S94" s="56"/>
      <c r="T94" s="56"/>
      <c r="U94" s="56">
        <v>0</v>
      </c>
      <c r="Y94" s="3">
        <v>900323.36</v>
      </c>
    </row>
    <row r="95" spans="5:25" x14ac:dyDescent="0.2">
      <c r="E95" s="46" t="s">
        <v>88</v>
      </c>
      <c r="F95" s="31"/>
      <c r="G95" s="29">
        <f>K90</f>
        <v>181668.36</v>
      </c>
      <c r="H95" s="80">
        <v>0</v>
      </c>
      <c r="I95" s="80">
        <f>K89</f>
        <v>197371</v>
      </c>
      <c r="K95" s="74"/>
      <c r="M95" s="66"/>
      <c r="N95" s="56"/>
      <c r="O95" s="56"/>
      <c r="P95" s="56"/>
      <c r="Q95" s="56"/>
      <c r="R95" s="56"/>
      <c r="S95" s="56"/>
      <c r="T95" s="56"/>
      <c r="U95" s="56"/>
    </row>
    <row r="96" spans="5:25" ht="13.5" thickBot="1" x14ac:dyDescent="0.25">
      <c r="E96" s="46" t="s">
        <v>89</v>
      </c>
      <c r="F96" s="31"/>
      <c r="G96" s="81">
        <f>G94-G95</f>
        <v>797339.69000000006</v>
      </c>
      <c r="H96" s="81">
        <f>H94-H95</f>
        <v>68384.989999999991</v>
      </c>
      <c r="I96" s="81">
        <f>I94-I95</f>
        <v>1433646.37</v>
      </c>
      <c r="J96" s="28"/>
      <c r="K96" s="75"/>
      <c r="M96" s="66"/>
      <c r="N96" s="56"/>
      <c r="O96" s="56"/>
      <c r="P96" s="54"/>
      <c r="Q96" s="56"/>
      <c r="R96" s="56"/>
      <c r="S96" s="56"/>
      <c r="T96" s="56"/>
      <c r="U96" s="56"/>
    </row>
    <row r="97" spans="5:21" ht="14.25" thickTop="1" thickBot="1" x14ac:dyDescent="0.25">
      <c r="E97" s="46" t="s">
        <v>90</v>
      </c>
      <c r="F97" s="31"/>
      <c r="G97" s="82">
        <f>G96/$K$92</f>
        <v>0.34676440769837985</v>
      </c>
      <c r="H97" s="82">
        <f>H96/$K$92</f>
        <v>2.9740750210000992E-2</v>
      </c>
      <c r="I97" s="82">
        <f>I96/$K$92</f>
        <v>0.62349528134236287</v>
      </c>
      <c r="J97" s="29"/>
      <c r="K97" s="75"/>
      <c r="M97" s="66"/>
      <c r="N97" s="56"/>
      <c r="O97" s="56"/>
      <c r="P97" s="56"/>
      <c r="Q97" s="56"/>
      <c r="R97" s="56"/>
      <c r="S97" s="56"/>
      <c r="T97" s="56"/>
      <c r="U97" s="56"/>
    </row>
    <row r="98" spans="5:21" ht="14.25" thickTop="1" thickBot="1" x14ac:dyDescent="0.25">
      <c r="E98" s="83"/>
      <c r="F98" s="84"/>
      <c r="G98" s="85" t="s">
        <v>91</v>
      </c>
      <c r="H98" s="85" t="s">
        <v>92</v>
      </c>
      <c r="I98" s="85" t="s">
        <v>5</v>
      </c>
      <c r="J98" s="84"/>
      <c r="K98" s="86"/>
      <c r="M98" s="66"/>
      <c r="N98" s="87"/>
      <c r="O98" s="87"/>
      <c r="P98" s="87"/>
      <c r="Q98" s="56"/>
      <c r="R98" s="56"/>
      <c r="S98" s="56"/>
      <c r="T98" s="56"/>
      <c r="U98" s="56"/>
    </row>
    <row r="99" spans="5:21" x14ac:dyDescent="0.2">
      <c r="J99" s="69"/>
      <c r="K99" s="88"/>
      <c r="M99" s="66"/>
      <c r="N99" s="87"/>
      <c r="O99" s="87"/>
      <c r="P99" s="87"/>
      <c r="Q99" s="56"/>
      <c r="R99" s="56"/>
      <c r="S99" s="56"/>
      <c r="T99" s="56"/>
      <c r="U99" s="56"/>
    </row>
    <row r="100" spans="5:21" x14ac:dyDescent="0.2">
      <c r="J100" s="29"/>
      <c r="K100" s="29"/>
      <c r="M100" s="66"/>
      <c r="N100" s="56"/>
      <c r="O100" s="56"/>
      <c r="P100" s="56"/>
      <c r="Q100" s="56"/>
      <c r="R100" s="56"/>
      <c r="S100" s="56"/>
      <c r="T100" s="56"/>
      <c r="U100" s="56"/>
    </row>
    <row r="101" spans="5:21" x14ac:dyDescent="0.2">
      <c r="E101" s="30"/>
      <c r="F101" s="31"/>
      <c r="G101" s="29"/>
      <c r="H101" s="29"/>
      <c r="I101" s="32"/>
      <c r="J101" s="89"/>
      <c r="K101" s="32"/>
      <c r="M101" s="66"/>
      <c r="N101" s="56"/>
      <c r="O101" s="56"/>
      <c r="P101" s="56"/>
      <c r="Q101" s="56"/>
      <c r="R101" s="56"/>
      <c r="S101" s="56"/>
      <c r="T101" s="56"/>
      <c r="U101" s="56"/>
    </row>
    <row r="102" spans="5:21" x14ac:dyDescent="0.2">
      <c r="E102" s="31"/>
      <c r="F102" s="31"/>
      <c r="G102" s="31"/>
      <c r="H102" s="31"/>
      <c r="I102" s="32"/>
      <c r="J102" s="89"/>
      <c r="K102" s="89"/>
      <c r="M102" s="90"/>
      <c r="N102" s="91"/>
      <c r="O102" s="91"/>
      <c r="P102" s="91"/>
      <c r="Q102" s="56"/>
      <c r="R102" s="56"/>
      <c r="S102" s="56"/>
      <c r="T102" s="56"/>
      <c r="U102" s="56"/>
    </row>
    <row r="103" spans="5:21" x14ac:dyDescent="0.2">
      <c r="E103" s="31"/>
      <c r="F103" s="31"/>
      <c r="G103" s="31"/>
      <c r="H103" s="29"/>
      <c r="I103" s="29"/>
      <c r="J103" s="31"/>
      <c r="K103" s="31"/>
      <c r="M103" s="66"/>
      <c r="N103" s="56"/>
      <c r="O103" s="56"/>
      <c r="P103" s="56"/>
      <c r="Q103" s="56"/>
      <c r="R103" s="56"/>
      <c r="S103" s="56"/>
      <c r="T103" s="56"/>
      <c r="U103" s="56"/>
    </row>
    <row r="104" spans="5:21" x14ac:dyDescent="0.2">
      <c r="E104" s="31"/>
      <c r="F104" s="31"/>
      <c r="G104" s="33"/>
      <c r="H104" s="33"/>
      <c r="I104" s="33"/>
      <c r="M104" s="66"/>
      <c r="N104" s="66"/>
      <c r="O104" s="66"/>
      <c r="P104" s="66"/>
      <c r="Q104" s="66"/>
      <c r="R104" s="66"/>
      <c r="S104" s="66"/>
      <c r="T104" s="66"/>
      <c r="U104" s="66"/>
    </row>
    <row r="105" spans="5:21" x14ac:dyDescent="0.2">
      <c r="E105" s="31"/>
      <c r="F105" s="31"/>
      <c r="G105" s="29"/>
      <c r="H105" s="29"/>
      <c r="I105" s="29"/>
      <c r="M105" s="66"/>
      <c r="N105" s="66"/>
      <c r="O105" s="66"/>
      <c r="P105" s="66"/>
      <c r="Q105" s="66"/>
      <c r="R105" s="66"/>
      <c r="S105" s="66"/>
      <c r="T105" s="66"/>
      <c r="U105" s="66"/>
    </row>
    <row r="106" spans="5:21" x14ac:dyDescent="0.2">
      <c r="E106" s="31"/>
      <c r="F106" s="31"/>
      <c r="G106" s="33"/>
      <c r="H106" s="33"/>
      <c r="I106" s="33"/>
      <c r="M106" s="66"/>
      <c r="N106" s="66"/>
      <c r="O106" s="66"/>
      <c r="P106" s="66"/>
      <c r="Q106" s="66"/>
      <c r="R106" s="66"/>
      <c r="S106" s="66"/>
      <c r="T106" s="66"/>
      <c r="U106" s="66"/>
    </row>
    <row r="107" spans="5:21" x14ac:dyDescent="0.2">
      <c r="E107" s="31"/>
      <c r="F107" s="31"/>
      <c r="G107" s="34"/>
      <c r="H107" s="34"/>
      <c r="I107" s="34"/>
      <c r="J107" s="31"/>
      <c r="M107" s="66"/>
      <c r="N107" s="66"/>
      <c r="O107" s="66"/>
      <c r="P107" s="66"/>
      <c r="Q107" s="66"/>
      <c r="R107" s="66"/>
      <c r="S107" s="66"/>
      <c r="T107" s="66"/>
      <c r="U107" s="66"/>
    </row>
    <row r="108" spans="5:21" x14ac:dyDescent="0.2">
      <c r="G108" s="29"/>
      <c r="H108" s="29"/>
      <c r="I108" s="29"/>
      <c r="J108" s="31"/>
      <c r="M108" s="66"/>
      <c r="N108" s="66"/>
      <c r="O108" s="66"/>
      <c r="P108" s="66"/>
      <c r="Q108" s="66"/>
      <c r="R108" s="66"/>
      <c r="S108" s="66"/>
      <c r="T108" s="66"/>
      <c r="U108" s="66"/>
    </row>
    <row r="109" spans="5:21" x14ac:dyDescent="0.2">
      <c r="G109" s="31"/>
      <c r="H109" s="31"/>
      <c r="I109" s="31"/>
      <c r="J109" s="31"/>
      <c r="M109" s="66"/>
      <c r="N109" s="66"/>
      <c r="O109" s="66"/>
      <c r="P109" s="66"/>
      <c r="Q109" s="66"/>
      <c r="R109" s="66"/>
      <c r="S109" s="66"/>
      <c r="T109" s="66"/>
      <c r="U109" s="66"/>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99FFCC"/>
    <pageSetUpPr fitToPage="1"/>
  </sheetPr>
  <dimension ref="A1:Y105"/>
  <sheetViews>
    <sheetView topLeftCell="A32" zoomScale="90" zoomScaleNormal="90" workbookViewId="0">
      <selection activeCell="G64" sqref="G64"/>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49"/>
      <c r="F1" s="49"/>
      <c r="I1" s="50"/>
    </row>
    <row r="2" spans="2:25" ht="20.25" thickBot="1" x14ac:dyDescent="0.3">
      <c r="B2" s="51" t="s">
        <v>6</v>
      </c>
      <c r="C2" s="49"/>
      <c r="D2" s="49"/>
      <c r="E2" s="49"/>
      <c r="F2" s="49"/>
      <c r="G2" s="104" t="s">
        <v>95</v>
      </c>
      <c r="H2" s="104"/>
      <c r="I2" s="104"/>
      <c r="J2" s="104"/>
      <c r="K2" s="104"/>
      <c r="M2" s="104" t="s">
        <v>100</v>
      </c>
      <c r="N2" s="104"/>
      <c r="O2" s="104"/>
      <c r="P2" s="104"/>
      <c r="Q2" s="104"/>
      <c r="R2" s="4"/>
      <c r="S2" s="4"/>
      <c r="T2" s="4"/>
      <c r="U2" s="4"/>
      <c r="V2" s="4"/>
      <c r="W2" s="4"/>
    </row>
    <row r="3" spans="2:25" ht="19.5" x14ac:dyDescent="0.25">
      <c r="B3" s="51" t="s">
        <v>7</v>
      </c>
      <c r="C3" s="49"/>
      <c r="D3" s="49"/>
    </row>
    <row r="4" spans="2:25" x14ac:dyDescent="0.2">
      <c r="B4" s="49" t="s">
        <v>99</v>
      </c>
      <c r="C4" s="49"/>
      <c r="D4" s="49"/>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2"/>
      <c r="C5" s="49"/>
      <c r="D5" s="52"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49" t="s">
        <v>111</v>
      </c>
      <c r="D6" s="5"/>
      <c r="G6" s="7"/>
      <c r="H6" s="7" t="s">
        <v>19</v>
      </c>
      <c r="I6" s="7"/>
      <c r="J6" s="7"/>
      <c r="K6" s="7"/>
      <c r="M6" s="7"/>
      <c r="N6" s="7" t="s">
        <v>19</v>
      </c>
      <c r="O6" s="7"/>
      <c r="P6" s="7"/>
      <c r="Q6" s="7"/>
      <c r="R6" s="7"/>
      <c r="S6" s="7"/>
      <c r="T6" s="7"/>
      <c r="U6" s="7"/>
      <c r="V6" s="7"/>
      <c r="W6" s="7"/>
    </row>
    <row r="7" spans="2:25" ht="13.5" thickBot="1" x14ac:dyDescent="0.25">
      <c r="B7" s="49" t="s">
        <v>101</v>
      </c>
      <c r="G7" s="94" t="s">
        <v>20</v>
      </c>
      <c r="H7" s="94" t="s">
        <v>21</v>
      </c>
      <c r="I7" s="94" t="s">
        <v>22</v>
      </c>
      <c r="J7" s="94"/>
      <c r="K7" s="94" t="s">
        <v>23</v>
      </c>
      <c r="M7" s="94" t="s">
        <v>20</v>
      </c>
      <c r="N7" s="94" t="s">
        <v>21</v>
      </c>
      <c r="O7" s="94" t="s">
        <v>22</v>
      </c>
      <c r="P7" s="94"/>
      <c r="Q7" s="94" t="s">
        <v>23</v>
      </c>
      <c r="R7" s="4"/>
      <c r="S7" s="4"/>
      <c r="T7" s="4"/>
      <c r="U7" s="4"/>
      <c r="V7" s="4"/>
      <c r="W7" s="4"/>
    </row>
    <row r="8" spans="2:25" ht="5.0999999999999996" customHeight="1" x14ac:dyDescent="0.2">
      <c r="B8" s="49"/>
      <c r="G8" s="7"/>
      <c r="H8" s="7"/>
      <c r="I8" s="7"/>
      <c r="J8" s="7"/>
      <c r="K8" s="7"/>
      <c r="M8" s="7"/>
      <c r="N8" s="7"/>
      <c r="O8" s="7"/>
      <c r="P8" s="7"/>
      <c r="Q8" s="7"/>
      <c r="R8" s="7"/>
      <c r="S8" s="7"/>
      <c r="T8" s="7"/>
      <c r="U8" s="7"/>
      <c r="V8" s="7"/>
      <c r="W8" s="7"/>
    </row>
    <row r="9" spans="2:25" ht="15" thickBot="1" x14ac:dyDescent="0.25">
      <c r="B9" s="53" t="s">
        <v>24</v>
      </c>
      <c r="D9" s="6" t="s">
        <v>25</v>
      </c>
      <c r="E9" s="8" t="s">
        <v>26</v>
      </c>
      <c r="G9" s="9"/>
      <c r="H9" s="9"/>
      <c r="I9" s="9"/>
      <c r="J9" s="9"/>
      <c r="K9" s="9"/>
      <c r="M9" s="9">
        <v>0</v>
      </c>
      <c r="N9" s="9">
        <v>0</v>
      </c>
      <c r="O9" s="9">
        <v>0</v>
      </c>
      <c r="P9" s="9">
        <v>0</v>
      </c>
      <c r="Q9" s="9">
        <f>SUM(M9:P9)</f>
        <v>0</v>
      </c>
      <c r="R9" s="9"/>
      <c r="S9" s="9"/>
      <c r="T9" s="9"/>
      <c r="U9" s="9"/>
      <c r="V9" s="9"/>
      <c r="W9" s="9"/>
    </row>
    <row r="10" spans="2:25" x14ac:dyDescent="0.2">
      <c r="B10" s="49" t="s">
        <v>27</v>
      </c>
      <c r="E10" s="8" t="s">
        <v>28</v>
      </c>
      <c r="G10" s="10"/>
      <c r="H10" s="10"/>
      <c r="I10" s="10"/>
      <c r="J10" s="10"/>
      <c r="K10" s="10"/>
      <c r="M10" s="10">
        <f>G10</f>
        <v>0</v>
      </c>
      <c r="N10" s="10">
        <f>H10</f>
        <v>0</v>
      </c>
      <c r="O10" s="10">
        <f>I10</f>
        <v>0</v>
      </c>
      <c r="P10" s="10">
        <v>0</v>
      </c>
      <c r="Q10" s="10">
        <f>SUM(M10:P10)</f>
        <v>0</v>
      </c>
      <c r="R10" s="20"/>
      <c r="S10" s="20"/>
      <c r="T10" s="20"/>
      <c r="U10" s="20"/>
      <c r="V10" s="20"/>
      <c r="W10" s="20"/>
    </row>
    <row r="11" spans="2:25" x14ac:dyDescent="0.2">
      <c r="E11" s="8"/>
    </row>
    <row r="12" spans="2:25" ht="13.5" thickBot="1" x14ac:dyDescent="0.25">
      <c r="D12" s="6" t="s">
        <v>29</v>
      </c>
      <c r="E12" s="8" t="s">
        <v>26</v>
      </c>
      <c r="G12" s="9"/>
      <c r="H12" s="9"/>
      <c r="I12" s="9"/>
      <c r="J12" s="9"/>
      <c r="K12" s="9"/>
      <c r="M12" s="9">
        <f t="shared" ref="M12:P13" si="0">G12</f>
        <v>0</v>
      </c>
      <c r="N12" s="9">
        <f t="shared" si="0"/>
        <v>0</v>
      </c>
      <c r="O12" s="9">
        <f t="shared" si="0"/>
        <v>0</v>
      </c>
      <c r="P12" s="9">
        <f t="shared" si="0"/>
        <v>0</v>
      </c>
      <c r="Q12" s="9">
        <f>SUM(M12:P12)</f>
        <v>0</v>
      </c>
      <c r="R12" s="9"/>
      <c r="S12" s="9"/>
      <c r="T12" s="54">
        <f>223294-K12</f>
        <v>223294</v>
      </c>
      <c r="U12" s="9"/>
      <c r="V12" s="9"/>
      <c r="W12" s="9"/>
    </row>
    <row r="13" spans="2:25" x14ac:dyDescent="0.2">
      <c r="E13" s="8" t="s">
        <v>28</v>
      </c>
      <c r="G13" s="10"/>
      <c r="H13" s="10"/>
      <c r="I13" s="10"/>
      <c r="J13" s="10"/>
      <c r="K13" s="10"/>
      <c r="M13" s="10">
        <f t="shared" si="0"/>
        <v>0</v>
      </c>
      <c r="N13" s="10">
        <f t="shared" si="0"/>
        <v>0</v>
      </c>
      <c r="O13" s="10">
        <f t="shared" si="0"/>
        <v>0</v>
      </c>
      <c r="P13" s="10">
        <v>0</v>
      </c>
      <c r="Q13" s="10">
        <f>SUM(M13:P13)</f>
        <v>0</v>
      </c>
      <c r="R13" s="20"/>
      <c r="S13" s="20"/>
      <c r="T13" s="55"/>
      <c r="U13" s="20"/>
      <c r="V13" s="20"/>
      <c r="W13" s="20"/>
    </row>
    <row r="14" spans="2:25" x14ac:dyDescent="0.2">
      <c r="T14" s="56"/>
      <c r="Y14" s="11" t="s">
        <v>30</v>
      </c>
    </row>
    <row r="15" spans="2:25" x14ac:dyDescent="0.2">
      <c r="D15" s="6" t="s">
        <v>31</v>
      </c>
      <c r="E15" s="8" t="s">
        <v>32</v>
      </c>
      <c r="G15" s="9"/>
      <c r="H15" s="9"/>
      <c r="I15" s="9"/>
      <c r="J15" s="9"/>
      <c r="K15" s="9"/>
      <c r="M15" s="9">
        <v>0</v>
      </c>
      <c r="N15" s="9">
        <v>0</v>
      </c>
      <c r="O15" s="9">
        <v>0</v>
      </c>
      <c r="P15" s="9">
        <v>0</v>
      </c>
      <c r="Q15" s="9">
        <f t="shared" ref="Q15:Q20" si="1">SUM(M15:P15)</f>
        <v>0</v>
      </c>
      <c r="R15" s="9"/>
      <c r="S15" s="9"/>
      <c r="T15" s="54"/>
      <c r="U15" s="9"/>
      <c r="V15" s="9"/>
      <c r="W15" s="9"/>
    </row>
    <row r="16" spans="2:25" x14ac:dyDescent="0.2">
      <c r="D16" s="6" t="s">
        <v>33</v>
      </c>
      <c r="E16" s="8" t="s">
        <v>34</v>
      </c>
      <c r="G16" s="9"/>
      <c r="H16" s="9"/>
      <c r="I16" s="9"/>
      <c r="J16" s="9"/>
      <c r="K16" s="9"/>
      <c r="M16" s="9">
        <f>G16</f>
        <v>0</v>
      </c>
      <c r="N16" s="9">
        <f>H16</f>
        <v>0</v>
      </c>
      <c r="O16" s="9">
        <f>I16</f>
        <v>0</v>
      </c>
      <c r="P16" s="9">
        <f>J16</f>
        <v>0</v>
      </c>
      <c r="Q16" s="9">
        <f t="shared" si="1"/>
        <v>0</v>
      </c>
      <c r="R16" s="9"/>
      <c r="S16" s="9"/>
      <c r="T16" s="54"/>
      <c r="U16" s="9"/>
      <c r="V16" s="9"/>
      <c r="W16" s="9"/>
      <c r="Y16" s="3" t="s">
        <v>35</v>
      </c>
    </row>
    <row r="17" spans="2:25" x14ac:dyDescent="0.2">
      <c r="D17" s="57"/>
      <c r="E17" s="8" t="s">
        <v>36</v>
      </c>
      <c r="G17" s="9"/>
      <c r="H17" s="9"/>
      <c r="I17" s="9"/>
      <c r="J17" s="9"/>
      <c r="K17" s="9"/>
      <c r="M17" s="9">
        <v>0</v>
      </c>
      <c r="N17" s="9">
        <v>0</v>
      </c>
      <c r="O17" s="9">
        <v>0</v>
      </c>
      <c r="P17" s="9">
        <v>0</v>
      </c>
      <c r="Q17" s="9">
        <f t="shared" si="1"/>
        <v>0</v>
      </c>
      <c r="R17" s="9"/>
      <c r="S17" s="9"/>
      <c r="T17" s="54"/>
      <c r="U17" s="9"/>
      <c r="V17" s="9"/>
      <c r="W17" s="9"/>
      <c r="Y17" s="12">
        <v>614800</v>
      </c>
    </row>
    <row r="18" spans="2:25" x14ac:dyDescent="0.2">
      <c r="E18" s="8" t="s">
        <v>37</v>
      </c>
      <c r="G18" s="9"/>
      <c r="H18" s="9"/>
      <c r="I18" s="9"/>
      <c r="J18" s="9"/>
      <c r="K18" s="9"/>
      <c r="M18" s="9">
        <v>0</v>
      </c>
      <c r="N18" s="9">
        <v>0</v>
      </c>
      <c r="O18" s="9">
        <v>0</v>
      </c>
      <c r="P18" s="9">
        <v>0</v>
      </c>
      <c r="Q18" s="9">
        <f t="shared" si="1"/>
        <v>0</v>
      </c>
      <c r="R18" s="9"/>
      <c r="S18" s="9"/>
      <c r="T18" s="54"/>
      <c r="U18" s="9"/>
      <c r="V18" s="9"/>
      <c r="W18" s="9"/>
    </row>
    <row r="19" spans="2:25" x14ac:dyDescent="0.2">
      <c r="E19" s="8" t="s">
        <v>38</v>
      </c>
      <c r="G19" s="9"/>
      <c r="H19" s="9"/>
      <c r="I19" s="9"/>
      <c r="J19" s="9"/>
      <c r="K19" s="9"/>
      <c r="M19" s="9">
        <f>G19</f>
        <v>0</v>
      </c>
      <c r="N19" s="9">
        <f>H19</f>
        <v>0</v>
      </c>
      <c r="O19" s="9">
        <f>I19</f>
        <v>0</v>
      </c>
      <c r="P19" s="9">
        <f>J19</f>
        <v>0</v>
      </c>
      <c r="Q19" s="9">
        <f t="shared" si="1"/>
        <v>0</v>
      </c>
      <c r="R19" s="9"/>
      <c r="S19" s="9"/>
      <c r="T19" s="54"/>
      <c r="U19" s="9"/>
      <c r="V19" s="9"/>
      <c r="W19" s="9"/>
      <c r="Y19" s="3" t="s">
        <v>39</v>
      </c>
    </row>
    <row r="20" spans="2:25" x14ac:dyDescent="0.2">
      <c r="E20" s="8" t="s">
        <v>40</v>
      </c>
      <c r="G20" s="13"/>
      <c r="H20" s="13"/>
      <c r="I20" s="13"/>
      <c r="J20" s="13"/>
      <c r="K20" s="13"/>
      <c r="M20" s="9">
        <v>0</v>
      </c>
      <c r="N20" s="9">
        <v>0</v>
      </c>
      <c r="O20" s="9">
        <v>0</v>
      </c>
      <c r="P20" s="9">
        <v>0</v>
      </c>
      <c r="Q20" s="9">
        <f t="shared" si="1"/>
        <v>0</v>
      </c>
      <c r="R20" s="9"/>
      <c r="S20" s="9"/>
      <c r="T20" s="54"/>
      <c r="U20" s="9"/>
      <c r="V20" s="9"/>
      <c r="W20" s="9"/>
      <c r="Y20" s="12">
        <f>31030+1679</f>
        <v>32709</v>
      </c>
    </row>
    <row r="21" spans="2:25" x14ac:dyDescent="0.2">
      <c r="D21" s="49" t="s">
        <v>41</v>
      </c>
      <c r="E21" s="8"/>
      <c r="G21" s="14"/>
      <c r="H21" s="14"/>
      <c r="I21" s="14"/>
      <c r="J21" s="14"/>
      <c r="K21" s="14"/>
      <c r="M21" s="15">
        <f>M9+M12+SUM(M15:M20)</f>
        <v>0</v>
      </c>
      <c r="N21" s="15">
        <f>N9+N12+SUM(N15:N20)</f>
        <v>0</v>
      </c>
      <c r="O21" s="15">
        <f>O9+O12+SUM(O15:O20)</f>
        <v>0</v>
      </c>
      <c r="P21" s="15">
        <f>P9+P12+SUM(P15:P20)</f>
        <v>0</v>
      </c>
      <c r="Q21" s="15">
        <f>Q9+Q12+SUM(Q15:Q20)</f>
        <v>0</v>
      </c>
      <c r="R21" s="58"/>
      <c r="S21" s="58"/>
      <c r="T21" s="59"/>
      <c r="U21" s="58"/>
      <c r="V21" s="58"/>
      <c r="W21" s="58"/>
    </row>
    <row r="22" spans="2:25" x14ac:dyDescent="0.2">
      <c r="E22" s="8"/>
      <c r="G22" s="9"/>
      <c r="H22" s="9"/>
      <c r="I22" s="9"/>
      <c r="J22" s="9"/>
      <c r="K22" s="9"/>
      <c r="M22" s="16"/>
      <c r="N22" s="9"/>
      <c r="O22" s="9"/>
      <c r="P22" s="9"/>
      <c r="Q22" s="9"/>
      <c r="R22" s="9"/>
      <c r="S22" s="9"/>
      <c r="T22" s="54"/>
      <c r="U22" s="9"/>
      <c r="V22" s="9"/>
      <c r="W22" s="9"/>
      <c r="Y22" s="3" t="s">
        <v>42</v>
      </c>
    </row>
    <row r="23" spans="2:25" x14ac:dyDescent="0.2">
      <c r="B23" s="49" t="s">
        <v>43</v>
      </c>
      <c r="E23" s="8" t="s">
        <v>44</v>
      </c>
      <c r="G23" s="13"/>
      <c r="H23" s="13"/>
      <c r="I23" s="13"/>
      <c r="J23" s="13"/>
      <c r="K23" s="13"/>
      <c r="M23" s="13">
        <f>$Q$23*G$79</f>
        <v>0</v>
      </c>
      <c r="N23" s="13">
        <f>$Q$23*H$79</f>
        <v>0</v>
      </c>
      <c r="O23" s="13">
        <f>$Q$23*I$79</f>
        <v>0</v>
      </c>
      <c r="P23" s="13">
        <v>0</v>
      </c>
      <c r="Q23" s="13">
        <f>K23*Y23</f>
        <v>0</v>
      </c>
      <c r="R23" s="17"/>
      <c r="S23" s="17"/>
      <c r="T23" s="18">
        <f>251603.59-K23</f>
        <v>251603.59</v>
      </c>
      <c r="U23" s="17"/>
      <c r="V23" s="17"/>
      <c r="W23" s="17"/>
      <c r="Y23" s="19">
        <f>Y20/Y17</f>
        <v>5.320266753415745E-2</v>
      </c>
    </row>
    <row r="24" spans="2:25" x14ac:dyDescent="0.2">
      <c r="B24" s="49"/>
      <c r="D24" s="49" t="s">
        <v>45</v>
      </c>
      <c r="E24" s="8"/>
      <c r="G24" s="14"/>
      <c r="H24" s="14"/>
      <c r="I24" s="14"/>
      <c r="J24" s="14"/>
      <c r="K24" s="14"/>
      <c r="M24" s="14">
        <f>SUM(M23)</f>
        <v>0</v>
      </c>
      <c r="N24" s="14">
        <f>SUM(N23)</f>
        <v>0</v>
      </c>
      <c r="O24" s="14">
        <f>SUM(O23)</f>
        <v>0</v>
      </c>
      <c r="P24" s="14">
        <f>SUM(P23)</f>
        <v>0</v>
      </c>
      <c r="Q24" s="14">
        <f>SUM(M24:P24)</f>
        <v>0</v>
      </c>
      <c r="R24" s="14"/>
      <c r="S24" s="14"/>
      <c r="T24" s="60"/>
      <c r="U24" s="14"/>
      <c r="V24" s="14"/>
      <c r="W24" s="14"/>
    </row>
    <row r="25" spans="2:25" x14ac:dyDescent="0.2">
      <c r="B25" s="49"/>
    </row>
    <row r="26" spans="2:25" x14ac:dyDescent="0.2">
      <c r="B26" s="49" t="s">
        <v>46</v>
      </c>
      <c r="E26" s="8" t="s">
        <v>47</v>
      </c>
      <c r="G26" s="9"/>
      <c r="H26" s="9"/>
      <c r="I26" s="9"/>
      <c r="J26" s="9"/>
      <c r="K26" s="9"/>
      <c r="M26" s="17">
        <v>0</v>
      </c>
      <c r="N26" s="17">
        <v>0</v>
      </c>
      <c r="O26" s="17">
        <v>0</v>
      </c>
      <c r="P26" s="9">
        <v>0</v>
      </c>
      <c r="Q26" s="9">
        <f t="shared" ref="Q26:Q31" si="2">SUM(M26:P26)</f>
        <v>0</v>
      </c>
      <c r="R26" s="9"/>
      <c r="S26" s="9"/>
      <c r="T26" s="9"/>
      <c r="U26" s="9"/>
      <c r="V26" s="9"/>
      <c r="W26" s="9"/>
    </row>
    <row r="27" spans="2:25" x14ac:dyDescent="0.2">
      <c r="B27" s="49"/>
      <c r="E27" s="8" t="s">
        <v>48</v>
      </c>
      <c r="G27" s="9"/>
      <c r="H27" s="9"/>
      <c r="I27" s="9"/>
      <c r="J27" s="9"/>
      <c r="K27" s="9"/>
      <c r="M27" s="9">
        <f>G27</f>
        <v>0</v>
      </c>
      <c r="N27" s="9">
        <f>H27</f>
        <v>0</v>
      </c>
      <c r="O27" s="9">
        <f>I27</f>
        <v>0</v>
      </c>
      <c r="P27" s="9">
        <f>J27</f>
        <v>0</v>
      </c>
      <c r="Q27" s="9">
        <f>SUM(M27:P27)</f>
        <v>0</v>
      </c>
      <c r="R27" s="9"/>
      <c r="S27" s="9"/>
      <c r="T27" s="9"/>
      <c r="U27" s="9"/>
      <c r="V27" s="9"/>
      <c r="W27" s="9"/>
    </row>
    <row r="28" spans="2:25" x14ac:dyDescent="0.2">
      <c r="B28" s="49"/>
      <c r="E28" s="6" t="s">
        <v>49</v>
      </c>
      <c r="G28" s="9"/>
      <c r="H28" s="9"/>
      <c r="I28" s="9"/>
      <c r="J28" s="9"/>
      <c r="K28" s="9"/>
      <c r="M28" s="9">
        <v>0</v>
      </c>
      <c r="N28" s="9">
        <v>0</v>
      </c>
      <c r="O28" s="9">
        <v>0</v>
      </c>
      <c r="P28" s="9">
        <v>0</v>
      </c>
      <c r="Q28" s="9">
        <f t="shared" si="2"/>
        <v>0</v>
      </c>
      <c r="R28" s="9"/>
      <c r="S28" s="9"/>
      <c r="T28" s="9"/>
      <c r="U28" s="9"/>
      <c r="V28" s="9"/>
      <c r="W28" s="9"/>
    </row>
    <row r="29" spans="2:25" x14ac:dyDescent="0.2">
      <c r="B29" s="49"/>
      <c r="E29" s="8" t="s">
        <v>50</v>
      </c>
      <c r="G29" s="9"/>
      <c r="H29" s="9"/>
      <c r="I29" s="9"/>
      <c r="J29" s="9"/>
      <c r="K29" s="9"/>
      <c r="M29" s="9">
        <f t="shared" ref="M29:P30" si="3">G29</f>
        <v>0</v>
      </c>
      <c r="N29" s="9">
        <f t="shared" si="3"/>
        <v>0</v>
      </c>
      <c r="O29" s="9">
        <f t="shared" si="3"/>
        <v>0</v>
      </c>
      <c r="P29" s="9">
        <f t="shared" si="3"/>
        <v>0</v>
      </c>
      <c r="Q29" s="9">
        <f t="shared" si="2"/>
        <v>0</v>
      </c>
      <c r="R29" s="9"/>
      <c r="S29" s="9"/>
      <c r="T29" s="9"/>
      <c r="U29" s="9"/>
      <c r="V29" s="9"/>
      <c r="W29" s="9"/>
    </row>
    <row r="30" spans="2:25" x14ac:dyDescent="0.2">
      <c r="B30" s="49"/>
      <c r="E30" s="8" t="s">
        <v>51</v>
      </c>
      <c r="G30" s="13"/>
      <c r="H30" s="13"/>
      <c r="I30" s="13"/>
      <c r="J30" s="13"/>
      <c r="K30" s="13"/>
      <c r="M30" s="13">
        <f t="shared" si="3"/>
        <v>0</v>
      </c>
      <c r="N30" s="13">
        <f t="shared" si="3"/>
        <v>0</v>
      </c>
      <c r="O30" s="13">
        <f t="shared" si="3"/>
        <v>0</v>
      </c>
      <c r="P30" s="13">
        <f>J30</f>
        <v>0</v>
      </c>
      <c r="Q30" s="13">
        <f t="shared" si="2"/>
        <v>0</v>
      </c>
      <c r="R30" s="17"/>
      <c r="S30" s="17"/>
      <c r="T30" s="17"/>
      <c r="U30" s="17"/>
      <c r="V30" s="17"/>
      <c r="W30" s="17"/>
    </row>
    <row r="31" spans="2:25" x14ac:dyDescent="0.2">
      <c r="B31" s="49"/>
      <c r="D31" s="49" t="s">
        <v>52</v>
      </c>
      <c r="G31" s="14"/>
      <c r="H31" s="14"/>
      <c r="I31" s="14"/>
      <c r="J31" s="14"/>
      <c r="K31" s="14"/>
      <c r="M31" s="14">
        <f>SUM(M26:M30)</f>
        <v>0</v>
      </c>
      <c r="N31" s="14">
        <f>SUM(N26:N30)</f>
        <v>0</v>
      </c>
      <c r="O31" s="14">
        <f>SUM(O26:O30)</f>
        <v>0</v>
      </c>
      <c r="P31" s="14">
        <f>SUM(P26:P30)</f>
        <v>0</v>
      </c>
      <c r="Q31" s="14">
        <f t="shared" si="2"/>
        <v>0</v>
      </c>
      <c r="R31" s="14"/>
      <c r="S31" s="14"/>
      <c r="T31" s="14"/>
      <c r="U31" s="14"/>
      <c r="V31" s="14"/>
      <c r="W31" s="14"/>
    </row>
    <row r="32" spans="2:25" x14ac:dyDescent="0.2">
      <c r="B32" s="49"/>
    </row>
    <row r="33" spans="2:23" x14ac:dyDescent="0.2">
      <c r="B33" s="49" t="s">
        <v>53</v>
      </c>
      <c r="D33" s="49" t="s">
        <v>54</v>
      </c>
      <c r="E33" s="6" t="s">
        <v>55</v>
      </c>
      <c r="G33" s="9"/>
      <c r="H33" s="9"/>
      <c r="I33" s="9"/>
      <c r="J33" s="9"/>
      <c r="K33" s="9"/>
      <c r="M33" s="9">
        <f t="shared" ref="M33:P34" si="4">G33</f>
        <v>0</v>
      </c>
      <c r="N33" s="9">
        <f t="shared" si="4"/>
        <v>0</v>
      </c>
      <c r="O33" s="9">
        <f t="shared" si="4"/>
        <v>0</v>
      </c>
      <c r="P33" s="9">
        <f t="shared" si="4"/>
        <v>0</v>
      </c>
      <c r="Q33" s="9">
        <f>SUM(M33:P33)</f>
        <v>0</v>
      </c>
      <c r="R33" s="9"/>
      <c r="S33" s="9"/>
      <c r="T33" s="9"/>
      <c r="U33" s="9"/>
      <c r="V33" s="9"/>
      <c r="W33" s="9"/>
    </row>
    <row r="34" spans="2:23" x14ac:dyDescent="0.2">
      <c r="B34" s="49" t="s">
        <v>56</v>
      </c>
      <c r="D34" s="49" t="s">
        <v>57</v>
      </c>
      <c r="E34" s="6" t="s">
        <v>58</v>
      </c>
      <c r="G34" s="9"/>
      <c r="H34" s="9"/>
      <c r="I34" s="9"/>
      <c r="J34" s="9"/>
      <c r="K34" s="9"/>
      <c r="M34" s="9">
        <f t="shared" si="4"/>
        <v>0</v>
      </c>
      <c r="N34" s="9">
        <f t="shared" si="4"/>
        <v>0</v>
      </c>
      <c r="O34" s="9">
        <f t="shared" si="4"/>
        <v>0</v>
      </c>
      <c r="P34" s="9">
        <f t="shared" si="4"/>
        <v>0</v>
      </c>
      <c r="Q34" s="9">
        <f>SUM(M34:P34)</f>
        <v>0</v>
      </c>
      <c r="R34" s="9"/>
      <c r="S34" s="9"/>
      <c r="T34" s="9"/>
      <c r="U34" s="9"/>
      <c r="V34" s="9"/>
      <c r="W34" s="9"/>
    </row>
    <row r="35" spans="2:23" x14ac:dyDescent="0.2">
      <c r="D35" s="49"/>
      <c r="Q35" s="9"/>
      <c r="R35" s="9"/>
      <c r="S35" s="9"/>
      <c r="T35" s="9"/>
      <c r="U35" s="9"/>
      <c r="V35" s="9"/>
      <c r="W35" s="9"/>
    </row>
    <row r="36" spans="2:23" x14ac:dyDescent="0.2">
      <c r="D36" s="49" t="s">
        <v>59</v>
      </c>
      <c r="E36" s="6" t="s">
        <v>60</v>
      </c>
      <c r="G36" s="9"/>
      <c r="H36" s="9"/>
      <c r="I36" s="9"/>
      <c r="J36" s="9"/>
      <c r="K36" s="9"/>
      <c r="M36" s="9">
        <f t="shared" ref="M36:P41" si="5">G36</f>
        <v>0</v>
      </c>
      <c r="N36" s="9">
        <f t="shared" si="5"/>
        <v>0</v>
      </c>
      <c r="O36" s="9">
        <f t="shared" si="5"/>
        <v>0</v>
      </c>
      <c r="P36" s="9">
        <f t="shared" si="5"/>
        <v>0</v>
      </c>
      <c r="Q36" s="9">
        <f t="shared" ref="Q36:Q41" si="6">SUM(M36:P36)</f>
        <v>0</v>
      </c>
      <c r="R36" s="9"/>
      <c r="S36" s="9"/>
      <c r="T36" s="9"/>
      <c r="U36" s="9"/>
      <c r="V36" s="9"/>
      <c r="W36" s="9"/>
    </row>
    <row r="37" spans="2:23" x14ac:dyDescent="0.2">
      <c r="D37" s="49" t="s">
        <v>61</v>
      </c>
      <c r="E37" s="6" t="s">
        <v>62</v>
      </c>
      <c r="G37" s="9"/>
      <c r="H37" s="9"/>
      <c r="I37" s="9"/>
      <c r="J37" s="9"/>
      <c r="K37" s="9"/>
      <c r="M37" s="9">
        <f t="shared" si="5"/>
        <v>0</v>
      </c>
      <c r="N37" s="9">
        <f t="shared" si="5"/>
        <v>0</v>
      </c>
      <c r="O37" s="9">
        <f t="shared" si="5"/>
        <v>0</v>
      </c>
      <c r="P37" s="9">
        <f t="shared" si="5"/>
        <v>0</v>
      </c>
      <c r="Q37" s="9">
        <f t="shared" si="6"/>
        <v>0</v>
      </c>
      <c r="R37" s="9"/>
      <c r="S37" s="9"/>
      <c r="T37" s="9"/>
      <c r="U37" s="9"/>
      <c r="V37" s="9"/>
      <c r="W37" s="9"/>
    </row>
    <row r="38" spans="2:23" x14ac:dyDescent="0.2">
      <c r="D38" s="49"/>
      <c r="E38" s="6" t="s">
        <v>63</v>
      </c>
      <c r="G38" s="9"/>
      <c r="H38" s="9"/>
      <c r="I38" s="9"/>
      <c r="J38" s="9"/>
      <c r="K38" s="9"/>
      <c r="M38" s="9">
        <f t="shared" si="5"/>
        <v>0</v>
      </c>
      <c r="N38" s="9">
        <f t="shared" si="5"/>
        <v>0</v>
      </c>
      <c r="O38" s="9">
        <f t="shared" si="5"/>
        <v>0</v>
      </c>
      <c r="P38" s="9">
        <f t="shared" si="5"/>
        <v>0</v>
      </c>
      <c r="Q38" s="9">
        <f t="shared" si="6"/>
        <v>0</v>
      </c>
      <c r="R38" s="9"/>
      <c r="S38" s="9"/>
      <c r="T38" s="9"/>
      <c r="U38" s="9"/>
      <c r="V38" s="9"/>
      <c r="W38" s="9"/>
    </row>
    <row r="39" spans="2:23" x14ac:dyDescent="0.2">
      <c r="D39" s="49"/>
      <c r="E39" s="6" t="s">
        <v>64</v>
      </c>
      <c r="G39" s="9"/>
      <c r="H39" s="9"/>
      <c r="I39" s="9"/>
      <c r="J39" s="9"/>
      <c r="K39" s="9"/>
      <c r="M39" s="9">
        <f t="shared" si="5"/>
        <v>0</v>
      </c>
      <c r="N39" s="9">
        <f t="shared" si="5"/>
        <v>0</v>
      </c>
      <c r="O39" s="9">
        <f t="shared" si="5"/>
        <v>0</v>
      </c>
      <c r="P39" s="9">
        <f t="shared" si="5"/>
        <v>0</v>
      </c>
      <c r="Q39" s="9">
        <f t="shared" si="6"/>
        <v>0</v>
      </c>
      <c r="R39" s="9"/>
      <c r="S39" s="9"/>
      <c r="T39" s="9"/>
      <c r="U39" s="9"/>
      <c r="V39" s="9"/>
      <c r="W39" s="9"/>
    </row>
    <row r="40" spans="2:23" x14ac:dyDescent="0.2">
      <c r="D40" s="49"/>
      <c r="E40" s="6" t="s">
        <v>65</v>
      </c>
      <c r="G40" s="9"/>
      <c r="H40" s="9"/>
      <c r="I40" s="9"/>
      <c r="J40" s="9"/>
      <c r="K40" s="9"/>
      <c r="M40" s="9">
        <f t="shared" si="5"/>
        <v>0</v>
      </c>
      <c r="N40" s="9">
        <f t="shared" si="5"/>
        <v>0</v>
      </c>
      <c r="O40" s="9">
        <f t="shared" si="5"/>
        <v>0</v>
      </c>
      <c r="P40" s="9">
        <f t="shared" si="5"/>
        <v>0</v>
      </c>
      <c r="Q40" s="9">
        <f t="shared" si="6"/>
        <v>0</v>
      </c>
      <c r="R40" s="9"/>
      <c r="S40" s="9"/>
      <c r="T40" s="9"/>
      <c r="U40" s="9"/>
      <c r="V40" s="9"/>
      <c r="W40" s="9"/>
    </row>
    <row r="41" spans="2:23" x14ac:dyDescent="0.2">
      <c r="D41" s="49"/>
      <c r="E41" s="6" t="s">
        <v>66</v>
      </c>
      <c r="G41" s="9"/>
      <c r="H41" s="9"/>
      <c r="I41" s="9"/>
      <c r="J41" s="9"/>
      <c r="K41" s="9"/>
      <c r="M41" s="9">
        <f t="shared" si="5"/>
        <v>0</v>
      </c>
      <c r="N41" s="9">
        <f t="shared" si="5"/>
        <v>0</v>
      </c>
      <c r="O41" s="9">
        <f t="shared" si="5"/>
        <v>0</v>
      </c>
      <c r="P41" s="9">
        <f t="shared" si="5"/>
        <v>0</v>
      </c>
      <c r="Q41" s="9">
        <f t="shared" si="6"/>
        <v>0</v>
      </c>
      <c r="R41" s="9"/>
      <c r="S41" s="9"/>
      <c r="T41" s="9"/>
      <c r="U41" s="9"/>
      <c r="V41" s="9"/>
      <c r="W41" s="9"/>
    </row>
    <row r="42" spans="2:23" x14ac:dyDescent="0.2">
      <c r="D42" s="49"/>
      <c r="Q42" s="9"/>
      <c r="R42" s="9"/>
      <c r="S42" s="9"/>
      <c r="T42" s="9"/>
      <c r="U42" s="9"/>
      <c r="V42" s="9"/>
      <c r="W42" s="9"/>
    </row>
    <row r="43" spans="2:23" x14ac:dyDescent="0.2">
      <c r="D43" s="49"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49"/>
    </row>
    <row r="45" spans="2:23" x14ac:dyDescent="0.2">
      <c r="D45" s="49"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49"/>
    </row>
    <row r="47" spans="2:23" x14ac:dyDescent="0.2">
      <c r="D47" s="49"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49"/>
    </row>
    <row r="49" spans="1:24" x14ac:dyDescent="0.2">
      <c r="D49" s="49"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1:24" x14ac:dyDescent="0.2">
      <c r="D50" s="49" t="s">
        <v>71</v>
      </c>
    </row>
    <row r="51" spans="1:24" x14ac:dyDescent="0.2">
      <c r="D51" s="49"/>
    </row>
    <row r="52" spans="1:24" x14ac:dyDescent="0.2">
      <c r="B52" s="49"/>
      <c r="D52" s="49"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1:24" x14ac:dyDescent="0.2">
      <c r="D53" s="49" t="s">
        <v>72</v>
      </c>
      <c r="G53" s="14">
        <f>SUM(G33:G52)</f>
        <v>0</v>
      </c>
      <c r="H53" s="14">
        <f>SUM(H33:H52)</f>
        <v>0</v>
      </c>
      <c r="I53" s="14">
        <f>SUM(I33:I52)</f>
        <v>0</v>
      </c>
      <c r="J53" s="14">
        <f>SUM(J33:J52)</f>
        <v>0</v>
      </c>
      <c r="K53" s="14">
        <f>SUM(G53:J53)</f>
        <v>0</v>
      </c>
      <c r="M53" s="14">
        <f>SUM(M33:M52)</f>
        <v>0</v>
      </c>
      <c r="N53" s="14">
        <f>SUM(N33:N52)</f>
        <v>0</v>
      </c>
      <c r="O53" s="14">
        <f>SUM(O33:O52)</f>
        <v>0</v>
      </c>
      <c r="P53" s="14">
        <f>SUM(P33:P52)</f>
        <v>0</v>
      </c>
      <c r="Q53" s="14">
        <f>SUM(M53:P53)</f>
        <v>0</v>
      </c>
      <c r="R53" s="14"/>
      <c r="S53" s="14"/>
      <c r="T53" s="14"/>
      <c r="U53" s="14"/>
      <c r="V53" s="14"/>
      <c r="W53" s="14"/>
    </row>
    <row r="54" spans="1:24" x14ac:dyDescent="0.2">
      <c r="B54" s="49"/>
      <c r="G54" s="9"/>
    </row>
    <row r="55" spans="1:24" x14ac:dyDescent="0.2">
      <c r="B55" s="49" t="s">
        <v>73</v>
      </c>
      <c r="G55" s="9">
        <v>0</v>
      </c>
      <c r="H55" s="9">
        <v>0</v>
      </c>
      <c r="I55" s="9">
        <v>0</v>
      </c>
      <c r="J55" s="9">
        <v>0</v>
      </c>
      <c r="K55" s="9">
        <f>SUM(G55:J55)</f>
        <v>0</v>
      </c>
      <c r="M55" s="9">
        <v>0</v>
      </c>
      <c r="N55" s="9">
        <v>0</v>
      </c>
      <c r="O55" s="9">
        <v>0</v>
      </c>
      <c r="P55" s="9">
        <v>0</v>
      </c>
      <c r="Q55" s="9">
        <f>SUM(M55:P55)</f>
        <v>0</v>
      </c>
      <c r="R55" s="9"/>
      <c r="S55" s="9"/>
      <c r="T55" s="9"/>
      <c r="U55" s="9"/>
      <c r="V55" s="9"/>
      <c r="W55" s="9"/>
    </row>
    <row r="56" spans="1:24" x14ac:dyDescent="0.2">
      <c r="B56" s="49" t="s">
        <v>74</v>
      </c>
      <c r="D56" s="9"/>
    </row>
    <row r="57" spans="1:24" ht="13.5" thickBot="1" x14ac:dyDescent="0.25">
      <c r="K57" s="9"/>
      <c r="Q57" s="61"/>
      <c r="R57" s="62"/>
      <c r="S57" s="62"/>
      <c r="T57" s="62"/>
      <c r="U57" s="62"/>
      <c r="V57" s="62"/>
      <c r="W57" s="62"/>
    </row>
    <row r="58" spans="1:24" x14ac:dyDescent="0.2">
      <c r="B58" s="49" t="s">
        <v>75</v>
      </c>
      <c r="E58" s="9"/>
      <c r="G58" s="63">
        <f>G21+G24+G31+G53+G55</f>
        <v>0</v>
      </c>
      <c r="H58" s="63">
        <f>H21+H24+H31+H53+H55</f>
        <v>0</v>
      </c>
      <c r="I58" s="63">
        <f>I21+I24+I31+I53+I55</f>
        <v>0</v>
      </c>
      <c r="J58" s="63">
        <f>J21+J24+J31+J53+J55</f>
        <v>0</v>
      </c>
      <c r="K58" s="63">
        <f>SUM(G58:J58)</f>
        <v>0</v>
      </c>
      <c r="L58" s="64"/>
      <c r="M58" s="63">
        <f>M21+M24+M31+M53+M55</f>
        <v>0</v>
      </c>
      <c r="N58" s="63">
        <f>N21+N24+N31+N53+N55</f>
        <v>0</v>
      </c>
      <c r="O58" s="63">
        <f>O21+O24+O31+O53+O55</f>
        <v>0</v>
      </c>
      <c r="P58" s="63">
        <f>P21+P24+P31+P53+P55</f>
        <v>0</v>
      </c>
      <c r="Q58" s="63">
        <f>SUM(M58:P58)</f>
        <v>0</v>
      </c>
      <c r="R58" s="58"/>
      <c r="S58" s="58"/>
      <c r="T58" s="58"/>
      <c r="U58" s="58"/>
      <c r="V58" s="58"/>
      <c r="W58" s="58"/>
    </row>
    <row r="61" spans="1:24" ht="14.25" x14ac:dyDescent="0.2">
      <c r="B61" s="53" t="s">
        <v>76</v>
      </c>
    </row>
    <row r="62" spans="1:24" x14ac:dyDescent="0.2">
      <c r="E62" s="8"/>
    </row>
    <row r="63" spans="1:24" s="3" customFormat="1" x14ac:dyDescent="0.2">
      <c r="A63" s="6"/>
      <c r="B63" s="6"/>
      <c r="C63" s="6"/>
      <c r="D63" s="6" t="s">
        <v>78</v>
      </c>
      <c r="E63" s="8" t="s">
        <v>26</v>
      </c>
      <c r="F63" s="6"/>
      <c r="G63" s="22">
        <v>1290198</v>
      </c>
      <c r="H63" s="22">
        <v>6193</v>
      </c>
      <c r="I63" s="22">
        <v>61017</v>
      </c>
      <c r="J63" s="9">
        <v>0</v>
      </c>
      <c r="K63" s="9">
        <f>I63+H63+G63</f>
        <v>1357408</v>
      </c>
      <c r="L63" s="6"/>
      <c r="M63" s="9">
        <f>G63</f>
        <v>1290198</v>
      </c>
      <c r="N63" s="9">
        <f>H63</f>
        <v>6193</v>
      </c>
      <c r="O63" s="9">
        <f>I63</f>
        <v>61017</v>
      </c>
      <c r="P63" s="9">
        <f>J63</f>
        <v>0</v>
      </c>
      <c r="Q63" s="9">
        <f>K63</f>
        <v>1357408</v>
      </c>
      <c r="R63" s="9"/>
      <c r="S63" s="9"/>
      <c r="T63" s="9"/>
      <c r="U63" s="9"/>
      <c r="V63" s="9"/>
      <c r="W63" s="9"/>
      <c r="X63" s="6"/>
    </row>
    <row r="64" spans="1:24" s="3" customFormat="1" ht="13.5" thickBot="1" x14ac:dyDescent="0.25">
      <c r="A64" s="6"/>
      <c r="B64" s="6"/>
      <c r="C64" s="6"/>
      <c r="D64" s="6"/>
      <c r="E64" s="6"/>
      <c r="F64" s="6"/>
      <c r="G64" s="6"/>
      <c r="H64" s="6"/>
      <c r="I64" s="6"/>
      <c r="J64" s="6"/>
      <c r="K64" s="6"/>
      <c r="L64" s="6"/>
      <c r="M64" s="6"/>
      <c r="N64" s="6"/>
      <c r="O64" s="6"/>
      <c r="P64" s="6"/>
      <c r="Q64" s="6"/>
      <c r="R64" s="6"/>
      <c r="S64" s="6"/>
      <c r="T64" s="6"/>
      <c r="U64" s="6"/>
      <c r="V64" s="6"/>
      <c r="W64" s="6"/>
      <c r="X64" s="31"/>
    </row>
    <row r="65" spans="1:24" s="3" customFormat="1" ht="13.5" thickBot="1" x14ac:dyDescent="0.25">
      <c r="A65" s="6"/>
      <c r="B65" s="49" t="s">
        <v>79</v>
      </c>
      <c r="C65" s="6"/>
      <c r="D65" s="6"/>
      <c r="E65" s="8" t="s">
        <v>26</v>
      </c>
      <c r="F65" s="6"/>
      <c r="G65" s="63">
        <f>G63</f>
        <v>1290198</v>
      </c>
      <c r="H65" s="63">
        <f t="shared" ref="H65:Q66" si="7">H63</f>
        <v>6193</v>
      </c>
      <c r="I65" s="63">
        <f t="shared" si="7"/>
        <v>61017</v>
      </c>
      <c r="J65" s="63">
        <f t="shared" si="7"/>
        <v>0</v>
      </c>
      <c r="K65" s="63">
        <f t="shared" si="7"/>
        <v>1357408</v>
      </c>
      <c r="L65" s="6"/>
      <c r="M65" s="63">
        <f t="shared" si="7"/>
        <v>1290198</v>
      </c>
      <c r="N65" s="63">
        <f t="shared" si="7"/>
        <v>6193</v>
      </c>
      <c r="O65" s="63">
        <f t="shared" si="7"/>
        <v>61017</v>
      </c>
      <c r="P65" s="63">
        <f t="shared" si="7"/>
        <v>0</v>
      </c>
      <c r="Q65" s="63">
        <f t="shared" si="7"/>
        <v>1357408</v>
      </c>
      <c r="R65" s="58"/>
      <c r="S65" s="58"/>
      <c r="T65" s="58"/>
      <c r="U65" s="58"/>
      <c r="V65" s="58"/>
      <c r="W65" s="58"/>
      <c r="X65" s="62"/>
    </row>
    <row r="66" spans="1:24" s="3" customFormat="1" x14ac:dyDescent="0.2">
      <c r="A66" s="6"/>
      <c r="B66" s="49"/>
      <c r="C66" s="6"/>
      <c r="D66" s="6"/>
      <c r="E66" s="8" t="s">
        <v>28</v>
      </c>
      <c r="F66" s="6"/>
      <c r="G66" s="63">
        <f>G64</f>
        <v>0</v>
      </c>
      <c r="H66" s="63">
        <f t="shared" si="7"/>
        <v>0</v>
      </c>
      <c r="I66" s="63">
        <f t="shared" si="7"/>
        <v>0</v>
      </c>
      <c r="J66" s="63">
        <f t="shared" si="7"/>
        <v>0</v>
      </c>
      <c r="K66" s="63">
        <f t="shared" si="7"/>
        <v>0</v>
      </c>
      <c r="L66" s="6"/>
      <c r="M66" s="63">
        <f t="shared" si="7"/>
        <v>0</v>
      </c>
      <c r="N66" s="63">
        <f t="shared" si="7"/>
        <v>0</v>
      </c>
      <c r="O66" s="63">
        <f t="shared" si="7"/>
        <v>0</v>
      </c>
      <c r="P66" s="63">
        <f t="shared" si="7"/>
        <v>0</v>
      </c>
      <c r="Q66" s="63">
        <f t="shared" si="7"/>
        <v>0</v>
      </c>
      <c r="R66" s="65"/>
      <c r="S66" s="65"/>
      <c r="T66" s="65"/>
      <c r="U66" s="65"/>
      <c r="V66" s="65"/>
      <c r="W66" s="65"/>
      <c r="X66" s="6"/>
    </row>
    <row r="67" spans="1:24" s="3" customFormat="1" x14ac:dyDescent="0.2">
      <c r="A67" s="6"/>
      <c r="B67" s="6"/>
      <c r="C67" s="6"/>
      <c r="D67" s="6"/>
      <c r="E67" s="6"/>
      <c r="F67" s="6"/>
      <c r="G67" s="6"/>
      <c r="H67" s="6"/>
      <c r="I67" s="6"/>
      <c r="J67" s="6"/>
      <c r="K67" s="9"/>
      <c r="L67" s="6"/>
      <c r="M67" s="6"/>
      <c r="N67" s="6"/>
      <c r="O67" s="6"/>
      <c r="P67" s="6"/>
      <c r="Q67" s="6"/>
      <c r="R67" s="6"/>
      <c r="S67" s="6"/>
      <c r="T67" s="6"/>
      <c r="U67" s="6"/>
      <c r="V67" s="6"/>
      <c r="W67" s="6"/>
      <c r="X67" s="9"/>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6"/>
    </row>
    <row r="69" spans="1:24" s="3" customFormat="1" ht="15" thickBot="1" x14ac:dyDescent="0.25">
      <c r="A69" s="6"/>
      <c r="B69" s="53" t="s">
        <v>80</v>
      </c>
      <c r="C69" s="6"/>
      <c r="D69" s="6"/>
      <c r="E69" s="6"/>
      <c r="F69" s="6"/>
      <c r="G69" s="21">
        <f t="shared" ref="G69:Q69" si="8">G58+G65</f>
        <v>1290198</v>
      </c>
      <c r="H69" s="21">
        <f t="shared" si="8"/>
        <v>6193</v>
      </c>
      <c r="I69" s="21">
        <f t="shared" si="8"/>
        <v>61017</v>
      </c>
      <c r="J69" s="21">
        <f t="shared" si="8"/>
        <v>0</v>
      </c>
      <c r="K69" s="21">
        <f>K58+K65</f>
        <v>1357408</v>
      </c>
      <c r="L69" s="21">
        <f t="shared" si="8"/>
        <v>0</v>
      </c>
      <c r="M69" s="21">
        <f t="shared" si="8"/>
        <v>1290198</v>
      </c>
      <c r="N69" s="21">
        <f t="shared" si="8"/>
        <v>6193</v>
      </c>
      <c r="O69" s="21">
        <f t="shared" si="8"/>
        <v>61017</v>
      </c>
      <c r="P69" s="21">
        <f t="shared" si="8"/>
        <v>0</v>
      </c>
      <c r="Q69" s="21">
        <f t="shared" si="8"/>
        <v>1357408</v>
      </c>
      <c r="R69" s="58"/>
      <c r="S69" s="58"/>
      <c r="T69" s="58"/>
      <c r="U69" s="58"/>
      <c r="V69" s="58"/>
      <c r="W69" s="58"/>
      <c r="X69" s="6"/>
    </row>
    <row r="70" spans="1:24" s="3" customFormat="1" ht="13.5" thickTop="1" x14ac:dyDescent="0.2">
      <c r="A70" s="6"/>
      <c r="B70" s="6"/>
      <c r="C70" s="6"/>
      <c r="D70" s="6"/>
      <c r="E70" s="6"/>
      <c r="F70" s="6"/>
      <c r="G70" s="6"/>
      <c r="H70" s="6"/>
      <c r="I70" s="22"/>
      <c r="J70" s="6"/>
      <c r="K70" s="6"/>
      <c r="L70" s="6"/>
      <c r="M70" s="6"/>
      <c r="N70" s="6"/>
      <c r="O70" s="23"/>
      <c r="P70" s="6"/>
      <c r="Q70" s="6"/>
      <c r="R70" s="6"/>
      <c r="S70" s="6"/>
      <c r="T70" s="6"/>
      <c r="U70" s="6"/>
      <c r="V70" s="6"/>
      <c r="W70" s="6"/>
      <c r="X70" s="6"/>
    </row>
    <row r="71" spans="1:24" x14ac:dyDescent="0.2">
      <c r="I71" s="22"/>
      <c r="K71" s="9"/>
      <c r="O71" s="23"/>
    </row>
    <row r="72" spans="1:24" x14ac:dyDescent="0.2">
      <c r="G72" s="57"/>
      <c r="H72" s="57"/>
      <c r="I72" s="57"/>
      <c r="J72" s="9"/>
      <c r="K72" s="9"/>
      <c r="O72" s="23"/>
    </row>
    <row r="73" spans="1:24" x14ac:dyDescent="0.2">
      <c r="G73" s="93"/>
      <c r="H73" s="93"/>
      <c r="I73" s="93"/>
      <c r="K73" s="9"/>
      <c r="O73" s="35"/>
    </row>
    <row r="74" spans="1:24" x14ac:dyDescent="0.2">
      <c r="G74" s="24"/>
      <c r="H74" s="24"/>
      <c r="I74" s="24"/>
      <c r="K74" s="9"/>
      <c r="O74" s="23"/>
    </row>
    <row r="75" spans="1:24" x14ac:dyDescent="0.2">
      <c r="G75" s="22"/>
      <c r="H75" s="22"/>
      <c r="I75" s="22"/>
      <c r="J75" s="9"/>
      <c r="K75" s="9"/>
      <c r="M75" s="66"/>
      <c r="N75" s="66"/>
      <c r="O75" s="25"/>
      <c r="P75" s="66"/>
      <c r="Q75" s="66"/>
      <c r="R75" s="66"/>
      <c r="S75" s="66"/>
      <c r="T75" s="66"/>
      <c r="U75" s="66"/>
    </row>
    <row r="76" spans="1:24" x14ac:dyDescent="0.2">
      <c r="G76" s="22"/>
      <c r="H76" s="22"/>
      <c r="I76" s="22"/>
      <c r="K76" s="9"/>
      <c r="M76" s="66"/>
      <c r="N76" s="66"/>
      <c r="O76" s="25"/>
      <c r="P76" s="66"/>
      <c r="Q76" s="66"/>
      <c r="R76" s="66"/>
      <c r="S76" s="66"/>
      <c r="T76" s="66"/>
      <c r="U76" s="66"/>
    </row>
    <row r="77" spans="1:24" x14ac:dyDescent="0.2">
      <c r="G77" s="67"/>
      <c r="I77" s="22"/>
      <c r="M77" s="66"/>
      <c r="N77" s="66"/>
      <c r="O77" s="25"/>
      <c r="P77" s="66"/>
      <c r="Q77" s="66"/>
      <c r="R77" s="66"/>
      <c r="S77" s="66"/>
      <c r="T77" s="66"/>
      <c r="U77" s="66"/>
    </row>
    <row r="78" spans="1:24" ht="13.5" thickBot="1" x14ac:dyDescent="0.25">
      <c r="M78" s="66"/>
      <c r="N78" s="66"/>
      <c r="O78" s="66"/>
      <c r="P78" s="66"/>
      <c r="Q78" s="66"/>
      <c r="R78" s="66"/>
      <c r="S78" s="66"/>
      <c r="T78" s="66"/>
      <c r="U78" s="66"/>
    </row>
    <row r="79" spans="1:24" x14ac:dyDescent="0.2">
      <c r="E79" s="68"/>
      <c r="F79" s="69"/>
      <c r="G79" s="70">
        <f>G69/K69</f>
        <v>0.95048651547655527</v>
      </c>
      <c r="H79" s="70">
        <f>H69/K69</f>
        <v>4.5623718145170796E-3</v>
      </c>
      <c r="I79" s="70">
        <f>I69/K69</f>
        <v>4.4951112708927606E-2</v>
      </c>
      <c r="J79" s="69"/>
      <c r="K79" s="92"/>
      <c r="M79" s="71"/>
      <c r="N79" s="72"/>
      <c r="O79" s="72"/>
      <c r="P79" s="72"/>
      <c r="Q79" s="73"/>
      <c r="R79" s="56"/>
      <c r="S79" s="56"/>
      <c r="T79" s="56"/>
      <c r="U79" s="56"/>
    </row>
    <row r="80" spans="1:24" x14ac:dyDescent="0.2">
      <c r="E80" s="46"/>
      <c r="F80" s="31"/>
      <c r="G80" s="31"/>
      <c r="H80" s="31"/>
      <c r="I80" s="31"/>
      <c r="J80" s="31"/>
      <c r="K80" s="74"/>
      <c r="M80" s="26"/>
      <c r="N80" s="56"/>
      <c r="O80" s="56"/>
      <c r="P80" s="56"/>
      <c r="Q80" s="56"/>
      <c r="R80" s="56"/>
      <c r="S80" s="56"/>
      <c r="T80" s="56"/>
      <c r="U80" s="56"/>
    </row>
    <row r="81" spans="5:25" x14ac:dyDescent="0.2">
      <c r="E81" s="46" t="s">
        <v>81</v>
      </c>
      <c r="F81" s="31"/>
      <c r="G81" s="31"/>
      <c r="H81" s="31"/>
      <c r="I81" s="31"/>
      <c r="J81" s="31"/>
      <c r="K81" s="75">
        <v>250000</v>
      </c>
      <c r="M81" s="27"/>
      <c r="N81" s="73"/>
      <c r="O81" s="73"/>
      <c r="P81" s="73"/>
      <c r="Q81" s="73"/>
      <c r="R81" s="56"/>
      <c r="S81" s="56"/>
      <c r="T81" s="56"/>
      <c r="U81" s="56"/>
    </row>
    <row r="82" spans="5:25" x14ac:dyDescent="0.2">
      <c r="E82" s="46" t="s">
        <v>82</v>
      </c>
      <c r="F82" s="31"/>
      <c r="G82" s="31"/>
      <c r="H82" s="31"/>
      <c r="I82" s="31"/>
      <c r="J82" s="31"/>
      <c r="K82" s="75">
        <v>0</v>
      </c>
      <c r="M82" s="66"/>
      <c r="N82" s="56"/>
      <c r="O82" s="56"/>
      <c r="P82" s="56"/>
      <c r="Q82" s="56"/>
      <c r="R82" s="56"/>
      <c r="S82" s="56"/>
      <c r="T82" s="56"/>
      <c r="U82" s="56"/>
    </row>
    <row r="83" spans="5:25" x14ac:dyDescent="0.2">
      <c r="E83" s="46"/>
      <c r="F83" s="31"/>
      <c r="G83" s="31"/>
      <c r="H83" s="31"/>
      <c r="I83" s="31"/>
      <c r="J83" s="31"/>
      <c r="K83" s="75"/>
      <c r="M83" s="27"/>
      <c r="N83" s="56"/>
      <c r="O83" s="56"/>
      <c r="P83" s="56"/>
      <c r="Q83" s="56"/>
      <c r="R83" s="56"/>
      <c r="S83" s="56"/>
      <c r="T83" s="56"/>
      <c r="U83" s="56"/>
    </row>
    <row r="84" spans="5:25" x14ac:dyDescent="0.2">
      <c r="E84" s="46" t="s">
        <v>83</v>
      </c>
      <c r="F84" s="31"/>
      <c r="G84" s="31"/>
      <c r="H84" s="31"/>
      <c r="I84" s="31"/>
      <c r="J84" s="31"/>
      <c r="K84" s="76">
        <f>SUM(K81:K83)</f>
        <v>250000</v>
      </c>
      <c r="M84" s="27"/>
      <c r="N84" s="56"/>
      <c r="O84" s="56"/>
      <c r="P84" s="56"/>
      <c r="Q84" s="56"/>
      <c r="R84" s="56"/>
      <c r="S84" s="56"/>
      <c r="T84" s="56"/>
      <c r="U84" s="56"/>
    </row>
    <row r="85" spans="5:25" x14ac:dyDescent="0.2">
      <c r="E85" s="46" t="s">
        <v>84</v>
      </c>
      <c r="F85" s="31"/>
      <c r="G85" s="31"/>
      <c r="H85" s="31"/>
      <c r="I85" s="31"/>
      <c r="J85" s="31"/>
      <c r="K85" s="75"/>
      <c r="M85" s="27"/>
      <c r="N85" s="56"/>
      <c r="O85" s="77"/>
      <c r="P85" s="77"/>
      <c r="Q85" s="73"/>
      <c r="R85" s="56"/>
      <c r="S85" s="56"/>
      <c r="T85" s="56"/>
      <c r="U85" s="56"/>
    </row>
    <row r="86" spans="5:25" x14ac:dyDescent="0.2">
      <c r="E86" s="46" t="s">
        <v>85</v>
      </c>
      <c r="F86" s="31"/>
      <c r="G86" s="31"/>
      <c r="H86" s="31"/>
      <c r="I86" s="31"/>
      <c r="J86" s="31"/>
      <c r="K86" s="75"/>
      <c r="M86" s="27"/>
      <c r="N86" s="56"/>
      <c r="O86" s="77"/>
      <c r="P86" s="77"/>
      <c r="Q86" s="73"/>
      <c r="R86" s="56"/>
      <c r="S86" s="56"/>
      <c r="T86" s="56"/>
      <c r="U86" s="56"/>
    </row>
    <row r="87" spans="5:25" x14ac:dyDescent="0.2">
      <c r="E87" s="46"/>
      <c r="F87" s="31"/>
      <c r="G87" s="31"/>
      <c r="H87" s="31"/>
      <c r="I87" s="31"/>
      <c r="J87" s="31"/>
      <c r="K87" s="75"/>
      <c r="M87" s="27"/>
      <c r="N87" s="56"/>
      <c r="O87" s="77"/>
      <c r="P87" s="77"/>
      <c r="Q87" s="73"/>
      <c r="R87" s="56"/>
      <c r="S87" s="56"/>
      <c r="T87" s="56"/>
      <c r="U87" s="56"/>
    </row>
    <row r="88" spans="5:25" ht="13.5" thickBot="1" x14ac:dyDescent="0.25">
      <c r="E88" s="46" t="s">
        <v>86</v>
      </c>
      <c r="F88" s="31"/>
      <c r="G88" s="31"/>
      <c r="H88" s="31"/>
      <c r="I88" s="31"/>
      <c r="J88" s="31"/>
      <c r="K88" s="78">
        <f>K84-K85-K86-K87</f>
        <v>250000</v>
      </c>
      <c r="M88" s="27"/>
      <c r="N88" s="56"/>
      <c r="O88" s="56"/>
      <c r="P88" s="56"/>
      <c r="Q88" s="56"/>
      <c r="R88" s="56"/>
      <c r="S88" s="56"/>
      <c r="T88" s="56"/>
      <c r="U88" s="56"/>
    </row>
    <row r="89" spans="5:25" ht="13.5" thickTop="1" x14ac:dyDescent="0.2">
      <c r="E89" s="46"/>
      <c r="F89" s="31"/>
      <c r="G89" s="31"/>
      <c r="H89" s="31"/>
      <c r="I89" s="31"/>
      <c r="J89" s="79" t="s">
        <v>87</v>
      </c>
      <c r="K89" s="75"/>
      <c r="M89" s="27"/>
      <c r="N89" s="56"/>
      <c r="O89" s="56"/>
      <c r="P89" s="56"/>
      <c r="Q89" s="73"/>
      <c r="R89" s="56"/>
      <c r="S89" s="56"/>
      <c r="T89" s="56"/>
      <c r="U89" s="56"/>
    </row>
    <row r="90" spans="5:25" x14ac:dyDescent="0.2">
      <c r="E90" s="46" t="s">
        <v>81</v>
      </c>
      <c r="F90" s="31"/>
      <c r="G90" s="29">
        <v>173002</v>
      </c>
      <c r="H90" s="29">
        <v>1384</v>
      </c>
      <c r="I90" s="29">
        <v>10629</v>
      </c>
      <c r="J90" s="29"/>
      <c r="K90" s="75"/>
      <c r="M90" s="27"/>
      <c r="N90" s="56"/>
      <c r="O90" s="56"/>
      <c r="P90" s="56"/>
      <c r="Q90" s="56"/>
      <c r="R90" s="56"/>
      <c r="S90" s="56"/>
      <c r="T90" s="56"/>
      <c r="U90" s="56">
        <v>0</v>
      </c>
      <c r="Y90" s="3">
        <v>900323.36</v>
      </c>
    </row>
    <row r="91" spans="5:25" x14ac:dyDescent="0.2">
      <c r="E91" s="46" t="s">
        <v>88</v>
      </c>
      <c r="F91" s="31"/>
      <c r="G91" s="29">
        <v>0</v>
      </c>
      <c r="H91" s="80">
        <v>0</v>
      </c>
      <c r="I91" s="80">
        <v>0</v>
      </c>
      <c r="K91" s="74"/>
      <c r="M91" s="66"/>
      <c r="N91" s="56"/>
      <c r="O91" s="56"/>
      <c r="P91" s="56"/>
      <c r="Q91" s="56"/>
      <c r="R91" s="56"/>
      <c r="S91" s="56"/>
      <c r="T91" s="56"/>
      <c r="U91" s="56"/>
    </row>
    <row r="92" spans="5:25" ht="13.5" thickBot="1" x14ac:dyDescent="0.25">
      <c r="E92" s="46" t="s">
        <v>89</v>
      </c>
      <c r="F92" s="31"/>
      <c r="G92" s="81">
        <f>G90+G91</f>
        <v>173002</v>
      </c>
      <c r="H92" s="81">
        <f>H90+H91</f>
        <v>1384</v>
      </c>
      <c r="I92" s="81">
        <f>I90+I91</f>
        <v>10629</v>
      </c>
      <c r="J92" s="28"/>
      <c r="K92" s="75"/>
      <c r="M92" s="66"/>
      <c r="N92" s="56"/>
      <c r="O92" s="56"/>
      <c r="P92" s="54"/>
      <c r="Q92" s="56"/>
      <c r="R92" s="56"/>
      <c r="S92" s="56"/>
      <c r="T92" s="56"/>
      <c r="U92" s="56"/>
    </row>
    <row r="93" spans="5:25" ht="14.25" thickTop="1" thickBot="1" x14ac:dyDescent="0.25">
      <c r="E93" s="46" t="s">
        <v>90</v>
      </c>
      <c r="F93" s="31"/>
      <c r="G93" s="82">
        <f>G92/$K$88</f>
        <v>0.69200799999999996</v>
      </c>
      <c r="H93" s="82">
        <f>H92/$K$88</f>
        <v>5.5360000000000001E-3</v>
      </c>
      <c r="I93" s="82">
        <f>I92/$K$88</f>
        <v>4.2515999999999998E-2</v>
      </c>
      <c r="J93" s="29"/>
      <c r="K93" s="75"/>
      <c r="M93" s="66"/>
      <c r="N93" s="56"/>
      <c r="O93" s="56"/>
      <c r="P93" s="56"/>
      <c r="Q93" s="56"/>
      <c r="R93" s="56"/>
      <c r="S93" s="56"/>
      <c r="T93" s="56"/>
      <c r="U93" s="56"/>
    </row>
    <row r="94" spans="5:25" ht="14.25" thickTop="1" thickBot="1" x14ac:dyDescent="0.25">
      <c r="E94" s="83"/>
      <c r="F94" s="84"/>
      <c r="G94" s="85" t="s">
        <v>91</v>
      </c>
      <c r="H94" s="85" t="s">
        <v>92</v>
      </c>
      <c r="I94" s="85" t="s">
        <v>5</v>
      </c>
      <c r="J94" s="84"/>
      <c r="K94" s="86"/>
      <c r="M94" s="66"/>
      <c r="N94" s="87"/>
      <c r="O94" s="87"/>
      <c r="P94" s="87"/>
      <c r="Q94" s="56"/>
      <c r="R94" s="56"/>
      <c r="S94" s="56"/>
      <c r="T94" s="56"/>
      <c r="U94" s="56"/>
    </row>
    <row r="95" spans="5:25" x14ac:dyDescent="0.2">
      <c r="J95" s="69"/>
      <c r="K95" s="88"/>
      <c r="M95" s="66"/>
      <c r="N95" s="87"/>
      <c r="O95" s="87"/>
      <c r="P95" s="87"/>
      <c r="Q95" s="56"/>
      <c r="R95" s="56"/>
      <c r="S95" s="56"/>
      <c r="T95" s="56"/>
      <c r="U95" s="56"/>
    </row>
    <row r="96" spans="5:25" x14ac:dyDescent="0.2">
      <c r="J96" s="29"/>
      <c r="K96" s="29"/>
      <c r="M96" s="66"/>
      <c r="N96" s="56"/>
      <c r="O96" s="56"/>
      <c r="P96" s="56"/>
      <c r="Q96" s="56"/>
      <c r="R96" s="56"/>
      <c r="S96" s="56"/>
      <c r="T96" s="56"/>
      <c r="U96" s="56"/>
    </row>
    <row r="97" spans="5:21" x14ac:dyDescent="0.2">
      <c r="E97" s="30"/>
      <c r="F97" s="31"/>
      <c r="G97" s="29"/>
      <c r="H97" s="29"/>
      <c r="I97" s="32"/>
      <c r="J97" s="89"/>
      <c r="K97" s="32"/>
      <c r="M97" s="66"/>
      <c r="N97" s="56"/>
      <c r="O97" s="56"/>
      <c r="P97" s="56"/>
      <c r="Q97" s="56"/>
      <c r="R97" s="56"/>
      <c r="S97" s="56"/>
      <c r="T97" s="56"/>
      <c r="U97" s="56"/>
    </row>
    <row r="98" spans="5:21" x14ac:dyDescent="0.2">
      <c r="E98" s="31"/>
      <c r="F98" s="31"/>
      <c r="G98" s="31"/>
      <c r="H98" s="31"/>
      <c r="I98" s="32"/>
      <c r="J98" s="89"/>
      <c r="K98" s="89"/>
      <c r="M98" s="90"/>
      <c r="N98" s="91"/>
      <c r="O98" s="91"/>
      <c r="P98" s="91"/>
      <c r="Q98" s="56"/>
      <c r="R98" s="56"/>
      <c r="S98" s="56"/>
      <c r="T98" s="56"/>
      <c r="U98" s="56"/>
    </row>
    <row r="99" spans="5:21" x14ac:dyDescent="0.2">
      <c r="E99" s="31"/>
      <c r="F99" s="31"/>
      <c r="G99" s="31"/>
      <c r="H99" s="29"/>
      <c r="I99" s="29"/>
      <c r="J99" s="31"/>
      <c r="K99" s="31"/>
      <c r="M99" s="66"/>
      <c r="N99" s="56"/>
      <c r="O99" s="56"/>
      <c r="P99" s="56"/>
      <c r="Q99" s="56"/>
      <c r="R99" s="56"/>
      <c r="S99" s="56"/>
      <c r="T99" s="56"/>
      <c r="U99" s="56"/>
    </row>
    <row r="100" spans="5:21" x14ac:dyDescent="0.2">
      <c r="E100" s="31"/>
      <c r="F100" s="31"/>
      <c r="G100" s="33"/>
      <c r="H100" s="33"/>
      <c r="I100" s="33"/>
      <c r="M100" s="66"/>
      <c r="N100" s="66"/>
      <c r="O100" s="66"/>
      <c r="P100" s="66"/>
      <c r="Q100" s="66"/>
      <c r="R100" s="66"/>
      <c r="S100" s="66"/>
      <c r="T100" s="66"/>
      <c r="U100" s="66"/>
    </row>
    <row r="101" spans="5:21" x14ac:dyDescent="0.2">
      <c r="E101" s="31"/>
      <c r="F101" s="31"/>
      <c r="G101" s="29"/>
      <c r="H101" s="29"/>
      <c r="I101" s="29"/>
      <c r="M101" s="66"/>
      <c r="N101" s="66"/>
      <c r="O101" s="66"/>
      <c r="P101" s="66"/>
      <c r="Q101" s="66"/>
      <c r="R101" s="66"/>
      <c r="S101" s="66"/>
      <c r="T101" s="66"/>
      <c r="U101" s="66"/>
    </row>
    <row r="102" spans="5:21" x14ac:dyDescent="0.2">
      <c r="E102" s="31"/>
      <c r="F102" s="31"/>
      <c r="G102" s="33"/>
      <c r="H102" s="33"/>
      <c r="I102" s="33"/>
      <c r="M102" s="66"/>
      <c r="N102" s="66"/>
      <c r="O102" s="66"/>
      <c r="P102" s="66"/>
      <c r="Q102" s="66"/>
      <c r="R102" s="66"/>
      <c r="S102" s="66"/>
      <c r="T102" s="66"/>
      <c r="U102" s="66"/>
    </row>
    <row r="103" spans="5:21" x14ac:dyDescent="0.2">
      <c r="E103" s="31"/>
      <c r="F103" s="31"/>
      <c r="G103" s="34"/>
      <c r="H103" s="34"/>
      <c r="I103" s="34"/>
      <c r="J103" s="31"/>
      <c r="M103" s="66"/>
      <c r="N103" s="66"/>
      <c r="O103" s="66"/>
      <c r="P103" s="66"/>
      <c r="Q103" s="66"/>
      <c r="R103" s="66"/>
      <c r="S103" s="66"/>
      <c r="T103" s="66"/>
      <c r="U103" s="66"/>
    </row>
    <row r="104" spans="5:21" x14ac:dyDescent="0.2">
      <c r="G104" s="29"/>
      <c r="H104" s="29"/>
      <c r="I104" s="29"/>
      <c r="J104" s="31"/>
      <c r="M104" s="66"/>
      <c r="N104" s="66"/>
      <c r="O104" s="66"/>
      <c r="P104" s="66"/>
      <c r="Q104" s="66"/>
      <c r="R104" s="66"/>
      <c r="S104" s="66"/>
      <c r="T104" s="66"/>
      <c r="U104" s="66"/>
    </row>
    <row r="105" spans="5:21" x14ac:dyDescent="0.2">
      <c r="G105" s="31"/>
      <c r="H105" s="31"/>
      <c r="I105" s="31"/>
      <c r="J105" s="31"/>
      <c r="M105" s="66"/>
      <c r="N105" s="66"/>
      <c r="O105" s="66"/>
      <c r="P105" s="66"/>
      <c r="Q105" s="66"/>
      <c r="R105" s="66"/>
      <c r="S105" s="66"/>
      <c r="T105" s="66"/>
      <c r="U105" s="66"/>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99FFCC"/>
    <pageSetUpPr fitToPage="1"/>
  </sheetPr>
  <dimension ref="A1:Y109"/>
  <sheetViews>
    <sheetView topLeftCell="A44" zoomScale="90" zoomScaleNormal="90" workbookViewId="0">
      <selection activeCell="G87" sqref="G87"/>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49"/>
      <c r="F1" s="49"/>
      <c r="I1" s="50"/>
    </row>
    <row r="2" spans="2:25" ht="20.25" thickBot="1" x14ac:dyDescent="0.3">
      <c r="B2" s="51" t="s">
        <v>6</v>
      </c>
      <c r="C2" s="49"/>
      <c r="D2" s="49"/>
      <c r="E2" s="49"/>
      <c r="F2" s="49"/>
      <c r="G2" s="104" t="s">
        <v>108</v>
      </c>
      <c r="H2" s="104"/>
      <c r="I2" s="104"/>
      <c r="J2" s="104"/>
      <c r="K2" s="104"/>
      <c r="M2" s="104" t="s">
        <v>109</v>
      </c>
      <c r="N2" s="104"/>
      <c r="O2" s="104"/>
      <c r="P2" s="104"/>
      <c r="Q2" s="104"/>
      <c r="R2" s="4"/>
      <c r="S2" s="4"/>
      <c r="T2" s="4"/>
      <c r="U2" s="4"/>
      <c r="V2" s="4"/>
      <c r="W2" s="4"/>
    </row>
    <row r="3" spans="2:25" ht="19.5" x14ac:dyDescent="0.25">
      <c r="B3" s="51" t="s">
        <v>7</v>
      </c>
      <c r="C3" s="49"/>
      <c r="D3" s="49"/>
    </row>
    <row r="4" spans="2:25" x14ac:dyDescent="0.2">
      <c r="B4" s="49" t="s">
        <v>107</v>
      </c>
      <c r="C4" s="49"/>
      <c r="D4" s="49"/>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2"/>
      <c r="C5" s="49"/>
      <c r="D5" s="52"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105</v>
      </c>
      <c r="D6" s="5"/>
      <c r="G6" s="7"/>
      <c r="H6" s="7" t="s">
        <v>19</v>
      </c>
      <c r="I6" s="7"/>
      <c r="J6" s="7"/>
      <c r="K6" s="7"/>
      <c r="M6" s="7"/>
      <c r="N6" s="7" t="s">
        <v>19</v>
      </c>
      <c r="O6" s="7"/>
      <c r="P6" s="7"/>
      <c r="Q6" s="7"/>
      <c r="R6" s="7"/>
      <c r="S6" s="7"/>
      <c r="T6" s="7"/>
      <c r="U6" s="7"/>
      <c r="V6" s="7"/>
      <c r="W6" s="7"/>
    </row>
    <row r="7" spans="2:25" ht="13.5" thickBot="1" x14ac:dyDescent="0.25">
      <c r="B7" s="49" t="s">
        <v>106</v>
      </c>
      <c r="G7" s="96" t="s">
        <v>20</v>
      </c>
      <c r="H7" s="96" t="s">
        <v>21</v>
      </c>
      <c r="I7" s="96" t="s">
        <v>22</v>
      </c>
      <c r="J7" s="96"/>
      <c r="K7" s="96" t="s">
        <v>23</v>
      </c>
      <c r="M7" s="96" t="s">
        <v>20</v>
      </c>
      <c r="N7" s="96" t="s">
        <v>21</v>
      </c>
      <c r="O7" s="96" t="s">
        <v>22</v>
      </c>
      <c r="P7" s="96"/>
      <c r="Q7" s="96" t="s">
        <v>23</v>
      </c>
      <c r="R7" s="4"/>
      <c r="S7" s="4"/>
      <c r="T7" s="4"/>
      <c r="U7" s="4"/>
      <c r="V7" s="4"/>
      <c r="W7" s="4"/>
    </row>
    <row r="8" spans="2:25" ht="5.0999999999999996" customHeight="1" x14ac:dyDescent="0.2">
      <c r="B8" s="49"/>
      <c r="G8" s="7"/>
      <c r="H8" s="7"/>
      <c r="I8" s="7"/>
      <c r="J8" s="7"/>
      <c r="K8" s="7"/>
      <c r="M8" s="7"/>
      <c r="N8" s="7"/>
      <c r="O8" s="7"/>
      <c r="P8" s="7"/>
      <c r="Q8" s="7"/>
      <c r="R8" s="7"/>
      <c r="S8" s="7"/>
      <c r="T8" s="7"/>
      <c r="U8" s="7"/>
      <c r="V8" s="7"/>
      <c r="W8" s="7"/>
    </row>
    <row r="9" spans="2:25" ht="15" thickBot="1" x14ac:dyDescent="0.25">
      <c r="B9" s="53" t="s">
        <v>24</v>
      </c>
      <c r="D9" s="6" t="s">
        <v>25</v>
      </c>
      <c r="E9" s="8" t="s">
        <v>26</v>
      </c>
      <c r="G9" s="9">
        <v>19529</v>
      </c>
      <c r="H9" s="9">
        <v>1953</v>
      </c>
      <c r="I9" s="9">
        <v>43614</v>
      </c>
      <c r="J9" s="9"/>
      <c r="K9" s="9">
        <f>J9+I9+H9+G9</f>
        <v>65096</v>
      </c>
      <c r="M9" s="9">
        <v>0</v>
      </c>
      <c r="N9" s="9">
        <v>0</v>
      </c>
      <c r="O9" s="9">
        <v>0</v>
      </c>
      <c r="P9" s="9">
        <v>0</v>
      </c>
      <c r="Q9" s="9">
        <f>SUM(M9:P9)</f>
        <v>0</v>
      </c>
      <c r="R9" s="9"/>
      <c r="S9" s="9"/>
      <c r="T9" s="9"/>
      <c r="U9" s="9"/>
      <c r="V9" s="9"/>
      <c r="W9" s="9"/>
    </row>
    <row r="10" spans="2:25" x14ac:dyDescent="0.2">
      <c r="B10" s="49" t="s">
        <v>27</v>
      </c>
      <c r="E10" s="8" t="s">
        <v>28</v>
      </c>
      <c r="G10" s="10">
        <v>312</v>
      </c>
      <c r="H10" s="10">
        <v>31.3</v>
      </c>
      <c r="I10" s="10">
        <v>697.6</v>
      </c>
      <c r="J10" s="10">
        <v>0</v>
      </c>
      <c r="K10" s="10"/>
      <c r="M10" s="10">
        <f>G10</f>
        <v>312</v>
      </c>
      <c r="N10" s="10">
        <f>H10</f>
        <v>31.3</v>
      </c>
      <c r="O10" s="10">
        <f>I10</f>
        <v>697.6</v>
      </c>
      <c r="P10" s="10">
        <v>0</v>
      </c>
      <c r="Q10" s="10">
        <f>SUM(M10:P10)</f>
        <v>1040.9000000000001</v>
      </c>
      <c r="R10" s="20"/>
      <c r="S10" s="20"/>
      <c r="T10" s="20"/>
      <c r="U10" s="20"/>
      <c r="V10" s="20"/>
      <c r="W10" s="20"/>
    </row>
    <row r="11" spans="2:25" x14ac:dyDescent="0.2">
      <c r="E11" s="8"/>
    </row>
    <row r="12" spans="2:25" ht="13.5" thickBot="1" x14ac:dyDescent="0.25">
      <c r="D12" s="6" t="s">
        <v>29</v>
      </c>
      <c r="E12" s="8" t="s">
        <v>26</v>
      </c>
      <c r="G12" s="9">
        <v>144025</v>
      </c>
      <c r="H12" s="9">
        <v>14402</v>
      </c>
      <c r="I12" s="9">
        <v>321655</v>
      </c>
      <c r="J12" s="9"/>
      <c r="K12" s="9">
        <f>J12+I12+H12+G12</f>
        <v>480082</v>
      </c>
      <c r="M12" s="9">
        <f t="shared" ref="M12:P13" si="0">G12</f>
        <v>144025</v>
      </c>
      <c r="N12" s="9">
        <f t="shared" si="0"/>
        <v>14402</v>
      </c>
      <c r="O12" s="9">
        <f t="shared" si="0"/>
        <v>321655</v>
      </c>
      <c r="P12" s="9">
        <f t="shared" si="0"/>
        <v>0</v>
      </c>
      <c r="Q12" s="9">
        <f>SUM(M12:P12)</f>
        <v>480082</v>
      </c>
      <c r="R12" s="9"/>
      <c r="S12" s="9"/>
      <c r="T12" s="54">
        <f>223294-K12</f>
        <v>-256788</v>
      </c>
      <c r="U12" s="9"/>
      <c r="V12" s="9"/>
      <c r="W12" s="9"/>
    </row>
    <row r="13" spans="2:25" x14ac:dyDescent="0.2">
      <c r="E13" s="8" t="s">
        <v>28</v>
      </c>
      <c r="G13" s="10">
        <v>2132.8000000000002</v>
      </c>
      <c r="H13" s="10">
        <v>212.6</v>
      </c>
      <c r="I13" s="10">
        <v>4763.6000000000004</v>
      </c>
      <c r="J13" s="10">
        <v>0</v>
      </c>
      <c r="K13" s="10">
        <f>G13+H13+I13+J13</f>
        <v>7109</v>
      </c>
      <c r="M13" s="10">
        <f t="shared" si="0"/>
        <v>2132.8000000000002</v>
      </c>
      <c r="N13" s="10">
        <f t="shared" si="0"/>
        <v>212.6</v>
      </c>
      <c r="O13" s="10">
        <f t="shared" si="0"/>
        <v>4763.6000000000004</v>
      </c>
      <c r="P13" s="10">
        <v>0</v>
      </c>
      <c r="Q13" s="10">
        <f>SUM(M13:P13)</f>
        <v>7109</v>
      </c>
      <c r="R13" s="20"/>
      <c r="S13" s="20"/>
      <c r="T13" s="55"/>
      <c r="U13" s="20"/>
      <c r="V13" s="20"/>
      <c r="W13" s="20"/>
    </row>
    <row r="14" spans="2:25" x14ac:dyDescent="0.2">
      <c r="T14" s="56"/>
      <c r="Y14" s="11" t="s">
        <v>30</v>
      </c>
    </row>
    <row r="15" spans="2:25" x14ac:dyDescent="0.2">
      <c r="D15" s="6" t="s">
        <v>31</v>
      </c>
      <c r="E15" s="8" t="s">
        <v>32</v>
      </c>
      <c r="G15" s="9">
        <v>7329</v>
      </c>
      <c r="H15" s="9">
        <v>733</v>
      </c>
      <c r="I15" s="9">
        <f>16+16351</f>
        <v>16367</v>
      </c>
      <c r="J15" s="9"/>
      <c r="K15" s="9">
        <f t="shared" ref="K15:K20" si="1">G15+H15+I15+J15</f>
        <v>24429</v>
      </c>
      <c r="M15" s="9">
        <v>0</v>
      </c>
      <c r="N15" s="9">
        <v>0</v>
      </c>
      <c r="O15" s="9">
        <v>0</v>
      </c>
      <c r="P15" s="9">
        <v>0</v>
      </c>
      <c r="Q15" s="9">
        <f t="shared" ref="Q15:Q20" si="2">SUM(M15:P15)</f>
        <v>0</v>
      </c>
      <c r="R15" s="9"/>
      <c r="S15" s="9"/>
      <c r="T15" s="54"/>
      <c r="U15" s="9"/>
      <c r="V15" s="9"/>
      <c r="W15" s="9"/>
    </row>
    <row r="16" spans="2:25" x14ac:dyDescent="0.2">
      <c r="D16" s="6" t="s">
        <v>33</v>
      </c>
      <c r="E16" s="8" t="s">
        <v>34</v>
      </c>
      <c r="G16" s="9">
        <v>16275</v>
      </c>
      <c r="H16" s="9">
        <v>1628</v>
      </c>
      <c r="I16" s="9">
        <f>36078+269</f>
        <v>36347</v>
      </c>
      <c r="J16" s="9"/>
      <c r="K16" s="9">
        <f t="shared" si="1"/>
        <v>54250</v>
      </c>
      <c r="M16" s="9">
        <f>G16</f>
        <v>16275</v>
      </c>
      <c r="N16" s="9">
        <f>H16</f>
        <v>1628</v>
      </c>
      <c r="O16" s="9">
        <f>I16</f>
        <v>36347</v>
      </c>
      <c r="P16" s="9">
        <f>J16</f>
        <v>0</v>
      </c>
      <c r="Q16" s="9">
        <f t="shared" si="2"/>
        <v>54250</v>
      </c>
      <c r="R16" s="9"/>
      <c r="S16" s="9"/>
      <c r="T16" s="54"/>
      <c r="U16" s="9"/>
      <c r="V16" s="9"/>
      <c r="W16" s="9"/>
      <c r="Y16" s="3" t="s">
        <v>35</v>
      </c>
    </row>
    <row r="17" spans="2:25" x14ac:dyDescent="0.2">
      <c r="D17" s="57"/>
      <c r="E17" s="8" t="s">
        <v>36</v>
      </c>
      <c r="G17" s="9">
        <v>71</v>
      </c>
      <c r="H17" s="9">
        <v>7</v>
      </c>
      <c r="I17" s="9">
        <v>159</v>
      </c>
      <c r="J17" s="9"/>
      <c r="K17" s="9">
        <f t="shared" si="1"/>
        <v>237</v>
      </c>
      <c r="M17" s="9">
        <v>0</v>
      </c>
      <c r="N17" s="9">
        <v>0</v>
      </c>
      <c r="O17" s="9">
        <v>0</v>
      </c>
      <c r="P17" s="9">
        <v>0</v>
      </c>
      <c r="Q17" s="9">
        <f t="shared" si="2"/>
        <v>0</v>
      </c>
      <c r="R17" s="9"/>
      <c r="S17" s="9"/>
      <c r="T17" s="54"/>
      <c r="U17" s="9"/>
      <c r="V17" s="9"/>
      <c r="W17" s="9"/>
      <c r="Y17" s="12">
        <v>614800</v>
      </c>
    </row>
    <row r="18" spans="2:25" x14ac:dyDescent="0.2">
      <c r="E18" s="8" t="s">
        <v>37</v>
      </c>
      <c r="G18" s="9">
        <v>2189.36</v>
      </c>
      <c r="H18" s="9">
        <v>217.85</v>
      </c>
      <c r="I18" s="9">
        <v>4895.25</v>
      </c>
      <c r="J18" s="9"/>
      <c r="K18" s="9">
        <f t="shared" si="1"/>
        <v>7302.46</v>
      </c>
      <c r="M18" s="9">
        <v>0</v>
      </c>
      <c r="N18" s="9">
        <v>0</v>
      </c>
      <c r="O18" s="9">
        <v>0</v>
      </c>
      <c r="P18" s="9">
        <v>0</v>
      </c>
      <c r="Q18" s="9">
        <f t="shared" si="2"/>
        <v>0</v>
      </c>
      <c r="R18" s="9"/>
      <c r="S18" s="9"/>
      <c r="T18" s="54"/>
      <c r="U18" s="9"/>
      <c r="V18" s="9"/>
      <c r="W18" s="9"/>
    </row>
    <row r="19" spans="2:25" x14ac:dyDescent="0.2">
      <c r="E19" s="8" t="s">
        <v>38</v>
      </c>
      <c r="G19" s="9">
        <v>239280</v>
      </c>
      <c r="H19" s="9">
        <v>35643</v>
      </c>
      <c r="I19" s="9"/>
      <c r="J19" s="9"/>
      <c r="K19" s="9">
        <f t="shared" si="1"/>
        <v>274923</v>
      </c>
      <c r="M19" s="9">
        <f>G19</f>
        <v>239280</v>
      </c>
      <c r="N19" s="9">
        <f>H19</f>
        <v>35643</v>
      </c>
      <c r="O19" s="9">
        <f>I19</f>
        <v>0</v>
      </c>
      <c r="P19" s="9">
        <f>J19</f>
        <v>0</v>
      </c>
      <c r="Q19" s="9">
        <f t="shared" si="2"/>
        <v>274923</v>
      </c>
      <c r="R19" s="9"/>
      <c r="S19" s="9"/>
      <c r="T19" s="54"/>
      <c r="U19" s="9"/>
      <c r="V19" s="9"/>
      <c r="W19" s="9"/>
      <c r="Y19" s="3" t="s">
        <v>39</v>
      </c>
    </row>
    <row r="20" spans="2:25" x14ac:dyDescent="0.2">
      <c r="E20" s="8" t="s">
        <v>40</v>
      </c>
      <c r="G20" s="13">
        <v>16485</v>
      </c>
      <c r="H20" s="13">
        <v>755</v>
      </c>
      <c r="I20" s="13">
        <v>17052</v>
      </c>
      <c r="J20" s="13"/>
      <c r="K20" s="13">
        <f t="shared" si="1"/>
        <v>34292</v>
      </c>
      <c r="M20" s="9">
        <v>0</v>
      </c>
      <c r="N20" s="9">
        <v>0</v>
      </c>
      <c r="O20" s="9">
        <v>0</v>
      </c>
      <c r="P20" s="9">
        <v>0</v>
      </c>
      <c r="Q20" s="9">
        <f t="shared" si="2"/>
        <v>0</v>
      </c>
      <c r="R20" s="9"/>
      <c r="S20" s="9"/>
      <c r="T20" s="54"/>
      <c r="U20" s="9"/>
      <c r="V20" s="9"/>
      <c r="W20" s="9"/>
      <c r="Y20" s="12">
        <f>31030+1679</f>
        <v>32709</v>
      </c>
    </row>
    <row r="21" spans="2:25" x14ac:dyDescent="0.2">
      <c r="D21" s="49" t="s">
        <v>41</v>
      </c>
      <c r="E21" s="8"/>
      <c r="G21" s="14">
        <f>SUM(G15:G20)+G12+G9</f>
        <v>445183.36</v>
      </c>
      <c r="H21" s="14">
        <f>SUM(H15:H20)+H12+H9</f>
        <v>55338.85</v>
      </c>
      <c r="I21" s="14">
        <f>SUM(I15:I20)+I12+I9</f>
        <v>440089.25</v>
      </c>
      <c r="J21" s="14">
        <f>SUM(J15:J20)+J12+J9</f>
        <v>0</v>
      </c>
      <c r="K21" s="14">
        <f>SUM(K15:K20)+K12+K9</f>
        <v>940611.46</v>
      </c>
      <c r="M21" s="15">
        <f>M9+M12+SUM(M15:M20)</f>
        <v>399580</v>
      </c>
      <c r="N21" s="15">
        <f>N9+N12+SUM(N15:N20)</f>
        <v>51673</v>
      </c>
      <c r="O21" s="15">
        <f>O9+O12+SUM(O15:O20)</f>
        <v>358002</v>
      </c>
      <c r="P21" s="15">
        <f>P9+P12+SUM(P15:P20)</f>
        <v>0</v>
      </c>
      <c r="Q21" s="15">
        <f>Q9+Q12+SUM(Q15:Q20)</f>
        <v>809255</v>
      </c>
      <c r="R21" s="58"/>
      <c r="S21" s="58"/>
      <c r="T21" s="59">
        <f>464310+207900+20790</f>
        <v>693000</v>
      </c>
      <c r="U21" s="58"/>
      <c r="V21" s="58"/>
      <c r="W21" s="58"/>
    </row>
    <row r="22" spans="2:25" x14ac:dyDescent="0.2">
      <c r="E22" s="8"/>
      <c r="G22" s="9"/>
      <c r="H22" s="9"/>
      <c r="I22" s="9"/>
      <c r="J22" s="9"/>
      <c r="K22" s="9"/>
      <c r="M22" s="16"/>
      <c r="N22" s="9"/>
      <c r="O22" s="9"/>
      <c r="P22" s="9"/>
      <c r="Q22" s="9"/>
      <c r="R22" s="9"/>
      <c r="S22" s="9"/>
      <c r="T22" s="97"/>
      <c r="U22" s="9"/>
      <c r="V22" s="9"/>
      <c r="W22" s="9"/>
      <c r="Y22" s="3" t="s">
        <v>42</v>
      </c>
    </row>
    <row r="23" spans="2:25" x14ac:dyDescent="0.2">
      <c r="B23" s="49" t="s">
        <v>43</v>
      </c>
      <c r="E23" s="8" t="s">
        <v>44</v>
      </c>
      <c r="G23" s="13">
        <v>29461.89</v>
      </c>
      <c r="H23" s="13">
        <v>2756.09</v>
      </c>
      <c r="I23" s="13">
        <v>65839.539999999994</v>
      </c>
      <c r="J23" s="13"/>
      <c r="K23" s="13">
        <f>J23+I23+H23+G23</f>
        <v>98057.51999999999</v>
      </c>
      <c r="M23" s="13">
        <f>$Q$23*G$83</f>
        <v>1565.0764907351981</v>
      </c>
      <c r="N23" s="13">
        <f>$Q$23*H$83</f>
        <v>156.50764907351981</v>
      </c>
      <c r="O23" s="13">
        <f>$Q$23*I$83</f>
        <v>3495.3374959752764</v>
      </c>
      <c r="P23" s="13">
        <v>0</v>
      </c>
      <c r="Q23" s="13">
        <f>K23*Y23</f>
        <v>5216.9216357839941</v>
      </c>
      <c r="R23" s="17"/>
      <c r="S23" s="17"/>
      <c r="T23" s="18">
        <f>251603.59-K23</f>
        <v>153546.07</v>
      </c>
      <c r="U23" s="17"/>
      <c r="V23" s="17"/>
      <c r="W23" s="17"/>
      <c r="Y23" s="19">
        <f>Y20/Y17</f>
        <v>5.320266753415745E-2</v>
      </c>
    </row>
    <row r="24" spans="2:25" x14ac:dyDescent="0.2">
      <c r="B24" s="49"/>
      <c r="D24" s="49" t="s">
        <v>45</v>
      </c>
      <c r="E24" s="8"/>
      <c r="G24" s="14">
        <f>G23</f>
        <v>29461.89</v>
      </c>
      <c r="H24" s="14">
        <f>H23</f>
        <v>2756.09</v>
      </c>
      <c r="I24" s="14">
        <f>I23</f>
        <v>65839.539999999994</v>
      </c>
      <c r="J24" s="14"/>
      <c r="K24" s="14">
        <f>K23</f>
        <v>98057.51999999999</v>
      </c>
      <c r="M24" s="14">
        <f>SUM(M23)</f>
        <v>1565.0764907351981</v>
      </c>
      <c r="N24" s="14">
        <f>SUM(N23)</f>
        <v>156.50764907351981</v>
      </c>
      <c r="O24" s="14">
        <f>SUM(O23)</f>
        <v>3495.3374959752764</v>
      </c>
      <c r="P24" s="14">
        <f>SUM(P23)</f>
        <v>0</v>
      </c>
      <c r="Q24" s="14">
        <f>SUM(M24:P24)</f>
        <v>5216.9216357839941</v>
      </c>
      <c r="R24" s="14"/>
      <c r="S24" s="14"/>
      <c r="T24" s="60"/>
      <c r="U24" s="14"/>
      <c r="V24" s="14"/>
      <c r="W24" s="14"/>
    </row>
    <row r="25" spans="2:25" x14ac:dyDescent="0.2">
      <c r="B25" s="49"/>
    </row>
    <row r="26" spans="2:25" x14ac:dyDescent="0.2">
      <c r="B26" s="49" t="s">
        <v>46</v>
      </c>
      <c r="E26" s="8" t="s">
        <v>47</v>
      </c>
      <c r="G26" s="9">
        <v>897</v>
      </c>
      <c r="H26" s="9">
        <v>79</v>
      </c>
      <c r="I26" s="9">
        <v>2004</v>
      </c>
      <c r="J26" s="9"/>
      <c r="K26" s="9">
        <f>G26+H26+I26+J26</f>
        <v>2980</v>
      </c>
      <c r="M26" s="17">
        <v>0</v>
      </c>
      <c r="N26" s="17">
        <v>0</v>
      </c>
      <c r="O26" s="17">
        <v>0</v>
      </c>
      <c r="P26" s="9">
        <v>0</v>
      </c>
      <c r="Q26" s="9">
        <f t="shared" ref="Q26:Q31" si="3">SUM(M26:P26)</f>
        <v>0</v>
      </c>
      <c r="R26" s="9"/>
      <c r="S26" s="9"/>
      <c r="T26" s="9"/>
      <c r="U26" s="9"/>
      <c r="V26" s="9"/>
      <c r="W26" s="9"/>
    </row>
    <row r="27" spans="2:25" x14ac:dyDescent="0.2">
      <c r="B27" s="49"/>
      <c r="E27" s="8" t="s">
        <v>48</v>
      </c>
      <c r="G27" s="9">
        <v>3547.2</v>
      </c>
      <c r="H27" s="9">
        <v>354.72</v>
      </c>
      <c r="I27" s="9">
        <v>7922.08</v>
      </c>
      <c r="J27" s="9"/>
      <c r="K27" s="9">
        <f>G27+H27+I27+J27</f>
        <v>11824</v>
      </c>
      <c r="M27" s="9">
        <f>G27</f>
        <v>3547.2</v>
      </c>
      <c r="N27" s="9">
        <f>H27</f>
        <v>354.72</v>
      </c>
      <c r="O27" s="9">
        <f>I27</f>
        <v>7922.08</v>
      </c>
      <c r="P27" s="9">
        <f>J27</f>
        <v>0</v>
      </c>
      <c r="Q27" s="9">
        <f>SUM(M27:P27)</f>
        <v>11824</v>
      </c>
      <c r="R27" s="9"/>
      <c r="S27" s="9"/>
      <c r="T27" s="9"/>
      <c r="U27" s="9"/>
      <c r="V27" s="9"/>
      <c r="W27" s="9"/>
    </row>
    <row r="28" spans="2:25" x14ac:dyDescent="0.2">
      <c r="B28" s="49"/>
      <c r="E28" s="6" t="s">
        <v>49</v>
      </c>
      <c r="G28" s="9"/>
      <c r="H28" s="9"/>
      <c r="I28" s="9"/>
      <c r="J28" s="9"/>
      <c r="K28" s="9">
        <f>G28+H28+I28+J28</f>
        <v>0</v>
      </c>
      <c r="M28" s="9">
        <v>0</v>
      </c>
      <c r="N28" s="9">
        <v>0</v>
      </c>
      <c r="O28" s="9">
        <v>0</v>
      </c>
      <c r="P28" s="9">
        <v>0</v>
      </c>
      <c r="Q28" s="9">
        <f t="shared" si="3"/>
        <v>0</v>
      </c>
      <c r="R28" s="9"/>
      <c r="S28" s="9"/>
      <c r="T28" s="9"/>
      <c r="U28" s="9"/>
      <c r="V28" s="9"/>
      <c r="W28" s="9"/>
    </row>
    <row r="29" spans="2:25" x14ac:dyDescent="0.2">
      <c r="B29" s="49"/>
      <c r="E29" s="8" t="s">
        <v>50</v>
      </c>
      <c r="G29" s="9">
        <v>34325.97</v>
      </c>
      <c r="H29" s="9">
        <v>3421.03</v>
      </c>
      <c r="I29" s="9">
        <v>76402.31</v>
      </c>
      <c r="J29" s="9"/>
      <c r="K29" s="9">
        <f>G29+H29+I29+J29</f>
        <v>114149.31</v>
      </c>
      <c r="M29" s="9">
        <f t="shared" ref="M29:P30" si="4">G29</f>
        <v>34325.97</v>
      </c>
      <c r="N29" s="9">
        <f t="shared" si="4"/>
        <v>3421.03</v>
      </c>
      <c r="O29" s="9">
        <f t="shared" si="4"/>
        <v>76402.31</v>
      </c>
      <c r="P29" s="9">
        <f t="shared" si="4"/>
        <v>0</v>
      </c>
      <c r="Q29" s="9">
        <f t="shared" si="3"/>
        <v>114149.31</v>
      </c>
      <c r="R29" s="9"/>
      <c r="S29" s="9"/>
      <c r="T29" s="9"/>
      <c r="U29" s="9"/>
      <c r="V29" s="9"/>
      <c r="W29" s="9"/>
    </row>
    <row r="30" spans="2:25" x14ac:dyDescent="0.2">
      <c r="B30" s="49"/>
      <c r="E30" s="8" t="s">
        <v>51</v>
      </c>
      <c r="G30" s="13">
        <f>4727.24+846.84</f>
        <v>5574.08</v>
      </c>
      <c r="H30" s="13">
        <f>451.05+84.68</f>
        <v>535.73</v>
      </c>
      <c r="I30" s="13">
        <f>10557.99+1891.27</f>
        <v>12449.26</v>
      </c>
      <c r="J30" s="13"/>
      <c r="K30" s="13">
        <f>G30+H30+I30+J30</f>
        <v>18559.07</v>
      </c>
      <c r="M30" s="13">
        <f t="shared" si="4"/>
        <v>5574.08</v>
      </c>
      <c r="N30" s="13">
        <f t="shared" si="4"/>
        <v>535.73</v>
      </c>
      <c r="O30" s="13">
        <f t="shared" si="4"/>
        <v>12449.26</v>
      </c>
      <c r="P30" s="13">
        <f>J30</f>
        <v>0</v>
      </c>
      <c r="Q30" s="13">
        <f t="shared" si="3"/>
        <v>18559.07</v>
      </c>
      <c r="R30" s="17"/>
      <c r="S30" s="17"/>
      <c r="T30" s="17"/>
      <c r="U30" s="17"/>
      <c r="V30" s="17"/>
      <c r="W30" s="17"/>
    </row>
    <row r="31" spans="2:25" x14ac:dyDescent="0.2">
      <c r="B31" s="49"/>
      <c r="D31" s="49" t="s">
        <v>52</v>
      </c>
      <c r="G31" s="14">
        <f>SUM(G26:G30)</f>
        <v>44344.25</v>
      </c>
      <c r="H31" s="14">
        <f>SUM(H26:H30)</f>
        <v>4390.4799999999996</v>
      </c>
      <c r="I31" s="14">
        <f>SUM(I26:I30)</f>
        <v>98777.65</v>
      </c>
      <c r="J31" s="14"/>
      <c r="K31" s="14">
        <f>SUM(K26:K30)</f>
        <v>147512.38</v>
      </c>
      <c r="M31" s="14">
        <f>SUM(M26:M30)</f>
        <v>43447.25</v>
      </c>
      <c r="N31" s="14">
        <f>SUM(N26:N30)</f>
        <v>4311.4799999999996</v>
      </c>
      <c r="O31" s="14">
        <f>SUM(O26:O30)</f>
        <v>96773.65</v>
      </c>
      <c r="P31" s="14">
        <f>SUM(P26:P30)</f>
        <v>0</v>
      </c>
      <c r="Q31" s="14">
        <f t="shared" si="3"/>
        <v>144532.38</v>
      </c>
      <c r="R31" s="14"/>
      <c r="S31" s="14"/>
      <c r="T31" s="14"/>
      <c r="U31" s="14"/>
      <c r="V31" s="14"/>
      <c r="W31" s="14"/>
    </row>
    <row r="32" spans="2:25" x14ac:dyDescent="0.2">
      <c r="B32" s="49"/>
    </row>
    <row r="33" spans="2:23" x14ac:dyDescent="0.2">
      <c r="B33" s="49" t="s">
        <v>53</v>
      </c>
      <c r="D33" s="49" t="s">
        <v>54</v>
      </c>
      <c r="E33" s="6" t="s">
        <v>55</v>
      </c>
      <c r="G33" s="9">
        <v>29028</v>
      </c>
      <c r="H33" s="9"/>
      <c r="I33" s="9"/>
      <c r="J33" s="9"/>
      <c r="K33" s="9">
        <f>G33+H33+I33+J33</f>
        <v>29028</v>
      </c>
      <c r="M33" s="9">
        <f t="shared" ref="M33:P34" si="5">G33</f>
        <v>29028</v>
      </c>
      <c r="N33" s="9">
        <f t="shared" si="5"/>
        <v>0</v>
      </c>
      <c r="O33" s="9">
        <f t="shared" si="5"/>
        <v>0</v>
      </c>
      <c r="P33" s="9">
        <f t="shared" si="5"/>
        <v>0</v>
      </c>
      <c r="Q33" s="9">
        <f>SUM(M33:P33)</f>
        <v>29028</v>
      </c>
      <c r="R33" s="9"/>
      <c r="S33" s="9"/>
      <c r="T33" s="9"/>
      <c r="U33" s="9"/>
      <c r="V33" s="9"/>
      <c r="W33" s="9"/>
    </row>
    <row r="34" spans="2:23" x14ac:dyDescent="0.2">
      <c r="B34" s="49" t="s">
        <v>56</v>
      </c>
      <c r="D34" s="49" t="s">
        <v>57</v>
      </c>
      <c r="E34" s="6" t="s">
        <v>58</v>
      </c>
      <c r="G34" s="9">
        <v>13580</v>
      </c>
      <c r="H34" s="9"/>
      <c r="I34" s="9"/>
      <c r="J34" s="9"/>
      <c r="K34" s="9">
        <f t="shared" ref="K34:K42" si="6">G34+H34+I34+J34</f>
        <v>13580</v>
      </c>
      <c r="M34" s="9">
        <f t="shared" si="5"/>
        <v>13580</v>
      </c>
      <c r="N34" s="9">
        <f t="shared" si="5"/>
        <v>0</v>
      </c>
      <c r="O34" s="9">
        <f t="shared" si="5"/>
        <v>0</v>
      </c>
      <c r="P34" s="9">
        <f t="shared" si="5"/>
        <v>0</v>
      </c>
      <c r="Q34" s="9">
        <f>SUM(M34:P34)</f>
        <v>13580</v>
      </c>
      <c r="R34" s="9"/>
      <c r="S34" s="9"/>
      <c r="T34" s="9"/>
      <c r="U34" s="9"/>
      <c r="V34" s="9"/>
      <c r="W34" s="9"/>
    </row>
    <row r="35" spans="2:23" x14ac:dyDescent="0.2">
      <c r="D35" s="49"/>
      <c r="K35" s="9">
        <f t="shared" si="6"/>
        <v>0</v>
      </c>
      <c r="Q35" s="9"/>
      <c r="R35" s="9"/>
      <c r="S35" s="9"/>
      <c r="T35" s="9"/>
      <c r="U35" s="9"/>
      <c r="V35" s="9"/>
      <c r="W35" s="9"/>
    </row>
    <row r="36" spans="2:23" x14ac:dyDescent="0.2">
      <c r="D36" s="49" t="s">
        <v>59</v>
      </c>
      <c r="E36" s="6" t="s">
        <v>60</v>
      </c>
      <c r="G36" s="9">
        <v>20712</v>
      </c>
      <c r="H36" s="9"/>
      <c r="I36" s="9"/>
      <c r="J36" s="9"/>
      <c r="K36" s="9">
        <f t="shared" si="6"/>
        <v>20712</v>
      </c>
      <c r="M36" s="9">
        <f t="shared" ref="M36:P41" si="7">G36</f>
        <v>20712</v>
      </c>
      <c r="N36" s="9">
        <f t="shared" si="7"/>
        <v>0</v>
      </c>
      <c r="O36" s="9">
        <f t="shared" si="7"/>
        <v>0</v>
      </c>
      <c r="P36" s="9">
        <f t="shared" si="7"/>
        <v>0</v>
      </c>
      <c r="Q36" s="9">
        <f t="shared" ref="Q36:Q41" si="8">SUM(M36:P36)</f>
        <v>20712</v>
      </c>
      <c r="R36" s="9"/>
      <c r="S36" s="9"/>
      <c r="T36" s="9"/>
      <c r="U36" s="9"/>
      <c r="V36" s="9"/>
      <c r="W36" s="9"/>
    </row>
    <row r="37" spans="2:23" x14ac:dyDescent="0.2">
      <c r="D37" s="49" t="s">
        <v>61</v>
      </c>
      <c r="E37" s="6" t="s">
        <v>62</v>
      </c>
      <c r="G37" s="9">
        <v>10680</v>
      </c>
      <c r="H37" s="9"/>
      <c r="I37" s="9"/>
      <c r="J37" s="9"/>
      <c r="K37" s="9">
        <f t="shared" si="6"/>
        <v>10680</v>
      </c>
      <c r="M37" s="9">
        <f t="shared" si="7"/>
        <v>10680</v>
      </c>
      <c r="N37" s="9">
        <f t="shared" si="7"/>
        <v>0</v>
      </c>
      <c r="O37" s="9">
        <f t="shared" si="7"/>
        <v>0</v>
      </c>
      <c r="P37" s="9">
        <f t="shared" si="7"/>
        <v>0</v>
      </c>
      <c r="Q37" s="9">
        <f t="shared" si="8"/>
        <v>10680</v>
      </c>
      <c r="R37" s="9"/>
      <c r="S37" s="9"/>
      <c r="T37" s="9"/>
      <c r="U37" s="9"/>
      <c r="V37" s="9"/>
      <c r="W37" s="9"/>
    </row>
    <row r="38" spans="2:23" x14ac:dyDescent="0.2">
      <c r="D38" s="49"/>
      <c r="E38" s="6" t="s">
        <v>63</v>
      </c>
      <c r="G38" s="9"/>
      <c r="H38" s="9"/>
      <c r="I38" s="9"/>
      <c r="J38" s="9"/>
      <c r="K38" s="9">
        <f t="shared" si="6"/>
        <v>0</v>
      </c>
      <c r="M38" s="9">
        <f t="shared" si="7"/>
        <v>0</v>
      </c>
      <c r="N38" s="9">
        <f t="shared" si="7"/>
        <v>0</v>
      </c>
      <c r="O38" s="9">
        <f t="shared" si="7"/>
        <v>0</v>
      </c>
      <c r="P38" s="9">
        <f t="shared" si="7"/>
        <v>0</v>
      </c>
      <c r="Q38" s="9">
        <f t="shared" si="8"/>
        <v>0</v>
      </c>
      <c r="R38" s="9"/>
      <c r="S38" s="9"/>
      <c r="T38" s="9"/>
      <c r="U38" s="9"/>
      <c r="V38" s="9"/>
      <c r="W38" s="9"/>
    </row>
    <row r="39" spans="2:23" x14ac:dyDescent="0.2">
      <c r="D39" s="49"/>
      <c r="E39" s="6" t="s">
        <v>64</v>
      </c>
      <c r="G39" s="9">
        <f>92179*0.5</f>
        <v>46089.5</v>
      </c>
      <c r="H39" s="9"/>
      <c r="I39" s="9"/>
      <c r="J39" s="9"/>
      <c r="K39" s="9">
        <f t="shared" si="6"/>
        <v>46089.5</v>
      </c>
      <c r="M39" s="9">
        <f t="shared" si="7"/>
        <v>46089.5</v>
      </c>
      <c r="N39" s="9">
        <f t="shared" si="7"/>
        <v>0</v>
      </c>
      <c r="O39" s="9">
        <f t="shared" si="7"/>
        <v>0</v>
      </c>
      <c r="P39" s="9">
        <f t="shared" si="7"/>
        <v>0</v>
      </c>
      <c r="Q39" s="9">
        <f t="shared" si="8"/>
        <v>46089.5</v>
      </c>
      <c r="R39" s="9"/>
      <c r="S39" s="9"/>
      <c r="T39" s="9"/>
      <c r="U39" s="9"/>
      <c r="V39" s="9"/>
      <c r="W39" s="9"/>
    </row>
    <row r="40" spans="2:23" x14ac:dyDescent="0.2">
      <c r="D40" s="49"/>
      <c r="E40" s="6" t="s">
        <v>65</v>
      </c>
      <c r="G40" s="9">
        <v>6064</v>
      </c>
      <c r="H40" s="9"/>
      <c r="I40" s="9"/>
      <c r="J40" s="9"/>
      <c r="K40" s="9">
        <f t="shared" si="6"/>
        <v>6064</v>
      </c>
      <c r="M40" s="9">
        <f t="shared" si="7"/>
        <v>6064</v>
      </c>
      <c r="N40" s="9">
        <f t="shared" si="7"/>
        <v>0</v>
      </c>
      <c r="O40" s="9">
        <f t="shared" si="7"/>
        <v>0</v>
      </c>
      <c r="P40" s="9">
        <f t="shared" si="7"/>
        <v>0</v>
      </c>
      <c r="Q40" s="9">
        <f t="shared" si="8"/>
        <v>6064</v>
      </c>
      <c r="R40" s="9"/>
      <c r="S40" s="9"/>
      <c r="T40" s="9"/>
      <c r="U40" s="9"/>
      <c r="V40" s="9"/>
      <c r="W40" s="9"/>
    </row>
    <row r="41" spans="2:23" x14ac:dyDescent="0.2">
      <c r="D41" s="49"/>
      <c r="E41" s="6" t="s">
        <v>66</v>
      </c>
      <c r="G41" s="9">
        <v>19729</v>
      </c>
      <c r="H41" s="9"/>
      <c r="I41" s="9"/>
      <c r="J41" s="9"/>
      <c r="K41" s="9">
        <f t="shared" si="6"/>
        <v>19729</v>
      </c>
      <c r="M41" s="9">
        <f t="shared" si="7"/>
        <v>19729</v>
      </c>
      <c r="N41" s="9">
        <f t="shared" si="7"/>
        <v>0</v>
      </c>
      <c r="O41" s="9">
        <f t="shared" si="7"/>
        <v>0</v>
      </c>
      <c r="P41" s="9">
        <f t="shared" si="7"/>
        <v>0</v>
      </c>
      <c r="Q41" s="9">
        <f t="shared" si="8"/>
        <v>19729</v>
      </c>
      <c r="R41" s="9"/>
      <c r="S41" s="9"/>
      <c r="T41" s="9"/>
      <c r="U41" s="9"/>
      <c r="V41" s="9"/>
      <c r="W41" s="9"/>
    </row>
    <row r="42" spans="2:23" x14ac:dyDescent="0.2">
      <c r="D42" s="49"/>
      <c r="K42" s="9">
        <f t="shared" si="6"/>
        <v>0</v>
      </c>
      <c r="Q42" s="9"/>
      <c r="R42" s="9"/>
      <c r="S42" s="9"/>
      <c r="T42" s="9"/>
      <c r="U42" s="9"/>
      <c r="V42" s="9"/>
      <c r="W42" s="9"/>
    </row>
    <row r="43" spans="2:23" x14ac:dyDescent="0.2">
      <c r="D43" s="49"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49"/>
    </row>
    <row r="45" spans="2:23" x14ac:dyDescent="0.2">
      <c r="D45" s="49"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49"/>
    </row>
    <row r="47" spans="2:23" x14ac:dyDescent="0.2">
      <c r="D47" s="49"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49"/>
    </row>
    <row r="49" spans="2:23" x14ac:dyDescent="0.2">
      <c r="D49" s="49"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49" t="s">
        <v>71</v>
      </c>
    </row>
    <row r="51" spans="2:23" x14ac:dyDescent="0.2">
      <c r="D51" s="49"/>
    </row>
    <row r="52" spans="2:23" x14ac:dyDescent="0.2">
      <c r="B52" s="49"/>
      <c r="D52" s="49"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49" t="s">
        <v>72</v>
      </c>
      <c r="G53" s="14">
        <f>SUM(G33:G52)</f>
        <v>145882.5</v>
      </c>
      <c r="H53" s="14">
        <f>SUM(H33:H52)</f>
        <v>0</v>
      </c>
      <c r="I53" s="14">
        <f>SUM(I33:I52)</f>
        <v>0</v>
      </c>
      <c r="J53" s="14">
        <f>SUM(J33:J52)</f>
        <v>0</v>
      </c>
      <c r="K53" s="14">
        <f>SUM(G53:J53)</f>
        <v>145882.5</v>
      </c>
      <c r="M53" s="14">
        <f>SUM(M33:M52)</f>
        <v>145882.5</v>
      </c>
      <c r="N53" s="14">
        <f>SUM(N33:N52)</f>
        <v>0</v>
      </c>
      <c r="O53" s="14">
        <f>SUM(O33:O52)</f>
        <v>0</v>
      </c>
      <c r="P53" s="14">
        <f>SUM(P33:P52)</f>
        <v>0</v>
      </c>
      <c r="Q53" s="14">
        <f>SUM(M53:P53)</f>
        <v>145882.5</v>
      </c>
      <c r="R53" s="14"/>
      <c r="S53" s="14"/>
      <c r="T53" s="14"/>
      <c r="U53" s="14"/>
      <c r="V53" s="14"/>
      <c r="W53" s="14"/>
    </row>
    <row r="54" spans="2:23" x14ac:dyDescent="0.2">
      <c r="B54" s="49"/>
      <c r="G54" s="9"/>
    </row>
    <row r="55" spans="2:23" x14ac:dyDescent="0.2">
      <c r="B55" s="49"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49" t="s">
        <v>74</v>
      </c>
      <c r="D56" s="9"/>
    </row>
    <row r="57" spans="2:23" ht="13.5" thickBot="1" x14ac:dyDescent="0.25">
      <c r="K57" s="9"/>
      <c r="Q57" s="61"/>
      <c r="R57" s="62"/>
      <c r="S57" s="62"/>
      <c r="T57" s="62"/>
      <c r="U57" s="62"/>
      <c r="V57" s="62"/>
      <c r="W57" s="62"/>
    </row>
    <row r="58" spans="2:23" x14ac:dyDescent="0.2">
      <c r="B58" s="49" t="s">
        <v>75</v>
      </c>
      <c r="E58" s="9"/>
      <c r="G58" s="63">
        <f>G21+G24+G31+G53+G55</f>
        <v>664872</v>
      </c>
      <c r="H58" s="63">
        <f>H21+H24+H31+H53+H55</f>
        <v>62485.42</v>
      </c>
      <c r="I58" s="63">
        <f>I21+I24+I31+I53+I55</f>
        <v>604706.43999999994</v>
      </c>
      <c r="J58" s="63">
        <f>J21+J24+J31+J53+J55</f>
        <v>0</v>
      </c>
      <c r="K58" s="63">
        <f>SUM(G58:J58)</f>
        <v>1332063.8599999999</v>
      </c>
      <c r="L58" s="64"/>
      <c r="M58" s="63">
        <f>M21+M24+M31+M53+M55</f>
        <v>590474.82649073517</v>
      </c>
      <c r="N58" s="63">
        <f>N21+N24+N31+N53+N55</f>
        <v>56140.987649073519</v>
      </c>
      <c r="O58" s="63">
        <f>O21+O24+O31+O53+O55</f>
        <v>458270.98749597522</v>
      </c>
      <c r="P58" s="63">
        <f>P21+P24+P31+P53+P55</f>
        <v>0</v>
      </c>
      <c r="Q58" s="63">
        <f>SUM(M58:P58)</f>
        <v>1104886.8016357839</v>
      </c>
      <c r="R58" s="58"/>
      <c r="S58" s="58"/>
      <c r="T58" s="58"/>
      <c r="U58" s="58"/>
      <c r="V58" s="58"/>
      <c r="W58" s="58"/>
    </row>
    <row r="61" spans="2:23" ht="14.25" x14ac:dyDescent="0.2">
      <c r="B61" s="53" t="s">
        <v>76</v>
      </c>
    </row>
    <row r="62" spans="2:23" x14ac:dyDescent="0.2">
      <c r="E62" s="8"/>
    </row>
    <row r="63" spans="2:23" x14ac:dyDescent="0.2">
      <c r="D63" s="6" t="s">
        <v>77</v>
      </c>
      <c r="E63" s="8" t="s">
        <v>26</v>
      </c>
      <c r="G63" s="9">
        <v>228060</v>
      </c>
      <c r="H63" s="9">
        <v>22806</v>
      </c>
      <c r="I63" s="9">
        <v>509334</v>
      </c>
      <c r="J63" s="9"/>
      <c r="K63" s="9">
        <f>G63+H63+I63</f>
        <v>760200</v>
      </c>
      <c r="M63" s="9">
        <f>Q63*G83</f>
        <v>182965.24799999999</v>
      </c>
      <c r="N63" s="9">
        <f>Q63*H83</f>
        <v>18296.524799999999</v>
      </c>
      <c r="O63" s="9">
        <f>Q63*I83</f>
        <v>408622.38720000006</v>
      </c>
      <c r="P63" s="9">
        <f>J63</f>
        <v>0</v>
      </c>
      <c r="Q63" s="9">
        <f>K63-((((41*114.57)*8)*4))</f>
        <v>609884.16000000003</v>
      </c>
    </row>
    <row r="64" spans="2:23" x14ac:dyDescent="0.2">
      <c r="E64" s="8"/>
      <c r="G64" s="9"/>
      <c r="H64" s="9"/>
      <c r="I64" s="9"/>
      <c r="J64" s="9"/>
      <c r="K64" s="9"/>
      <c r="M64" s="9"/>
      <c r="N64" s="9"/>
      <c r="O64" s="9"/>
      <c r="P64" s="9"/>
      <c r="Q64" s="9"/>
    </row>
    <row r="65" spans="1:24" x14ac:dyDescent="0.2">
      <c r="D65" s="6" t="s">
        <v>93</v>
      </c>
      <c r="E65" s="8" t="s">
        <v>26</v>
      </c>
      <c r="G65" s="9">
        <v>0</v>
      </c>
      <c r="H65" s="9">
        <v>0</v>
      </c>
      <c r="I65" s="9">
        <v>582802</v>
      </c>
      <c r="J65" s="9">
        <v>0</v>
      </c>
      <c r="K65" s="9">
        <f>I65+H65+G65</f>
        <v>582802</v>
      </c>
      <c r="M65" s="9">
        <f>G65</f>
        <v>0</v>
      </c>
      <c r="N65" s="9">
        <f>H65</f>
        <v>0</v>
      </c>
      <c r="O65" s="9">
        <f>I65</f>
        <v>582802</v>
      </c>
      <c r="P65" s="9">
        <f>J65</f>
        <v>0</v>
      </c>
      <c r="Q65" s="9">
        <f>K65</f>
        <v>582802</v>
      </c>
    </row>
    <row r="66" spans="1:24" x14ac:dyDescent="0.2">
      <c r="E66" s="8"/>
    </row>
    <row r="67" spans="1:24" s="3" customFormat="1" x14ac:dyDescent="0.2">
      <c r="A67" s="6"/>
      <c r="B67" s="6"/>
      <c r="C67" s="6"/>
      <c r="D67" s="6" t="s">
        <v>78</v>
      </c>
      <c r="E67" s="8" t="s">
        <v>26</v>
      </c>
      <c r="F67" s="6"/>
      <c r="G67" s="9">
        <f>532135.302-3896</f>
        <v>528239.30200000003</v>
      </c>
      <c r="H67" s="9">
        <f>43346.7872+114</f>
        <v>43460.787199999999</v>
      </c>
      <c r="I67" s="9">
        <f>1466335.9108+3781</f>
        <v>1470116.9108</v>
      </c>
      <c r="J67" s="9">
        <v>0</v>
      </c>
      <c r="K67" s="9">
        <f>G67+H67+I67</f>
        <v>2041817</v>
      </c>
      <c r="L67" s="6"/>
      <c r="M67" s="9">
        <f>G67</f>
        <v>528239.30200000003</v>
      </c>
      <c r="N67" s="9">
        <f>H67</f>
        <v>43460.787199999999</v>
      </c>
      <c r="O67" s="9">
        <f>I67</f>
        <v>1470116.9108</v>
      </c>
      <c r="P67" s="9">
        <f>J67</f>
        <v>0</v>
      </c>
      <c r="Q67" s="9">
        <f>K67</f>
        <v>2041817</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49" t="s">
        <v>79</v>
      </c>
      <c r="C69" s="6"/>
      <c r="D69" s="6"/>
      <c r="E69" s="8" t="s">
        <v>26</v>
      </c>
      <c r="F69" s="6"/>
      <c r="G69" s="63">
        <f>G67+G63</f>
        <v>756299.30200000003</v>
      </c>
      <c r="H69" s="63">
        <f>H67+H63</f>
        <v>66266.787199999992</v>
      </c>
      <c r="I69" s="63">
        <f>I67+I63+I65</f>
        <v>2562252.9107999997</v>
      </c>
      <c r="J69" s="63">
        <f t="shared" ref="H69:Q70" si="9">J67</f>
        <v>0</v>
      </c>
      <c r="K69" s="63">
        <f>K67+K63+K65+0.45</f>
        <v>3384819.45</v>
      </c>
      <c r="L69" s="63">
        <f t="shared" ref="L69:Q69" si="10">L67+L63+L65</f>
        <v>0</v>
      </c>
      <c r="M69" s="63">
        <f t="shared" si="10"/>
        <v>711204.55</v>
      </c>
      <c r="N69" s="63">
        <f t="shared" si="10"/>
        <v>61757.311999999998</v>
      </c>
      <c r="O69" s="63">
        <f>O67+O63+O65</f>
        <v>2461541.298</v>
      </c>
      <c r="P69" s="63">
        <f t="shared" si="10"/>
        <v>0</v>
      </c>
      <c r="Q69" s="63">
        <f t="shared" si="10"/>
        <v>3234503.16</v>
      </c>
      <c r="R69" s="58"/>
      <c r="S69" s="58"/>
      <c r="T69" s="58"/>
      <c r="U69" s="58"/>
      <c r="V69" s="58"/>
      <c r="W69" s="58"/>
      <c r="X69" s="62"/>
    </row>
    <row r="70" spans="1:24" s="3" customFormat="1" x14ac:dyDescent="0.2">
      <c r="A70" s="6"/>
      <c r="B70" s="49"/>
      <c r="C70" s="6"/>
      <c r="D70" s="6"/>
      <c r="E70" s="8" t="s">
        <v>28</v>
      </c>
      <c r="F70" s="6"/>
      <c r="G70" s="63">
        <f>G68</f>
        <v>0</v>
      </c>
      <c r="H70" s="63">
        <f t="shared" si="9"/>
        <v>0</v>
      </c>
      <c r="I70" s="63">
        <f t="shared" si="9"/>
        <v>0</v>
      </c>
      <c r="J70" s="63">
        <f t="shared" si="9"/>
        <v>0</v>
      </c>
      <c r="K70" s="63">
        <f t="shared" si="9"/>
        <v>0</v>
      </c>
      <c r="L70" s="6"/>
      <c r="M70" s="63">
        <f t="shared" si="9"/>
        <v>0</v>
      </c>
      <c r="N70" s="63">
        <f t="shared" si="9"/>
        <v>0</v>
      </c>
      <c r="O70" s="63">
        <f t="shared" si="9"/>
        <v>0</v>
      </c>
      <c r="P70" s="63">
        <f t="shared" si="9"/>
        <v>0</v>
      </c>
      <c r="Q70" s="63">
        <f t="shared" si="9"/>
        <v>0</v>
      </c>
      <c r="R70" s="65"/>
      <c r="S70" s="65"/>
      <c r="T70" s="65"/>
      <c r="U70" s="65"/>
      <c r="V70" s="65"/>
      <c r="W70" s="65"/>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3" t="s">
        <v>80</v>
      </c>
      <c r="C73" s="6"/>
      <c r="D73" s="6"/>
      <c r="E73" s="6"/>
      <c r="F73" s="6"/>
      <c r="G73" s="21">
        <f>G58+G69</f>
        <v>1421171.3020000001</v>
      </c>
      <c r="H73" s="21">
        <f t="shared" ref="H73:P73" si="11">H58+H69</f>
        <v>128752.20719999999</v>
      </c>
      <c r="I73" s="21">
        <f t="shared" si="11"/>
        <v>3166959.3507999997</v>
      </c>
      <c r="J73" s="21">
        <f t="shared" si="11"/>
        <v>0</v>
      </c>
      <c r="K73" s="21">
        <f>K58+K69+0.56</f>
        <v>4716883.87</v>
      </c>
      <c r="L73" s="21">
        <f t="shared" si="11"/>
        <v>0</v>
      </c>
      <c r="M73" s="21">
        <f>M58+M69</f>
        <v>1301679.3764907352</v>
      </c>
      <c r="N73" s="21">
        <f>N58+N69</f>
        <v>117898.29964907351</v>
      </c>
      <c r="O73" s="21">
        <f>O58+O69</f>
        <v>2919812.2854959751</v>
      </c>
      <c r="P73" s="21">
        <f t="shared" si="11"/>
        <v>0</v>
      </c>
      <c r="Q73" s="21">
        <f>Q58+Q69</f>
        <v>4339389.9616357842</v>
      </c>
      <c r="R73" s="58"/>
      <c r="S73" s="58"/>
      <c r="T73" s="58"/>
      <c r="U73" s="58"/>
      <c r="V73" s="58"/>
      <c r="W73" s="58"/>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57"/>
      <c r="H76" s="57"/>
      <c r="I76" s="57"/>
      <c r="J76" s="9"/>
      <c r="K76" s="9"/>
      <c r="O76" s="23"/>
    </row>
    <row r="77" spans="1:24" x14ac:dyDescent="0.2">
      <c r="G77" s="22"/>
      <c r="H77" s="22"/>
      <c r="I77" s="22"/>
      <c r="K77" s="102"/>
      <c r="O77" s="35"/>
    </row>
    <row r="78" spans="1:24" x14ac:dyDescent="0.2">
      <c r="G78" s="24"/>
      <c r="H78" s="24"/>
      <c r="I78" s="24"/>
      <c r="K78" s="9"/>
      <c r="O78" s="23"/>
    </row>
    <row r="79" spans="1:24" x14ac:dyDescent="0.2">
      <c r="G79" s="22"/>
      <c r="H79" s="22"/>
      <c r="I79" s="22"/>
      <c r="J79" s="9"/>
      <c r="K79" s="9"/>
      <c r="M79" s="66"/>
      <c r="N79" s="66"/>
      <c r="O79" s="25"/>
      <c r="P79" s="66"/>
      <c r="Q79" s="66"/>
      <c r="R79" s="66"/>
      <c r="S79" s="66"/>
      <c r="T79" s="66"/>
      <c r="U79" s="66"/>
    </row>
    <row r="80" spans="1:24" x14ac:dyDescent="0.2">
      <c r="G80" s="22"/>
      <c r="H80" s="22"/>
      <c r="I80" s="22"/>
      <c r="K80" s="9"/>
      <c r="M80" s="66"/>
      <c r="N80" s="66"/>
      <c r="O80" s="25"/>
      <c r="P80" s="66"/>
      <c r="Q80" s="66"/>
      <c r="R80" s="66"/>
      <c r="S80" s="66"/>
      <c r="T80" s="66"/>
      <c r="U80" s="66"/>
    </row>
    <row r="81" spans="5:25" x14ac:dyDescent="0.2">
      <c r="G81" s="22"/>
      <c r="H81" s="22"/>
      <c r="I81" s="22"/>
      <c r="M81" s="66"/>
      <c r="N81" s="66"/>
      <c r="O81" s="25"/>
      <c r="P81" s="66"/>
      <c r="Q81" s="66"/>
      <c r="R81" s="66"/>
      <c r="S81" s="66"/>
      <c r="T81" s="66"/>
      <c r="U81" s="66"/>
    </row>
    <row r="82" spans="5:25" ht="13.5" thickBot="1" x14ac:dyDescent="0.25">
      <c r="M82" s="66"/>
      <c r="N82" s="66"/>
      <c r="O82" s="66"/>
      <c r="P82" s="66"/>
      <c r="Q82" s="66"/>
      <c r="R82" s="66"/>
      <c r="S82" s="66"/>
      <c r="T82" s="66"/>
      <c r="U82" s="66"/>
    </row>
    <row r="83" spans="5:25" x14ac:dyDescent="0.2">
      <c r="E83" s="68"/>
      <c r="F83" s="69"/>
      <c r="G83" s="70">
        <v>0.3</v>
      </c>
      <c r="H83" s="70">
        <v>0.03</v>
      </c>
      <c r="I83" s="70">
        <v>0.67</v>
      </c>
      <c r="J83" s="69"/>
      <c r="K83" s="92"/>
      <c r="M83" s="71"/>
      <c r="N83" s="72"/>
      <c r="O83" s="72"/>
      <c r="P83" s="72"/>
      <c r="Q83" s="73"/>
      <c r="R83" s="56"/>
      <c r="S83" s="56"/>
      <c r="T83" s="56"/>
      <c r="U83" s="56"/>
    </row>
    <row r="84" spans="5:25" x14ac:dyDescent="0.2">
      <c r="E84" s="46"/>
      <c r="F84" s="31"/>
      <c r="G84" s="31"/>
      <c r="H84" s="31"/>
      <c r="I84" s="31"/>
      <c r="J84" s="31"/>
      <c r="K84" s="74"/>
      <c r="M84" s="26"/>
      <c r="N84" s="56"/>
      <c r="O84" s="56"/>
      <c r="P84" s="56"/>
      <c r="Q84" s="56"/>
      <c r="R84" s="56"/>
      <c r="S84" s="56"/>
      <c r="T84" s="56"/>
      <c r="U84" s="56"/>
    </row>
    <row r="85" spans="5:25" x14ac:dyDescent="0.2">
      <c r="E85" s="46" t="s">
        <v>81</v>
      </c>
      <c r="F85" s="31"/>
      <c r="G85" s="31"/>
      <c r="H85" s="31"/>
      <c r="I85" s="31"/>
      <c r="J85" s="31"/>
      <c r="K85" s="75">
        <f>K73</f>
        <v>4716883.87</v>
      </c>
      <c r="M85" s="27"/>
      <c r="N85" s="73"/>
      <c r="O85" s="73"/>
      <c r="P85" s="73"/>
      <c r="Q85" s="73"/>
      <c r="R85" s="56"/>
      <c r="S85" s="56"/>
      <c r="T85" s="56"/>
      <c r="U85" s="56"/>
    </row>
    <row r="86" spans="5:25" x14ac:dyDescent="0.2">
      <c r="E86" s="46" t="s">
        <v>82</v>
      </c>
      <c r="F86" s="31"/>
      <c r="G86" s="31"/>
      <c r="H86" s="31"/>
      <c r="I86" s="31"/>
      <c r="J86" s="31"/>
      <c r="K86" s="75">
        <v>0</v>
      </c>
      <c r="M86" s="66"/>
      <c r="N86" s="56"/>
      <c r="O86" s="56"/>
      <c r="P86" s="56"/>
      <c r="Q86" s="56"/>
      <c r="R86" s="56"/>
      <c r="S86" s="56"/>
      <c r="T86" s="56"/>
      <c r="U86" s="56"/>
    </row>
    <row r="87" spans="5:25" x14ac:dyDescent="0.2">
      <c r="E87" s="46"/>
      <c r="F87" s="31"/>
      <c r="G87" s="31"/>
      <c r="H87" s="31"/>
      <c r="I87" s="31"/>
      <c r="J87" s="31"/>
      <c r="K87" s="75"/>
      <c r="M87" s="27"/>
      <c r="N87" s="56"/>
      <c r="O87" s="56"/>
      <c r="P87" s="56"/>
      <c r="Q87" s="56"/>
      <c r="R87" s="56"/>
      <c r="S87" s="56"/>
      <c r="T87" s="56"/>
      <c r="U87" s="56"/>
    </row>
    <row r="88" spans="5:25" x14ac:dyDescent="0.2">
      <c r="E88" s="46" t="s">
        <v>83</v>
      </c>
      <c r="F88" s="31"/>
      <c r="G88" s="31"/>
      <c r="H88" s="31"/>
      <c r="I88" s="31"/>
      <c r="J88" s="31"/>
      <c r="K88" s="76">
        <f>SUM(K85:K87)</f>
        <v>4716883.87</v>
      </c>
      <c r="M88" s="27"/>
      <c r="N88" s="56"/>
      <c r="O88" s="56"/>
      <c r="P88" s="56"/>
      <c r="Q88" s="56"/>
      <c r="R88" s="56"/>
      <c r="S88" s="56"/>
      <c r="T88" s="56"/>
      <c r="U88" s="56"/>
    </row>
    <row r="89" spans="5:25" x14ac:dyDescent="0.2">
      <c r="E89" s="46" t="s">
        <v>84</v>
      </c>
      <c r="F89" s="31"/>
      <c r="G89" s="31"/>
      <c r="H89" s="31"/>
      <c r="I89" s="31"/>
      <c r="J89" s="31"/>
      <c r="K89" s="75">
        <f>I65</f>
        <v>582802</v>
      </c>
      <c r="M89" s="27"/>
      <c r="N89" s="56"/>
      <c r="O89" s="77"/>
      <c r="P89" s="77"/>
      <c r="Q89" s="73"/>
      <c r="R89" s="56"/>
      <c r="S89" s="56"/>
      <c r="T89" s="56"/>
      <c r="U89" s="56"/>
    </row>
    <row r="90" spans="5:25" x14ac:dyDescent="0.2">
      <c r="E90" s="46" t="s">
        <v>85</v>
      </c>
      <c r="F90" s="31"/>
      <c r="G90" s="31"/>
      <c r="H90" s="31"/>
      <c r="I90" s="31"/>
      <c r="J90" s="31"/>
      <c r="K90" s="75">
        <f>G53</f>
        <v>145882.5</v>
      </c>
      <c r="M90" s="27"/>
      <c r="N90" s="56"/>
      <c r="O90" s="77"/>
      <c r="P90" s="77"/>
      <c r="Q90" s="73"/>
      <c r="R90" s="56"/>
      <c r="S90" s="56"/>
      <c r="T90" s="56"/>
      <c r="U90" s="56"/>
    </row>
    <row r="91" spans="5:25" x14ac:dyDescent="0.2">
      <c r="E91" s="46"/>
      <c r="F91" s="31"/>
      <c r="G91" s="31"/>
      <c r="H91" s="31"/>
      <c r="I91" s="31"/>
      <c r="J91" s="31"/>
      <c r="K91" s="75"/>
      <c r="M91" s="27"/>
      <c r="N91" s="56"/>
      <c r="O91" s="77"/>
      <c r="P91" s="77"/>
      <c r="Q91" s="73"/>
      <c r="R91" s="56"/>
      <c r="S91" s="56"/>
      <c r="T91" s="56"/>
      <c r="U91" s="56"/>
    </row>
    <row r="92" spans="5:25" ht="13.5" thickBot="1" x14ac:dyDescent="0.25">
      <c r="E92" s="46" t="s">
        <v>86</v>
      </c>
      <c r="F92" s="31"/>
      <c r="G92" s="31"/>
      <c r="H92" s="31"/>
      <c r="I92" s="31"/>
      <c r="J92" s="31"/>
      <c r="K92" s="78">
        <f>K88-K89-K90-K91</f>
        <v>3988199.37</v>
      </c>
      <c r="M92" s="27"/>
      <c r="N92" s="56"/>
      <c r="O92" s="56"/>
      <c r="P92" s="56"/>
      <c r="Q92" s="56"/>
      <c r="R92" s="56"/>
      <c r="S92" s="56"/>
      <c r="T92" s="56"/>
      <c r="U92" s="56"/>
    </row>
    <row r="93" spans="5:25" ht="13.5" thickTop="1" x14ac:dyDescent="0.2">
      <c r="E93" s="46"/>
      <c r="F93" s="31"/>
      <c r="G93" s="31"/>
      <c r="H93" s="31"/>
      <c r="I93" s="31"/>
      <c r="J93" s="79" t="s">
        <v>87</v>
      </c>
      <c r="K93" s="75"/>
      <c r="M93" s="27"/>
      <c r="N93" s="56"/>
      <c r="O93" s="56"/>
      <c r="P93" s="56"/>
      <c r="Q93" s="73"/>
      <c r="R93" s="56"/>
      <c r="S93" s="56"/>
      <c r="T93" s="56"/>
      <c r="U93" s="56"/>
    </row>
    <row r="94" spans="5:25" x14ac:dyDescent="0.2">
      <c r="E94" s="46" t="s">
        <v>81</v>
      </c>
      <c r="F94" s="31"/>
      <c r="G94" s="29">
        <f>G73</f>
        <v>1421171.3020000001</v>
      </c>
      <c r="H94" s="29">
        <f>H73</f>
        <v>128752.20719999999</v>
      </c>
      <c r="I94" s="29">
        <f>I73</f>
        <v>3166959.3507999997</v>
      </c>
      <c r="J94" s="29"/>
      <c r="K94" s="75"/>
      <c r="M94" s="27"/>
      <c r="N94" s="56"/>
      <c r="O94" s="56"/>
      <c r="P94" s="56"/>
      <c r="Q94" s="56"/>
      <c r="R94" s="56"/>
      <c r="S94" s="56"/>
      <c r="T94" s="56"/>
      <c r="U94" s="56">
        <v>0</v>
      </c>
      <c r="Y94" s="3">
        <v>900323.36</v>
      </c>
    </row>
    <row r="95" spans="5:25" x14ac:dyDescent="0.2">
      <c r="E95" s="46" t="s">
        <v>88</v>
      </c>
      <c r="F95" s="31"/>
      <c r="G95" s="29">
        <f>K90</f>
        <v>145882.5</v>
      </c>
      <c r="H95" s="80">
        <v>0</v>
      </c>
      <c r="I95" s="80">
        <f>K89</f>
        <v>582802</v>
      </c>
      <c r="K95" s="74"/>
      <c r="M95" s="66"/>
      <c r="N95" s="56"/>
      <c r="O95" s="56"/>
      <c r="P95" s="56"/>
      <c r="Q95" s="56"/>
      <c r="R95" s="56"/>
      <c r="S95" s="56"/>
      <c r="T95" s="56"/>
      <c r="U95" s="56"/>
    </row>
    <row r="96" spans="5:25" ht="13.5" thickBot="1" x14ac:dyDescent="0.25">
      <c r="E96" s="46" t="s">
        <v>89</v>
      </c>
      <c r="F96" s="31"/>
      <c r="G96" s="81">
        <f>G94-G95</f>
        <v>1275288.8020000001</v>
      </c>
      <c r="H96" s="81">
        <f>H94-H95</f>
        <v>128752.20719999999</v>
      </c>
      <c r="I96" s="81">
        <f>I94-I95</f>
        <v>2584157.3507999997</v>
      </c>
      <c r="J96" s="28"/>
      <c r="K96" s="75"/>
      <c r="M96" s="66"/>
      <c r="N96" s="56"/>
      <c r="O96" s="56"/>
      <c r="P96" s="54"/>
      <c r="Q96" s="56"/>
      <c r="R96" s="56"/>
      <c r="S96" s="56"/>
      <c r="T96" s="56"/>
      <c r="U96" s="56"/>
    </row>
    <row r="97" spans="5:21" ht="14.25" thickTop="1" thickBot="1" x14ac:dyDescent="0.25">
      <c r="E97" s="46" t="s">
        <v>90</v>
      </c>
      <c r="F97" s="31"/>
      <c r="G97" s="82">
        <f>G96/$K$92</f>
        <v>0.31976555926290118</v>
      </c>
      <c r="H97" s="82">
        <f>H96/$K$92</f>
        <v>3.2283292597782037E-2</v>
      </c>
      <c r="I97" s="82">
        <f>I96/$K$92</f>
        <v>0.64795089489219782</v>
      </c>
      <c r="J97" s="29"/>
      <c r="K97" s="75"/>
      <c r="M97" s="66"/>
      <c r="N97" s="56"/>
      <c r="O97" s="56"/>
      <c r="P97" s="56"/>
      <c r="Q97" s="56"/>
      <c r="R97" s="56"/>
      <c r="S97" s="56"/>
      <c r="T97" s="56"/>
      <c r="U97" s="56"/>
    </row>
    <row r="98" spans="5:21" ht="14.25" thickTop="1" thickBot="1" x14ac:dyDescent="0.25">
      <c r="E98" s="83"/>
      <c r="F98" s="84"/>
      <c r="G98" s="85" t="s">
        <v>91</v>
      </c>
      <c r="H98" s="85" t="s">
        <v>92</v>
      </c>
      <c r="I98" s="85" t="s">
        <v>5</v>
      </c>
      <c r="J98" s="84"/>
      <c r="K98" s="86"/>
      <c r="M98" s="66"/>
      <c r="N98" s="87"/>
      <c r="O98" s="87"/>
      <c r="P98" s="87"/>
      <c r="Q98" s="56"/>
      <c r="R98" s="56"/>
      <c r="S98" s="56"/>
      <c r="T98" s="56"/>
      <c r="U98" s="56"/>
    </row>
    <row r="99" spans="5:21" x14ac:dyDescent="0.2">
      <c r="J99" s="69"/>
      <c r="K99" s="88"/>
      <c r="M99" s="66"/>
      <c r="N99" s="87"/>
      <c r="O99" s="87"/>
      <c r="P99" s="87"/>
      <c r="Q99" s="56"/>
      <c r="R99" s="56"/>
      <c r="S99" s="56"/>
      <c r="T99" s="56"/>
      <c r="U99" s="56"/>
    </row>
    <row r="100" spans="5:21" x14ac:dyDescent="0.2">
      <c r="J100" s="29"/>
      <c r="K100" s="29"/>
      <c r="M100" s="66"/>
      <c r="N100" s="56"/>
      <c r="O100" s="56"/>
      <c r="P100" s="56"/>
      <c r="Q100" s="56"/>
      <c r="R100" s="56"/>
      <c r="S100" s="56"/>
      <c r="T100" s="56"/>
      <c r="U100" s="56"/>
    </row>
    <row r="101" spans="5:21" x14ac:dyDescent="0.2">
      <c r="E101" s="30"/>
      <c r="F101" s="31"/>
      <c r="G101" s="29"/>
      <c r="H101" s="29"/>
      <c r="I101" s="32"/>
      <c r="J101" s="89"/>
      <c r="K101" s="32"/>
      <c r="M101" s="66"/>
      <c r="N101" s="56"/>
      <c r="O101" s="56"/>
      <c r="P101" s="56"/>
      <c r="Q101" s="56"/>
      <c r="R101" s="56"/>
      <c r="S101" s="56"/>
      <c r="T101" s="56"/>
      <c r="U101" s="56"/>
    </row>
    <row r="102" spans="5:21" x14ac:dyDescent="0.2">
      <c r="E102" s="31"/>
      <c r="F102" s="31"/>
      <c r="G102" s="31"/>
      <c r="H102" s="31"/>
      <c r="I102" s="32"/>
      <c r="J102" s="89"/>
      <c r="K102" s="89"/>
      <c r="M102" s="90"/>
      <c r="N102" s="91"/>
      <c r="O102" s="91"/>
      <c r="P102" s="91"/>
      <c r="Q102" s="56"/>
      <c r="R102" s="56"/>
      <c r="S102" s="56"/>
      <c r="T102" s="56"/>
      <c r="U102" s="56"/>
    </row>
    <row r="103" spans="5:21" x14ac:dyDescent="0.2">
      <c r="E103" s="31"/>
      <c r="F103" s="31"/>
      <c r="G103" s="31"/>
      <c r="H103" s="29"/>
      <c r="I103" s="29"/>
      <c r="J103" s="31"/>
      <c r="K103" s="31"/>
      <c r="M103" s="66"/>
      <c r="N103" s="56"/>
      <c r="O103" s="56"/>
      <c r="P103" s="56"/>
      <c r="Q103" s="56"/>
      <c r="R103" s="56"/>
      <c r="S103" s="56"/>
      <c r="T103" s="56"/>
      <c r="U103" s="56"/>
    </row>
    <row r="104" spans="5:21" x14ac:dyDescent="0.2">
      <c r="E104" s="31"/>
      <c r="F104" s="31"/>
      <c r="G104" s="33"/>
      <c r="H104" s="33"/>
      <c r="I104" s="33"/>
      <c r="M104" s="66"/>
      <c r="N104" s="66"/>
      <c r="O104" s="66"/>
      <c r="P104" s="66"/>
      <c r="Q104" s="66"/>
      <c r="R104" s="66"/>
      <c r="S104" s="66"/>
      <c r="T104" s="66"/>
      <c r="U104" s="66"/>
    </row>
    <row r="105" spans="5:21" x14ac:dyDescent="0.2">
      <c r="E105" s="31"/>
      <c r="F105" s="31"/>
      <c r="G105" s="29"/>
      <c r="H105" s="29"/>
      <c r="I105" s="29"/>
      <c r="M105" s="66"/>
      <c r="N105" s="66"/>
      <c r="O105" s="66"/>
      <c r="P105" s="66"/>
      <c r="Q105" s="66"/>
      <c r="R105" s="66"/>
      <c r="S105" s="66"/>
      <c r="T105" s="66"/>
      <c r="U105" s="66"/>
    </row>
    <row r="106" spans="5:21" x14ac:dyDescent="0.2">
      <c r="E106" s="31"/>
      <c r="F106" s="31"/>
      <c r="G106" s="33"/>
      <c r="H106" s="33"/>
      <c r="I106" s="33"/>
      <c r="M106" s="66"/>
      <c r="N106" s="66"/>
      <c r="O106" s="66"/>
      <c r="P106" s="66"/>
      <c r="Q106" s="66"/>
      <c r="R106" s="66"/>
      <c r="S106" s="66"/>
      <c r="T106" s="66"/>
      <c r="U106" s="66"/>
    </row>
    <row r="107" spans="5:21" x14ac:dyDescent="0.2">
      <c r="E107" s="31"/>
      <c r="F107" s="31"/>
      <c r="G107" s="34"/>
      <c r="H107" s="34"/>
      <c r="I107" s="34"/>
      <c r="J107" s="31"/>
      <c r="M107" s="66"/>
      <c r="N107" s="66"/>
      <c r="O107" s="66"/>
      <c r="P107" s="66"/>
      <c r="Q107" s="66"/>
      <c r="R107" s="66"/>
      <c r="S107" s="66"/>
      <c r="T107" s="66"/>
      <c r="U107" s="66"/>
    </row>
    <row r="108" spans="5:21" x14ac:dyDescent="0.2">
      <c r="G108" s="29"/>
      <c r="H108" s="29"/>
      <c r="I108" s="29"/>
      <c r="J108" s="31"/>
      <c r="M108" s="66"/>
      <c r="N108" s="66"/>
      <c r="O108" s="66"/>
      <c r="P108" s="66"/>
      <c r="Q108" s="66"/>
      <c r="R108" s="66"/>
      <c r="S108" s="66"/>
      <c r="T108" s="66"/>
      <c r="U108" s="66"/>
    </row>
    <row r="109" spans="5:21" x14ac:dyDescent="0.2">
      <c r="G109" s="31"/>
      <c r="H109" s="31"/>
      <c r="I109" s="31"/>
      <c r="J109" s="31"/>
      <c r="M109" s="66"/>
      <c r="N109" s="66"/>
      <c r="O109" s="66"/>
      <c r="P109" s="66"/>
      <c r="Q109" s="66"/>
      <c r="R109" s="66"/>
      <c r="S109" s="66"/>
      <c r="T109" s="66"/>
      <c r="U109" s="66"/>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5BD2DFA-3CF8-4B89-A1D4-F4C0A00D9B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Summary</vt:lpstr>
      <vt:lpstr>2023-00159 W16</vt:lpstr>
      <vt:lpstr>Exh 2D Apr 2 Thunderstorm_Distr</vt:lpstr>
      <vt:lpstr>Exh 2E Apr 2 Thunderstorm_Trans</vt:lpstr>
      <vt:lpstr>Exh 2G May 26 Thunderstorm_Dist</vt:lpstr>
      <vt:lpstr>'Exh 2D Apr 2 Thunderstorm_Distr'!Print_Area</vt:lpstr>
      <vt:lpstr>'Exh 2E Apr 2 Thunderstorm_Trans'!Print_Area</vt:lpstr>
      <vt:lpstr>'Exh 2G May 26 Thunderstorm_Dist'!Print_Area</vt:lpstr>
      <vt:lpstr>Summary!Print_Area</vt:lpstr>
      <vt:lpstr>'Exh 2D Apr 2 Thunderstorm_Distr'!Print_Titles</vt:lpstr>
      <vt:lpstr>'Exh 2E Apr 2 Thunderstorm_Trans'!Print_Titles</vt:lpstr>
      <vt:lpstr>'Exh 2G May 26 Thunderstorm_Dist'!Print_Titles</vt:lpstr>
      <vt:lpstr>'Exh 2D Apr 2 Thunderstorm_Distr'!TotalOTHours</vt:lpstr>
      <vt:lpstr>'Exh 2E Apr 2 Thunderstorm_Trans'!TotalOTHours</vt:lpstr>
      <vt:lpstr>'Exh 2G May 26 Thunderstorm_Dist'!TotalOTHours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Lerah M Kahn</cp:lastModifiedBy>
  <dcterms:created xsi:type="dcterms:W3CDTF">2021-03-15T15:22:35Z</dcterms:created>
  <dcterms:modified xsi:type="dcterms:W3CDTF">2025-02-20T13:22:19Z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f1a38190-3fcd-4022-ac61-71d250d030a7</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ies>
</file>