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2024 Water Rate Case\PSC Round #1\"/>
    </mc:Choice>
  </mc:AlternateContent>
  <xr:revisionPtr revIDLastSave="0" documentId="13_ncr:1_{063BF292-CC16-4BD7-B499-DEA00C1E098C}" xr6:coauthVersionLast="47" xr6:coauthVersionMax="47" xr10:uidLastSave="{00000000-0000-0000-0000-000000000000}"/>
  <bookViews>
    <workbookView xWindow="-120" yWindow="-120" windowWidth="29040" windowHeight="15720" xr2:uid="{23D932C7-9744-41A4-B12B-BDD43D6259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3" i="1" l="1"/>
  <c r="X53" i="1" l="1"/>
  <c r="AG51" i="1" l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AH53" i="1"/>
  <c r="AF53" i="1"/>
  <c r="AD53" i="1"/>
  <c r="AC53" i="1"/>
  <c r="AA53" i="1"/>
  <c r="Y53" i="1"/>
  <c r="W53" i="1"/>
  <c r="V53" i="1"/>
  <c r="U53" i="1"/>
  <c r="T53" i="1"/>
  <c r="AG53" i="1" l="1"/>
  <c r="Z53" i="1"/>
  <c r="L23" i="1" l="1"/>
  <c r="L27" i="1"/>
  <c r="L32" i="1"/>
  <c r="L39" i="1"/>
  <c r="R40" i="1"/>
  <c r="L34" i="1"/>
  <c r="L30" i="1"/>
  <c r="L15" i="1"/>
  <c r="N47" i="1" l="1"/>
  <c r="P42" i="1"/>
  <c r="R42" i="1" s="1"/>
  <c r="N42" i="1"/>
  <c r="R41" i="1"/>
  <c r="P38" i="1"/>
  <c r="R38" i="1" s="1"/>
  <c r="N38" i="1"/>
  <c r="P37" i="1"/>
  <c r="R37" i="1" s="1"/>
  <c r="N37" i="1"/>
  <c r="P36" i="1"/>
  <c r="R36" i="1" s="1"/>
  <c r="N36" i="1"/>
  <c r="P35" i="1"/>
  <c r="R35" i="1" s="1"/>
  <c r="N35" i="1"/>
  <c r="P33" i="1"/>
  <c r="R33" i="1" s="1"/>
  <c r="N33" i="1"/>
  <c r="P29" i="1"/>
  <c r="N29" i="1"/>
  <c r="P28" i="1"/>
  <c r="N28" i="1"/>
  <c r="P26" i="1"/>
  <c r="R26" i="1" s="1"/>
  <c r="N26" i="1"/>
  <c r="P25" i="1"/>
  <c r="R25" i="1" s="1"/>
  <c r="N25" i="1"/>
  <c r="P24" i="1"/>
  <c r="R24" i="1" s="1"/>
  <c r="N24" i="1"/>
  <c r="P22" i="1"/>
  <c r="R22" i="1" s="1"/>
  <c r="N22" i="1"/>
  <c r="P20" i="1"/>
  <c r="R20" i="1" s="1"/>
  <c r="N20" i="1"/>
  <c r="P19" i="1"/>
  <c r="R19" i="1" s="1"/>
  <c r="N19" i="1"/>
  <c r="P18" i="1"/>
  <c r="R18" i="1" s="1"/>
  <c r="N18" i="1"/>
  <c r="P17" i="1"/>
  <c r="R17" i="1" s="1"/>
  <c r="N17" i="1"/>
  <c r="P16" i="1"/>
  <c r="R16" i="1" s="1"/>
  <c r="N16" i="1"/>
  <c r="P14" i="1"/>
  <c r="R14" i="1" s="1"/>
  <c r="N14" i="1"/>
  <c r="P13" i="1"/>
  <c r="R13" i="1" s="1"/>
  <c r="N13" i="1"/>
  <c r="P12" i="1"/>
  <c r="R12" i="1" s="1"/>
  <c r="N12" i="1"/>
  <c r="P11" i="1"/>
  <c r="R11" i="1" s="1"/>
  <c r="N11" i="1"/>
  <c r="P10" i="1"/>
  <c r="R10" i="1" s="1"/>
  <c r="N10" i="1"/>
  <c r="P9" i="1"/>
  <c r="N9" i="1"/>
  <c r="P8" i="1"/>
  <c r="R8" i="1" s="1"/>
  <c r="N8" i="1"/>
  <c r="P7" i="1"/>
  <c r="R7" i="1" s="1"/>
  <c r="N7" i="1"/>
  <c r="S53" i="1"/>
  <c r="Q53" i="1"/>
  <c r="M53" i="1"/>
  <c r="K53" i="1"/>
  <c r="J53" i="1"/>
  <c r="R43" i="1"/>
  <c r="R51" i="1"/>
  <c r="R50" i="1"/>
  <c r="R49" i="1"/>
  <c r="R48" i="1"/>
  <c r="R47" i="1"/>
  <c r="R46" i="1"/>
  <c r="R45" i="1"/>
  <c r="R44" i="1"/>
  <c r="R31" i="1"/>
  <c r="R29" i="1"/>
  <c r="R28" i="1"/>
  <c r="R21" i="1"/>
  <c r="R6" i="1"/>
  <c r="R5" i="1"/>
  <c r="P53" i="1" l="1"/>
  <c r="R9" i="1"/>
  <c r="R53" i="1"/>
  <c r="L44" i="1"/>
  <c r="L42" i="1"/>
  <c r="L38" i="1"/>
  <c r="L37" i="1"/>
  <c r="L36" i="1"/>
  <c r="L35" i="1"/>
  <c r="L33" i="1"/>
  <c r="L31" i="1"/>
  <c r="L29" i="1"/>
  <c r="L28" i="1"/>
  <c r="L26" i="1"/>
  <c r="L25" i="1"/>
  <c r="L24" i="1"/>
  <c r="L22" i="1"/>
  <c r="L21" i="1"/>
  <c r="L20" i="1"/>
  <c r="L19" i="1"/>
  <c r="L18" i="1"/>
  <c r="L17" i="1"/>
  <c r="L16" i="1"/>
  <c r="L14" i="1"/>
  <c r="L13" i="1"/>
  <c r="L12" i="1"/>
  <c r="L11" i="1"/>
  <c r="L10" i="1"/>
  <c r="L9" i="1"/>
  <c r="L8" i="1"/>
  <c r="L7" i="1"/>
  <c r="L6" i="1"/>
  <c r="L5" i="1"/>
  <c r="L53" i="1" l="1"/>
  <c r="L55" i="1" s="1"/>
</calcChain>
</file>

<file path=xl/sharedStrings.xml><?xml version="1.0" encoding="utf-8"?>
<sst xmlns="http://schemas.openxmlformats.org/spreadsheetml/2006/main" count="290" uniqueCount="146">
  <si>
    <t>Employee Name</t>
  </si>
  <si>
    <t>#0113</t>
  </si>
  <si>
    <t>#0043</t>
  </si>
  <si>
    <t>Gretchen Hodge</t>
  </si>
  <si>
    <t>#0049</t>
  </si>
  <si>
    <t>Timothy Vincent</t>
  </si>
  <si>
    <t>#0052</t>
  </si>
  <si>
    <t>Lawrence Childress</t>
  </si>
  <si>
    <t>#0061</t>
  </si>
  <si>
    <t>Norman Meredith</t>
  </si>
  <si>
    <t>#0064</t>
  </si>
  <si>
    <t>Christopher Graham</t>
  </si>
  <si>
    <t>#0065</t>
  </si>
  <si>
    <t>Joey Decker</t>
  </si>
  <si>
    <t>#0067</t>
  </si>
  <si>
    <t>Dylan Hazelwood</t>
  </si>
  <si>
    <t>#0070</t>
  </si>
  <si>
    <t>Jeffrey Basham</t>
  </si>
  <si>
    <t>#0074</t>
  </si>
  <si>
    <t>Melita Massey</t>
  </si>
  <si>
    <t>#0075</t>
  </si>
  <si>
    <t>Marcella Hack</t>
  </si>
  <si>
    <t>#0079</t>
  </si>
  <si>
    <t>Erica Wolfe</t>
  </si>
  <si>
    <t>#0081</t>
  </si>
  <si>
    <t>Jeremiah Ashley</t>
  </si>
  <si>
    <t>#0082</t>
  </si>
  <si>
    <t>Michael Tennison</t>
  </si>
  <si>
    <t>#0083</t>
  </si>
  <si>
    <t>Steffan Meredith</t>
  </si>
  <si>
    <t>#0086</t>
  </si>
  <si>
    <t>Adam Foulks</t>
  </si>
  <si>
    <t>#0089</t>
  </si>
  <si>
    <t>Sabrina Holt</t>
  </si>
  <si>
    <t>#0092</t>
  </si>
  <si>
    <t>Patrick Matthews</t>
  </si>
  <si>
    <t>#0094</t>
  </si>
  <si>
    <t>Latisha Elmore</t>
  </si>
  <si>
    <t>#0096</t>
  </si>
  <si>
    <t>Kyle Ray</t>
  </si>
  <si>
    <t>#0097</t>
  </si>
  <si>
    <t>Jennifer Davis</t>
  </si>
  <si>
    <t>#0101</t>
  </si>
  <si>
    <t>Jonathan Nuttall</t>
  </si>
  <si>
    <t xml:space="preserve">#0103 </t>
  </si>
  <si>
    <t>Joseph Blake Thompson</t>
  </si>
  <si>
    <t>#0107</t>
  </si>
  <si>
    <t>Delbert Higgs</t>
  </si>
  <si>
    <t>#0108</t>
  </si>
  <si>
    <t>James Kyle Childress</t>
  </si>
  <si>
    <t>#0109</t>
  </si>
  <si>
    <t>Jeffrey Duvall</t>
  </si>
  <si>
    <t>#0110</t>
  </si>
  <si>
    <t>Randy Simmons</t>
  </si>
  <si>
    <t>#0115</t>
  </si>
  <si>
    <t>Justin Coy</t>
  </si>
  <si>
    <t>#0118</t>
  </si>
  <si>
    <t>Marvin Joseph Sallee</t>
  </si>
  <si>
    <t>Tim Brewster</t>
  </si>
  <si>
    <t>Tony Sanders</t>
  </si>
  <si>
    <t xml:space="preserve">2023 Reg Hours </t>
  </si>
  <si>
    <t xml:space="preserve">2023 OT Hours </t>
  </si>
  <si>
    <t>#0008</t>
  </si>
  <si>
    <t>#0013</t>
  </si>
  <si>
    <t>Kevin Shaw-$135,000 Salary</t>
  </si>
  <si>
    <t>Emp #</t>
  </si>
  <si>
    <t>Edmonson County Water District</t>
  </si>
  <si>
    <t>Job Title</t>
  </si>
  <si>
    <t>Full/Part Time</t>
  </si>
  <si>
    <t>Hire Date</t>
  </si>
  <si>
    <t>Termination Date</t>
  </si>
  <si>
    <t>Full Time</t>
  </si>
  <si>
    <t>General Manager</t>
  </si>
  <si>
    <t xml:space="preserve">2024 Reg Hours </t>
  </si>
  <si>
    <t xml:space="preserve">2024 OT Hours </t>
  </si>
  <si>
    <t>Current Pay Rate</t>
  </si>
  <si>
    <t>#0119</t>
  </si>
  <si>
    <t>Joseph V Thompson</t>
  </si>
  <si>
    <t>#0120</t>
  </si>
  <si>
    <t>Timothy Clemons</t>
  </si>
  <si>
    <t>#0121</t>
  </si>
  <si>
    <t>Scott Johnson</t>
  </si>
  <si>
    <t>#0122</t>
  </si>
  <si>
    <t>Micah Cox</t>
  </si>
  <si>
    <t>Part Time</t>
  </si>
  <si>
    <t>#0123</t>
  </si>
  <si>
    <t>Lee Cain</t>
  </si>
  <si>
    <t>#0117</t>
  </si>
  <si>
    <t>Tyrone Edmonds</t>
  </si>
  <si>
    <t>#0124</t>
  </si>
  <si>
    <t>Michael Hale</t>
  </si>
  <si>
    <t>#0125</t>
  </si>
  <si>
    <t>Brian Payton</t>
  </si>
  <si>
    <t>2023 Regular Wages</t>
  </si>
  <si>
    <t>2023 OT Wages</t>
  </si>
  <si>
    <t>2023 Total Wages Paid</t>
  </si>
  <si>
    <t>2023 FICA Cost</t>
  </si>
  <si>
    <t>2024 Regular Wages</t>
  </si>
  <si>
    <t>2024 OT Wages</t>
  </si>
  <si>
    <t>2024 Total Wages Paid</t>
  </si>
  <si>
    <t>2024 FICA Cost</t>
  </si>
  <si>
    <t>Nathan Taylor</t>
  </si>
  <si>
    <t>Luke Decker</t>
  </si>
  <si>
    <t>Michael Robertson</t>
  </si>
  <si>
    <t>Kenneth R Alvey</t>
  </si>
  <si>
    <t>Johnnie Meredith</t>
  </si>
  <si>
    <t>WTP Chief Operator</t>
  </si>
  <si>
    <t>Office CSR</t>
  </si>
  <si>
    <t>Equipment Operator</t>
  </si>
  <si>
    <t>Distribution Operator</t>
  </si>
  <si>
    <t>WTP Operator</t>
  </si>
  <si>
    <t>Office Manger</t>
  </si>
  <si>
    <t>Distribution Laborer OIT</t>
  </si>
  <si>
    <t>WTP OIT</t>
  </si>
  <si>
    <t>Bookkeeper</t>
  </si>
  <si>
    <t>Distribution Supervisor</t>
  </si>
  <si>
    <t>#0073</t>
  </si>
  <si>
    <t>#0098</t>
  </si>
  <si>
    <t>#0106</t>
  </si>
  <si>
    <t>#0111</t>
  </si>
  <si>
    <t>#0112</t>
  </si>
  <si>
    <t>#0102</t>
  </si>
  <si>
    <t>Kevin King</t>
  </si>
  <si>
    <t>#0095</t>
  </si>
  <si>
    <t>Devin Poor</t>
  </si>
  <si>
    <t>#0088</t>
  </si>
  <si>
    <t>Jeremy Staples</t>
  </si>
  <si>
    <t>full time</t>
  </si>
  <si>
    <t>Interim Office Manger</t>
  </si>
  <si>
    <t>2 Distribution Laborer OIT Vacant but intent to fill (1-6 months, 1-4 months)</t>
  </si>
  <si>
    <t>1 WTP Chief Operator Vacant but intent to fill 2 months</t>
  </si>
  <si>
    <t>2 WTP OIT Vacant but intent to fill (1-3 months 1-2 weeks)</t>
  </si>
  <si>
    <t>2023 Dental</t>
  </si>
  <si>
    <t>2023 Life Ins</t>
  </si>
  <si>
    <t>2023 Vision</t>
  </si>
  <si>
    <t>2024 Medical</t>
  </si>
  <si>
    <t>2024 Dental</t>
  </si>
  <si>
    <t>2024 Vision</t>
  </si>
  <si>
    <t>2024 Life Ins.</t>
  </si>
  <si>
    <t>Health Ins Coverage Type</t>
  </si>
  <si>
    <t>2023 Health</t>
  </si>
  <si>
    <t>Single</t>
  </si>
  <si>
    <t>2024 Total Cost Benefits</t>
  </si>
  <si>
    <t>2023 Total Cost Benefits</t>
  </si>
  <si>
    <t>2023 401A</t>
  </si>
  <si>
    <t>2024 401A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</si>
</sst>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2" xfId="0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44" fontId="0" fillId="0" borderId="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 vertical="center"/>
    </xf>
    <xf numFmtId="44" fontId="0" fillId="0" borderId="0" xfId="1" applyFont="1" applyAlignment="1">
      <alignment horizontal="center"/>
    </xf>
    <xf numFmtId="44" fontId="0" fillId="0" borderId="0" xfId="1" applyFont="1"/>
    <xf numFmtId="44" fontId="0" fillId="0" borderId="3" xfId="1" applyFont="1" applyBorder="1" applyAlignment="1">
      <alignment horizontal="center"/>
    </xf>
    <xf numFmtId="44" fontId="0" fillId="0" borderId="3" xfId="1" applyFont="1" applyBorder="1"/>
    <xf numFmtId="14" fontId="0" fillId="0" borderId="3" xfId="0" applyNumberFormat="1" applyBorder="1" applyAlignment="1">
      <alignment horizontal="center"/>
    </xf>
    <xf numFmtId="44" fontId="0" fillId="0" borderId="4" xfId="1" applyFont="1" applyBorder="1"/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44" fontId="0" fillId="0" borderId="3" xfId="1" applyFont="1" applyFill="1" applyBorder="1"/>
    <xf numFmtId="44" fontId="0" fillId="0" borderId="4" xfId="1" applyFont="1" applyFill="1" applyBorder="1"/>
    <xf numFmtId="44" fontId="0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0" borderId="3" xfId="0" applyNumberFormat="1" applyBorder="1"/>
    <xf numFmtId="44" fontId="0" fillId="0" borderId="4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2" xfId="1" applyFont="1" applyBorder="1"/>
    <xf numFmtId="44" fontId="0" fillId="0" borderId="1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4B80-F77C-45D1-A8CC-3BEB6A7EA52B}">
  <dimension ref="A1:AH56"/>
  <sheetViews>
    <sheetView tabSelected="1" zoomScale="120" zoomScaleNormal="12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3" sqref="B33"/>
    </sheetView>
  </sheetViews>
  <sheetFormatPr defaultRowHeight="15" x14ac:dyDescent="0.25"/>
  <cols>
    <col min="2" max="2" width="24.42578125" customWidth="1"/>
    <col min="3" max="4" width="16" style="6" customWidth="1"/>
    <col min="5" max="5" width="24.42578125" style="6" customWidth="1"/>
    <col min="6" max="6" width="16.85546875" style="6" customWidth="1"/>
    <col min="7" max="7" width="10.7109375" bestFit="1" customWidth="1"/>
    <col min="8" max="9" width="9.140625" style="6"/>
    <col min="10" max="10" width="15.28515625" style="9" customWidth="1"/>
    <col min="11" max="11" width="14" style="9" customWidth="1"/>
    <col min="12" max="12" width="16.42578125" style="10" customWidth="1"/>
    <col min="13" max="13" width="14.85546875" style="10" customWidth="1"/>
    <col min="14" max="15" width="10.7109375" customWidth="1"/>
    <col min="16" max="19" width="14.5703125" style="10" customWidth="1"/>
    <col min="20" max="20" width="13.85546875" style="10" customWidth="1"/>
    <col min="21" max="21" width="13.85546875" style="6" customWidth="1"/>
    <col min="22" max="25" width="13.85546875" style="10" customWidth="1"/>
    <col min="26" max="26" width="13.85546875" customWidth="1"/>
    <col min="27" max="27" width="14.5703125" style="10" customWidth="1"/>
    <col min="28" max="28" width="14.5703125" style="6" customWidth="1"/>
    <col min="29" max="32" width="14.5703125" style="10" customWidth="1"/>
    <col min="33" max="33" width="15.42578125" customWidth="1"/>
  </cols>
  <sheetData>
    <row r="1" spans="1:33" x14ac:dyDescent="0.25">
      <c r="A1" s="26" t="s">
        <v>66</v>
      </c>
      <c r="B1" s="26"/>
      <c r="C1" s="26"/>
      <c r="D1" s="26"/>
      <c r="E1" s="26"/>
      <c r="F1" s="26"/>
      <c r="G1" s="26"/>
      <c r="H1" s="26"/>
      <c r="I1" s="26"/>
    </row>
    <row r="3" spans="1:33" x14ac:dyDescent="0.25">
      <c r="A3" s="24" t="s">
        <v>65</v>
      </c>
      <c r="B3" s="24" t="s">
        <v>0</v>
      </c>
      <c r="C3" s="24" t="s">
        <v>69</v>
      </c>
      <c r="D3" s="24" t="s">
        <v>70</v>
      </c>
      <c r="E3" s="24" t="s">
        <v>67</v>
      </c>
      <c r="F3" s="24" t="s">
        <v>68</v>
      </c>
      <c r="G3" s="27" t="s">
        <v>75</v>
      </c>
      <c r="H3" s="20" t="s">
        <v>60</v>
      </c>
      <c r="I3" s="20" t="s">
        <v>61</v>
      </c>
      <c r="J3" s="21" t="s">
        <v>93</v>
      </c>
      <c r="K3" s="21" t="s">
        <v>94</v>
      </c>
      <c r="L3" s="23" t="s">
        <v>95</v>
      </c>
      <c r="M3" s="19" t="s">
        <v>96</v>
      </c>
      <c r="N3" s="20" t="s">
        <v>73</v>
      </c>
      <c r="O3" s="20" t="s">
        <v>74</v>
      </c>
      <c r="P3" s="21" t="s">
        <v>97</v>
      </c>
      <c r="Q3" s="21" t="s">
        <v>98</v>
      </c>
      <c r="R3" s="23" t="s">
        <v>99</v>
      </c>
      <c r="S3" s="19" t="s">
        <v>100</v>
      </c>
      <c r="T3" s="19" t="s">
        <v>140</v>
      </c>
      <c r="U3" s="20" t="s">
        <v>139</v>
      </c>
      <c r="V3" s="19" t="s">
        <v>132</v>
      </c>
      <c r="W3" s="31" t="s">
        <v>134</v>
      </c>
      <c r="X3" s="23" t="s">
        <v>144</v>
      </c>
      <c r="Y3" s="32" t="s">
        <v>133</v>
      </c>
      <c r="Z3" s="29" t="s">
        <v>143</v>
      </c>
      <c r="AA3" s="19" t="s">
        <v>135</v>
      </c>
      <c r="AB3" s="29" t="s">
        <v>139</v>
      </c>
      <c r="AC3" s="19" t="s">
        <v>136</v>
      </c>
      <c r="AD3" s="19" t="s">
        <v>137</v>
      </c>
      <c r="AE3" s="34" t="s">
        <v>145</v>
      </c>
      <c r="AF3" s="19" t="s">
        <v>138</v>
      </c>
      <c r="AG3" s="29" t="s">
        <v>142</v>
      </c>
    </row>
    <row r="4" spans="1:33" x14ac:dyDescent="0.25">
      <c r="A4" s="25"/>
      <c r="B4" s="25"/>
      <c r="C4" s="25"/>
      <c r="D4" s="25"/>
      <c r="E4" s="25"/>
      <c r="F4" s="25"/>
      <c r="G4" s="28"/>
      <c r="H4" s="20"/>
      <c r="I4" s="20"/>
      <c r="J4" s="22"/>
      <c r="K4" s="22"/>
      <c r="L4" s="23"/>
      <c r="M4" s="19"/>
      <c r="N4" s="20"/>
      <c r="O4" s="20"/>
      <c r="P4" s="22"/>
      <c r="Q4" s="22"/>
      <c r="R4" s="23"/>
      <c r="S4" s="19"/>
      <c r="T4" s="19"/>
      <c r="U4" s="20"/>
      <c r="V4" s="19"/>
      <c r="W4" s="31"/>
      <c r="X4" s="23"/>
      <c r="Y4" s="32"/>
      <c r="Z4" s="29"/>
      <c r="AA4" s="19"/>
      <c r="AB4" s="29"/>
      <c r="AC4" s="19"/>
      <c r="AD4" s="19"/>
      <c r="AE4" s="35"/>
      <c r="AF4" s="19"/>
      <c r="AG4" s="29"/>
    </row>
    <row r="5" spans="1:33" x14ac:dyDescent="0.25">
      <c r="A5" s="7" t="s">
        <v>62</v>
      </c>
      <c r="B5" s="36" t="s">
        <v>58</v>
      </c>
      <c r="C5" s="8">
        <v>33243</v>
      </c>
      <c r="D5" s="1"/>
      <c r="E5" s="1" t="s">
        <v>106</v>
      </c>
      <c r="F5" s="1" t="s">
        <v>71</v>
      </c>
      <c r="G5" s="2">
        <v>28.52</v>
      </c>
      <c r="H5" s="4">
        <v>2240</v>
      </c>
      <c r="I5" s="4">
        <v>517.22</v>
      </c>
      <c r="J5" s="11">
        <v>63662.400000000001</v>
      </c>
      <c r="K5" s="11">
        <v>21964.080000000002</v>
      </c>
      <c r="L5" s="12">
        <f>J5+K5</f>
        <v>85626.48000000001</v>
      </c>
      <c r="M5" s="14">
        <v>12485.03</v>
      </c>
      <c r="N5" s="3">
        <v>1250</v>
      </c>
      <c r="O5" s="3">
        <v>94.2</v>
      </c>
      <c r="P5" s="12">
        <v>35650</v>
      </c>
      <c r="Q5" s="12">
        <v>4029.89</v>
      </c>
      <c r="R5" s="12">
        <f>P5+Q5</f>
        <v>39679.89</v>
      </c>
      <c r="S5" s="12">
        <v>4327.22</v>
      </c>
      <c r="T5" s="12">
        <v>6796.75</v>
      </c>
      <c r="U5" s="4" t="s">
        <v>141</v>
      </c>
      <c r="V5" s="12">
        <v>236.16</v>
      </c>
      <c r="W5" s="12">
        <v>70.44</v>
      </c>
      <c r="X5" s="33">
        <v>5092.82</v>
      </c>
      <c r="Y5" s="12">
        <v>185.75</v>
      </c>
      <c r="Z5" s="30">
        <f>SUM(T5:Y5)</f>
        <v>12381.919999999998</v>
      </c>
      <c r="AA5" s="12">
        <v>5128.09</v>
      </c>
      <c r="AB5" s="4" t="s">
        <v>141</v>
      </c>
      <c r="AC5" s="12">
        <v>157.44</v>
      </c>
      <c r="AD5" s="12">
        <v>46.96</v>
      </c>
      <c r="AE5" s="12">
        <v>2852.03</v>
      </c>
      <c r="AF5" s="12">
        <v>132.13999999999999</v>
      </c>
      <c r="AG5" s="30">
        <f>SUM(AA5:AF5)</f>
        <v>8316.66</v>
      </c>
    </row>
    <row r="6" spans="1:33" x14ac:dyDescent="0.25">
      <c r="A6" s="7" t="s">
        <v>63</v>
      </c>
      <c r="B6" s="36" t="s">
        <v>59</v>
      </c>
      <c r="C6" s="8">
        <v>34456</v>
      </c>
      <c r="D6" s="1"/>
      <c r="E6" s="1" t="s">
        <v>72</v>
      </c>
      <c r="F6" s="1" t="s">
        <v>71</v>
      </c>
      <c r="G6" s="2">
        <v>37.880000000000003</v>
      </c>
      <c r="H6" s="4">
        <v>2184</v>
      </c>
      <c r="I6" s="4">
        <v>0</v>
      </c>
      <c r="J6" s="11">
        <v>82645.119999999995</v>
      </c>
      <c r="K6" s="11"/>
      <c r="L6" s="12">
        <f t="shared" ref="L6:L44" si="0">J6+K6</f>
        <v>82645.119999999995</v>
      </c>
      <c r="M6" s="14">
        <v>12427.52</v>
      </c>
      <c r="N6" s="3">
        <v>1120</v>
      </c>
      <c r="O6" s="3"/>
      <c r="P6" s="12">
        <v>42425.599999999999</v>
      </c>
      <c r="Q6" s="12"/>
      <c r="R6" s="12">
        <f t="shared" ref="R6:R51" si="1">P6+Q6</f>
        <v>42425.599999999999</v>
      </c>
      <c r="S6" s="12">
        <v>5201.96</v>
      </c>
      <c r="T6" s="12">
        <v>6796.75</v>
      </c>
      <c r="U6" s="4" t="s">
        <v>141</v>
      </c>
      <c r="V6" s="12">
        <v>236.16</v>
      </c>
      <c r="W6" s="12">
        <v>70.44</v>
      </c>
      <c r="X6" s="12">
        <v>6611.68</v>
      </c>
      <c r="Y6" s="12">
        <v>185.75</v>
      </c>
      <c r="Z6" s="30">
        <f>SUM(T6:Y6)</f>
        <v>13900.779999999999</v>
      </c>
      <c r="AA6" s="12">
        <v>5128.09</v>
      </c>
      <c r="AB6" s="4" t="s">
        <v>141</v>
      </c>
      <c r="AC6" s="12">
        <v>157.44</v>
      </c>
      <c r="AD6" s="12">
        <v>46.96</v>
      </c>
      <c r="AE6" s="12">
        <v>3394.04</v>
      </c>
      <c r="AF6" s="12">
        <v>132.13999999999999</v>
      </c>
      <c r="AG6" s="30">
        <f t="shared" ref="AG6:AG51" si="2">SUM(AA6:AF6)</f>
        <v>8858.6699999999983</v>
      </c>
    </row>
    <row r="7" spans="1:33" x14ac:dyDescent="0.25">
      <c r="A7" s="3" t="s">
        <v>2</v>
      </c>
      <c r="B7" s="37" t="s">
        <v>3</v>
      </c>
      <c r="C7" s="13">
        <v>38439</v>
      </c>
      <c r="D7" s="4"/>
      <c r="E7" s="4" t="s">
        <v>107</v>
      </c>
      <c r="F7" s="4" t="s">
        <v>71</v>
      </c>
      <c r="G7" s="5">
        <v>22.9</v>
      </c>
      <c r="H7" s="4">
        <v>2029.57</v>
      </c>
      <c r="I7" s="4">
        <v>32.89</v>
      </c>
      <c r="J7" s="11">
        <v>46403.21</v>
      </c>
      <c r="K7" s="11">
        <v>1125.69</v>
      </c>
      <c r="L7" s="12">
        <f t="shared" si="0"/>
        <v>47528.9</v>
      </c>
      <c r="M7" s="14">
        <v>3073.51</v>
      </c>
      <c r="N7" s="3">
        <f>8+1316.05+32</f>
        <v>1356.05</v>
      </c>
      <c r="O7" s="3">
        <v>32.86</v>
      </c>
      <c r="P7" s="12">
        <f>183.2+30137.54+732.8</f>
        <v>31053.54</v>
      </c>
      <c r="Q7" s="12">
        <v>1128.76</v>
      </c>
      <c r="R7" s="12">
        <f t="shared" si="1"/>
        <v>32182.3</v>
      </c>
      <c r="S7" s="12">
        <v>1871.54</v>
      </c>
      <c r="T7" s="12">
        <v>6796.75</v>
      </c>
      <c r="U7" s="4" t="s">
        <v>141</v>
      </c>
      <c r="V7" s="12">
        <v>236.16</v>
      </c>
      <c r="W7" s="12">
        <v>70.44</v>
      </c>
      <c r="X7" s="12">
        <v>3712.29</v>
      </c>
      <c r="Y7" s="12">
        <v>185.75</v>
      </c>
      <c r="Z7" s="30">
        <f>SUM(T7:Y7)</f>
        <v>11001.39</v>
      </c>
      <c r="AA7" s="12">
        <v>5128.09</v>
      </c>
      <c r="AB7" s="4" t="s">
        <v>141</v>
      </c>
      <c r="AC7" s="12">
        <v>157.44</v>
      </c>
      <c r="AD7" s="12">
        <v>46.96</v>
      </c>
      <c r="AE7" s="12">
        <v>2484.2800000000002</v>
      </c>
      <c r="AF7" s="12">
        <v>132.13999999999999</v>
      </c>
      <c r="AG7" s="30">
        <f t="shared" si="2"/>
        <v>7948.9100000000008</v>
      </c>
    </row>
    <row r="8" spans="1:33" x14ac:dyDescent="0.25">
      <c r="A8" s="3" t="s">
        <v>4</v>
      </c>
      <c r="B8" s="37" t="s">
        <v>5</v>
      </c>
      <c r="C8" s="13">
        <v>38923</v>
      </c>
      <c r="D8" s="13">
        <v>45504</v>
      </c>
      <c r="E8" s="4" t="s">
        <v>108</v>
      </c>
      <c r="F8" s="4" t="s">
        <v>71</v>
      </c>
      <c r="G8" s="5">
        <v>27.07</v>
      </c>
      <c r="H8" s="4">
        <v>1662.25</v>
      </c>
      <c r="I8" s="4">
        <v>6.01</v>
      </c>
      <c r="J8" s="11">
        <v>43329.89</v>
      </c>
      <c r="K8" s="11">
        <v>234.56</v>
      </c>
      <c r="L8" s="12">
        <f t="shared" si="0"/>
        <v>43564.45</v>
      </c>
      <c r="M8" s="14">
        <v>3065.68</v>
      </c>
      <c r="N8" s="3">
        <f>1340.24-2.47</f>
        <v>1337.77</v>
      </c>
      <c r="O8" s="3">
        <v>2.4700000000000002</v>
      </c>
      <c r="P8" s="12">
        <f>35604.93-96.48</f>
        <v>35508.449999999997</v>
      </c>
      <c r="Q8" s="12">
        <v>96.48</v>
      </c>
      <c r="R8" s="12">
        <f t="shared" si="1"/>
        <v>35604.93</v>
      </c>
      <c r="S8" s="12">
        <v>3351.38</v>
      </c>
      <c r="T8" s="12">
        <v>6796.75</v>
      </c>
      <c r="U8" s="4" t="s">
        <v>141</v>
      </c>
      <c r="V8" s="12">
        <v>236.16</v>
      </c>
      <c r="W8" s="12">
        <v>70.44</v>
      </c>
      <c r="X8" s="12">
        <v>3466.44</v>
      </c>
      <c r="Y8" s="12">
        <v>185.75</v>
      </c>
      <c r="Z8" s="30">
        <f>SUM(T8:Y8)</f>
        <v>10755.539999999999</v>
      </c>
      <c r="AA8" s="12">
        <v>3705.53</v>
      </c>
      <c r="AB8" s="4" t="s">
        <v>141</v>
      </c>
      <c r="AC8" s="12">
        <v>118.08</v>
      </c>
      <c r="AD8" s="12">
        <v>35.22</v>
      </c>
      <c r="AE8" s="12">
        <v>2816.41</v>
      </c>
      <c r="AF8" s="12">
        <v>97.38</v>
      </c>
      <c r="AG8" s="30">
        <f t="shared" si="2"/>
        <v>6772.62</v>
      </c>
    </row>
    <row r="9" spans="1:33" x14ac:dyDescent="0.25">
      <c r="A9" s="3" t="s">
        <v>6</v>
      </c>
      <c r="B9" s="37" t="s">
        <v>7</v>
      </c>
      <c r="C9" s="13">
        <v>39198</v>
      </c>
      <c r="D9" s="4"/>
      <c r="E9" s="4" t="s">
        <v>109</v>
      </c>
      <c r="F9" s="4" t="s">
        <v>71</v>
      </c>
      <c r="G9" s="5">
        <v>26.04</v>
      </c>
      <c r="H9" s="4">
        <v>2049.71</v>
      </c>
      <c r="I9" s="4">
        <v>51.11</v>
      </c>
      <c r="J9" s="11">
        <v>53292.61</v>
      </c>
      <c r="K9" s="11">
        <v>1970.65</v>
      </c>
      <c r="L9" s="12">
        <f t="shared" si="0"/>
        <v>55263.26</v>
      </c>
      <c r="M9" s="14">
        <v>2964.88</v>
      </c>
      <c r="N9" s="3">
        <f>1432.84-73.14</f>
        <v>1359.6999999999998</v>
      </c>
      <c r="O9" s="3">
        <v>73.14</v>
      </c>
      <c r="P9" s="12">
        <f>38363.43-2856.84</f>
        <v>35506.589999999997</v>
      </c>
      <c r="Q9" s="12">
        <v>2856.84</v>
      </c>
      <c r="R9" s="12">
        <f t="shared" si="1"/>
        <v>38363.429999999993</v>
      </c>
      <c r="S9" s="12">
        <v>3622.06</v>
      </c>
      <c r="T9" s="12">
        <v>6796.75</v>
      </c>
      <c r="U9" s="4" t="s">
        <v>141</v>
      </c>
      <c r="V9" s="12">
        <v>236.16</v>
      </c>
      <c r="W9" s="12">
        <v>70.44</v>
      </c>
      <c r="X9" s="12">
        <v>4263.54</v>
      </c>
      <c r="Y9" s="12">
        <v>120.75</v>
      </c>
      <c r="Z9" s="30">
        <f>SUM(T9:Y9)</f>
        <v>11487.64</v>
      </c>
      <c r="AA9" s="12">
        <v>5128.09</v>
      </c>
      <c r="AB9" s="4" t="s">
        <v>141</v>
      </c>
      <c r="AC9" s="12">
        <v>157.44</v>
      </c>
      <c r="AD9" s="12">
        <v>46.96</v>
      </c>
      <c r="AE9" s="12">
        <v>2832.59</v>
      </c>
      <c r="AF9" s="12">
        <v>85.9</v>
      </c>
      <c r="AG9" s="30">
        <f t="shared" si="2"/>
        <v>8250.98</v>
      </c>
    </row>
    <row r="10" spans="1:33" x14ac:dyDescent="0.25">
      <c r="A10" s="3" t="s">
        <v>8</v>
      </c>
      <c r="B10" s="37" t="s">
        <v>9</v>
      </c>
      <c r="C10" s="13">
        <v>40283</v>
      </c>
      <c r="D10" s="4"/>
      <c r="E10" s="4" t="s">
        <v>110</v>
      </c>
      <c r="F10" s="4" t="s">
        <v>71</v>
      </c>
      <c r="G10" s="5">
        <v>27.32</v>
      </c>
      <c r="H10" s="4">
        <v>1936.5</v>
      </c>
      <c r="I10" s="4">
        <v>111.72</v>
      </c>
      <c r="J10" s="11">
        <v>49522.93</v>
      </c>
      <c r="K10" s="11">
        <v>4252.8599999999997</v>
      </c>
      <c r="L10" s="12">
        <f t="shared" si="0"/>
        <v>53775.79</v>
      </c>
      <c r="M10" s="14">
        <v>4250.17</v>
      </c>
      <c r="N10" s="3">
        <f>1377.7-94.05</f>
        <v>1283.6500000000001</v>
      </c>
      <c r="O10" s="3">
        <v>94.05</v>
      </c>
      <c r="P10" s="12">
        <f>36970.6-3650.86</f>
        <v>33319.74</v>
      </c>
      <c r="Q10" s="12">
        <v>3650.86</v>
      </c>
      <c r="R10" s="12">
        <f t="shared" si="1"/>
        <v>36970.6</v>
      </c>
      <c r="S10" s="12">
        <v>2752.16</v>
      </c>
      <c r="T10" s="12">
        <v>6796.75</v>
      </c>
      <c r="U10" s="4" t="s">
        <v>141</v>
      </c>
      <c r="V10" s="12">
        <v>236.16</v>
      </c>
      <c r="W10" s="12">
        <v>70.44</v>
      </c>
      <c r="X10" s="12">
        <v>3961.87</v>
      </c>
      <c r="Y10" s="12">
        <v>92.97</v>
      </c>
      <c r="Z10" s="30">
        <f>SUM(T10:Y10)</f>
        <v>11158.189999999999</v>
      </c>
      <c r="AA10" s="12">
        <v>5128.09</v>
      </c>
      <c r="AB10" s="4" t="s">
        <v>141</v>
      </c>
      <c r="AC10" s="12">
        <v>157.44</v>
      </c>
      <c r="AD10" s="12">
        <v>46.96</v>
      </c>
      <c r="AE10" s="12">
        <v>2665.61</v>
      </c>
      <c r="AF10" s="12">
        <v>66.12</v>
      </c>
      <c r="AG10" s="30">
        <f t="shared" si="2"/>
        <v>8064.22</v>
      </c>
    </row>
    <row r="11" spans="1:33" x14ac:dyDescent="0.25">
      <c r="A11" s="3" t="s">
        <v>10</v>
      </c>
      <c r="B11" s="37" t="s">
        <v>11</v>
      </c>
      <c r="C11" s="13">
        <v>41372</v>
      </c>
      <c r="D11" s="4"/>
      <c r="E11" s="4" t="s">
        <v>110</v>
      </c>
      <c r="F11" s="4" t="s">
        <v>71</v>
      </c>
      <c r="G11" s="5">
        <v>25.04</v>
      </c>
      <c r="H11" s="4">
        <v>2080</v>
      </c>
      <c r="I11" s="4">
        <v>79.040000000000006</v>
      </c>
      <c r="J11" s="11">
        <v>50615.9</v>
      </c>
      <c r="K11" s="11">
        <v>2782.22</v>
      </c>
      <c r="L11" s="12">
        <f t="shared" si="0"/>
        <v>53398.12</v>
      </c>
      <c r="M11" s="14">
        <v>4339.34</v>
      </c>
      <c r="N11" s="3">
        <f>1502.74-142.74</f>
        <v>1360</v>
      </c>
      <c r="O11" s="3">
        <v>142.74</v>
      </c>
      <c r="P11" s="12">
        <f>39063.01-5320.61</f>
        <v>33742.400000000001</v>
      </c>
      <c r="Q11" s="12">
        <v>5320.61</v>
      </c>
      <c r="R11" s="12">
        <f t="shared" si="1"/>
        <v>39063.01</v>
      </c>
      <c r="S11" s="12">
        <v>3064.41</v>
      </c>
      <c r="T11" s="12">
        <v>6796.75</v>
      </c>
      <c r="U11" s="4" t="s">
        <v>141</v>
      </c>
      <c r="V11" s="12">
        <v>236.16</v>
      </c>
      <c r="W11" s="12">
        <v>70.44</v>
      </c>
      <c r="X11" s="12">
        <v>4049.13</v>
      </c>
      <c r="Y11" s="12">
        <v>185.75</v>
      </c>
      <c r="Z11" s="30">
        <f>SUM(T11:Y11)</f>
        <v>11338.23</v>
      </c>
      <c r="AA11" s="12">
        <v>5128.09</v>
      </c>
      <c r="AB11" s="4" t="s">
        <v>141</v>
      </c>
      <c r="AC11" s="12">
        <v>157.44</v>
      </c>
      <c r="AD11" s="12">
        <v>46.96</v>
      </c>
      <c r="AE11" s="12">
        <v>2699.37</v>
      </c>
      <c r="AF11" s="12">
        <v>132.13999999999999</v>
      </c>
      <c r="AG11" s="30">
        <f t="shared" si="2"/>
        <v>8164</v>
      </c>
    </row>
    <row r="12" spans="1:33" x14ac:dyDescent="0.25">
      <c r="A12" s="3" t="s">
        <v>12</v>
      </c>
      <c r="B12" s="37" t="s">
        <v>13</v>
      </c>
      <c r="C12" s="13">
        <v>41372</v>
      </c>
      <c r="D12" s="4"/>
      <c r="E12" s="4" t="s">
        <v>108</v>
      </c>
      <c r="F12" s="4" t="s">
        <v>71</v>
      </c>
      <c r="G12" s="5">
        <v>27.07</v>
      </c>
      <c r="H12" s="4">
        <v>2076.83</v>
      </c>
      <c r="I12" s="4">
        <v>200.42</v>
      </c>
      <c r="J12" s="11">
        <v>49881.91</v>
      </c>
      <c r="K12" s="11">
        <v>7163.02</v>
      </c>
      <c r="L12" s="12">
        <f t="shared" si="0"/>
        <v>57044.930000000008</v>
      </c>
      <c r="M12" s="14">
        <v>4714.57</v>
      </c>
      <c r="N12" s="3">
        <f>1525.49-166.63</f>
        <v>1358.8600000000001</v>
      </c>
      <c r="O12" s="3">
        <v>166.63</v>
      </c>
      <c r="P12" s="12">
        <f>40334.28-6161.24</f>
        <v>34173.040000000001</v>
      </c>
      <c r="Q12" s="12">
        <v>6161.24</v>
      </c>
      <c r="R12" s="12">
        <f t="shared" si="1"/>
        <v>40334.28</v>
      </c>
      <c r="S12" s="12">
        <v>3176.2</v>
      </c>
      <c r="T12" s="12">
        <v>6796.75</v>
      </c>
      <c r="U12" s="4" t="s">
        <v>141</v>
      </c>
      <c r="V12" s="12">
        <v>236.16</v>
      </c>
      <c r="W12" s="12">
        <v>70.44</v>
      </c>
      <c r="X12" s="12">
        <v>3990.57</v>
      </c>
      <c r="Y12" s="12">
        <v>185.75</v>
      </c>
      <c r="Z12" s="30">
        <f>SUM(T12:Y12)</f>
        <v>11279.67</v>
      </c>
      <c r="AA12" s="12">
        <v>5128.09</v>
      </c>
      <c r="AB12" s="4" t="s">
        <v>141</v>
      </c>
      <c r="AC12" s="12">
        <v>157.44</v>
      </c>
      <c r="AD12" s="12">
        <v>46.96</v>
      </c>
      <c r="AE12" s="12">
        <v>2711.84</v>
      </c>
      <c r="AF12" s="12">
        <v>132.13999999999999</v>
      </c>
      <c r="AG12" s="30">
        <f t="shared" si="2"/>
        <v>8176.47</v>
      </c>
    </row>
    <row r="13" spans="1:33" x14ac:dyDescent="0.25">
      <c r="A13" s="3" t="s">
        <v>14</v>
      </c>
      <c r="B13" s="37" t="s">
        <v>15</v>
      </c>
      <c r="C13" s="13">
        <v>41911</v>
      </c>
      <c r="D13" s="4"/>
      <c r="E13" s="4" t="s">
        <v>115</v>
      </c>
      <c r="F13" s="4" t="s">
        <v>71</v>
      </c>
      <c r="G13" s="5">
        <v>32.729999999999997</v>
      </c>
      <c r="H13" s="4">
        <v>2076</v>
      </c>
      <c r="I13" s="4">
        <v>305.83999999999997</v>
      </c>
      <c r="J13" s="11">
        <v>58252.76</v>
      </c>
      <c r="K13" s="11">
        <v>12779</v>
      </c>
      <c r="L13" s="12">
        <f t="shared" si="0"/>
        <v>71031.760000000009</v>
      </c>
      <c r="M13" s="14">
        <v>6350.37</v>
      </c>
      <c r="N13" s="3">
        <f>1763.93-401.93</f>
        <v>1362</v>
      </c>
      <c r="O13" s="3">
        <v>401.93</v>
      </c>
      <c r="P13" s="12">
        <f>58386.64-17905.18</f>
        <v>40481.46</v>
      </c>
      <c r="Q13" s="12">
        <v>17905.18</v>
      </c>
      <c r="R13" s="12">
        <f t="shared" si="1"/>
        <v>58386.64</v>
      </c>
      <c r="S13" s="12">
        <v>5402.63</v>
      </c>
      <c r="T13" s="12">
        <v>6796.75</v>
      </c>
      <c r="U13" s="4" t="s">
        <v>141</v>
      </c>
      <c r="V13" s="12">
        <v>236.16</v>
      </c>
      <c r="W13" s="12">
        <v>70.44</v>
      </c>
      <c r="X13" s="12">
        <v>4660.0600000000004</v>
      </c>
      <c r="Y13" s="12">
        <v>185.75</v>
      </c>
      <c r="Z13" s="30">
        <f>SUM(T13:Y13)</f>
        <v>11949.16</v>
      </c>
      <c r="AA13" s="12">
        <v>5128.09</v>
      </c>
      <c r="AB13" s="4" t="s">
        <v>141</v>
      </c>
      <c r="AC13" s="12">
        <v>157.44</v>
      </c>
      <c r="AD13" s="12">
        <v>46.96</v>
      </c>
      <c r="AE13" s="12">
        <v>3197.2</v>
      </c>
      <c r="AF13" s="12">
        <v>132.13999999999999</v>
      </c>
      <c r="AG13" s="30">
        <f t="shared" si="2"/>
        <v>8661.8299999999981</v>
      </c>
    </row>
    <row r="14" spans="1:33" x14ac:dyDescent="0.25">
      <c r="A14" s="3" t="s">
        <v>16</v>
      </c>
      <c r="B14" s="37" t="s">
        <v>17</v>
      </c>
      <c r="C14" s="13">
        <v>42345</v>
      </c>
      <c r="D14" s="4"/>
      <c r="E14" s="4" t="s">
        <v>109</v>
      </c>
      <c r="F14" s="4" t="s">
        <v>71</v>
      </c>
      <c r="G14" s="5">
        <v>25.04</v>
      </c>
      <c r="H14" s="4">
        <v>2076</v>
      </c>
      <c r="I14" s="4">
        <v>17.95</v>
      </c>
      <c r="J14" s="11">
        <v>56070.04</v>
      </c>
      <c r="K14" s="11">
        <v>708.61</v>
      </c>
      <c r="L14" s="12">
        <f t="shared" si="0"/>
        <v>56778.65</v>
      </c>
      <c r="M14" s="14">
        <v>5920.29</v>
      </c>
      <c r="N14" s="3">
        <f>1407.83-51.83</f>
        <v>1356</v>
      </c>
      <c r="O14" s="3">
        <v>51.83</v>
      </c>
      <c r="P14" s="12">
        <f>37129.28-2066.16</f>
        <v>35063.119999999995</v>
      </c>
      <c r="Q14" s="12">
        <v>2066.16</v>
      </c>
      <c r="R14" s="12">
        <f t="shared" si="1"/>
        <v>37129.279999999999</v>
      </c>
      <c r="S14" s="12">
        <v>3585.17</v>
      </c>
      <c r="T14" s="12">
        <v>6796.75</v>
      </c>
      <c r="U14" s="4" t="s">
        <v>141</v>
      </c>
      <c r="V14" s="12">
        <v>236.16</v>
      </c>
      <c r="W14" s="12">
        <v>70.44</v>
      </c>
      <c r="X14" s="12">
        <v>4485.4399999999996</v>
      </c>
      <c r="Y14" s="12">
        <v>185.75</v>
      </c>
      <c r="Z14" s="30">
        <f>SUM(T14:Y14)</f>
        <v>11774.539999999999</v>
      </c>
      <c r="AA14" s="12">
        <v>5128.09</v>
      </c>
      <c r="AB14" s="4" t="s">
        <v>141</v>
      </c>
      <c r="AC14" s="12">
        <v>157.44</v>
      </c>
      <c r="AD14" s="12">
        <v>46.96</v>
      </c>
      <c r="AE14" s="12">
        <v>2775.09</v>
      </c>
      <c r="AF14" s="12">
        <v>132.13999999999999</v>
      </c>
      <c r="AG14" s="30">
        <f t="shared" si="2"/>
        <v>8239.7199999999993</v>
      </c>
    </row>
    <row r="15" spans="1:33" x14ac:dyDescent="0.25">
      <c r="A15" s="3" t="s">
        <v>116</v>
      </c>
      <c r="B15" s="37" t="s">
        <v>101</v>
      </c>
      <c r="C15" s="13">
        <v>42760</v>
      </c>
      <c r="D15" s="13">
        <v>45163</v>
      </c>
      <c r="E15" s="4" t="s">
        <v>110</v>
      </c>
      <c r="F15" s="4" t="s">
        <v>71</v>
      </c>
      <c r="G15" s="5">
        <v>23.5</v>
      </c>
      <c r="H15" s="4">
        <v>1564</v>
      </c>
      <c r="I15" s="4">
        <v>194.64</v>
      </c>
      <c r="J15" s="11">
        <v>36077.4</v>
      </c>
      <c r="K15" s="11">
        <v>6706.11</v>
      </c>
      <c r="L15" s="12">
        <f t="shared" si="0"/>
        <v>42783.51</v>
      </c>
      <c r="M15" s="14"/>
      <c r="N15" s="3"/>
      <c r="O15" s="3"/>
      <c r="P15" s="12"/>
      <c r="Q15" s="12"/>
      <c r="R15" s="12"/>
      <c r="S15" s="12"/>
      <c r="T15" s="12">
        <v>3802.5</v>
      </c>
      <c r="U15" s="4" t="s">
        <v>141</v>
      </c>
      <c r="V15" s="12">
        <v>137.76</v>
      </c>
      <c r="W15" s="12">
        <v>41.09</v>
      </c>
      <c r="X15" s="12">
        <v>2886.23</v>
      </c>
      <c r="Y15" s="12">
        <v>105.75</v>
      </c>
      <c r="Z15" s="30">
        <f>SUM(T15:Y15)</f>
        <v>6973.33</v>
      </c>
      <c r="AA15" s="12"/>
      <c r="AB15" s="4"/>
      <c r="AC15" s="12"/>
      <c r="AD15" s="12"/>
      <c r="AE15" s="12"/>
      <c r="AF15" s="12"/>
      <c r="AG15" s="30">
        <f t="shared" si="2"/>
        <v>0</v>
      </c>
    </row>
    <row r="16" spans="1:33" x14ac:dyDescent="0.25">
      <c r="A16" s="3" t="s">
        <v>18</v>
      </c>
      <c r="B16" s="37" t="s">
        <v>19</v>
      </c>
      <c r="C16" s="13">
        <v>42779</v>
      </c>
      <c r="D16" s="13">
        <v>45478</v>
      </c>
      <c r="E16" s="4" t="s">
        <v>107</v>
      </c>
      <c r="F16" s="4" t="s">
        <v>71</v>
      </c>
      <c r="G16" s="5">
        <v>21.51</v>
      </c>
      <c r="H16" s="4">
        <v>2077.13</v>
      </c>
      <c r="I16" s="4">
        <v>25.2</v>
      </c>
      <c r="J16" s="11">
        <v>39693.79</v>
      </c>
      <c r="K16" s="11">
        <v>713.06</v>
      </c>
      <c r="L16" s="12">
        <f t="shared" si="0"/>
        <v>40406.85</v>
      </c>
      <c r="M16" s="14">
        <v>3372.82</v>
      </c>
      <c r="N16" s="3">
        <f>1139.32-27.32</f>
        <v>1112</v>
      </c>
      <c r="O16" s="3">
        <v>27.32</v>
      </c>
      <c r="P16" s="12">
        <f>22474.72-797.12</f>
        <v>21677.600000000002</v>
      </c>
      <c r="Q16" s="12">
        <v>797.12</v>
      </c>
      <c r="R16" s="12">
        <f t="shared" si="1"/>
        <v>22474.720000000001</v>
      </c>
      <c r="S16" s="12">
        <v>1791.8</v>
      </c>
      <c r="T16" s="12">
        <v>6796.75</v>
      </c>
      <c r="U16" s="4" t="s">
        <v>141</v>
      </c>
      <c r="V16" s="12">
        <v>236.16</v>
      </c>
      <c r="W16" s="12">
        <v>70.44</v>
      </c>
      <c r="X16" s="12">
        <v>3175.64</v>
      </c>
      <c r="Y16" s="12">
        <v>120.75</v>
      </c>
      <c r="Z16" s="30">
        <f>SUM(T16:Y16)</f>
        <v>10399.74</v>
      </c>
      <c r="AA16" s="12">
        <v>3705.53</v>
      </c>
      <c r="AB16" s="4" t="s">
        <v>141</v>
      </c>
      <c r="AC16" s="12">
        <v>118.08</v>
      </c>
      <c r="AD16" s="12">
        <v>35.22</v>
      </c>
      <c r="AE16" s="12">
        <v>1734.22</v>
      </c>
      <c r="AF16" s="12">
        <v>63.3</v>
      </c>
      <c r="AG16" s="30">
        <f t="shared" si="2"/>
        <v>5656.35</v>
      </c>
    </row>
    <row r="17" spans="1:33" x14ac:dyDescent="0.25">
      <c r="A17" s="3" t="s">
        <v>20</v>
      </c>
      <c r="B17" s="37" t="s">
        <v>21</v>
      </c>
      <c r="C17" s="13">
        <v>42786</v>
      </c>
      <c r="D17" s="4"/>
      <c r="E17" s="4" t="s">
        <v>107</v>
      </c>
      <c r="F17" s="4" t="s">
        <v>71</v>
      </c>
      <c r="G17" s="5">
        <v>21.51</v>
      </c>
      <c r="H17" s="4">
        <v>1992.43</v>
      </c>
      <c r="I17" s="4">
        <v>7.09</v>
      </c>
      <c r="J17" s="11">
        <v>39440.03</v>
      </c>
      <c r="K17" s="11">
        <v>208</v>
      </c>
      <c r="L17" s="12">
        <f t="shared" si="0"/>
        <v>39648.03</v>
      </c>
      <c r="M17" s="14">
        <v>3027.05</v>
      </c>
      <c r="N17" s="3">
        <f>1350.85-43.88</f>
        <v>1306.9699999999998</v>
      </c>
      <c r="O17" s="3">
        <v>43.88</v>
      </c>
      <c r="P17" s="12">
        <f>28027.76-1350.46</f>
        <v>26677.3</v>
      </c>
      <c r="Q17" s="12">
        <v>1350.46</v>
      </c>
      <c r="R17" s="12">
        <f t="shared" si="1"/>
        <v>28027.759999999998</v>
      </c>
      <c r="S17" s="12">
        <v>1735.37</v>
      </c>
      <c r="T17" s="12">
        <v>6796.75</v>
      </c>
      <c r="U17" s="4" t="s">
        <v>141</v>
      </c>
      <c r="V17" s="12">
        <v>236.16</v>
      </c>
      <c r="W17" s="12">
        <v>70.44</v>
      </c>
      <c r="X17" s="12">
        <v>3155.25</v>
      </c>
      <c r="Y17" s="12">
        <v>185.75</v>
      </c>
      <c r="Z17" s="30">
        <f>SUM(T17:Y17)</f>
        <v>10444.349999999999</v>
      </c>
      <c r="AA17" s="12">
        <v>5128.09</v>
      </c>
      <c r="AB17" s="4" t="s">
        <v>141</v>
      </c>
      <c r="AC17" s="12">
        <v>157.44</v>
      </c>
      <c r="AD17" s="12">
        <v>46.96</v>
      </c>
      <c r="AE17" s="12">
        <v>2134.13</v>
      </c>
      <c r="AF17" s="12">
        <v>132.13999999999999</v>
      </c>
      <c r="AG17" s="30">
        <f t="shared" si="2"/>
        <v>7598.76</v>
      </c>
    </row>
    <row r="18" spans="1:33" x14ac:dyDescent="0.25">
      <c r="A18" s="3" t="s">
        <v>22</v>
      </c>
      <c r="B18" s="37" t="s">
        <v>23</v>
      </c>
      <c r="C18" s="13">
        <v>43005</v>
      </c>
      <c r="D18" s="13">
        <v>45432</v>
      </c>
      <c r="E18" s="4" t="s">
        <v>111</v>
      </c>
      <c r="F18" s="4" t="s">
        <v>71</v>
      </c>
      <c r="G18" s="5">
        <v>28.52</v>
      </c>
      <c r="H18" s="4">
        <v>2063.2600000000002</v>
      </c>
      <c r="I18" s="4">
        <v>64.45</v>
      </c>
      <c r="J18" s="5">
        <v>56435</v>
      </c>
      <c r="K18" s="5">
        <v>2647.94</v>
      </c>
      <c r="L18" s="17">
        <f t="shared" si="0"/>
        <v>59082.94</v>
      </c>
      <c r="M18" s="18">
        <v>4085.52</v>
      </c>
      <c r="N18" s="3">
        <f>948.91-60.3</f>
        <v>888.61</v>
      </c>
      <c r="O18" s="3">
        <v>60.3</v>
      </c>
      <c r="P18" s="17">
        <f>27922.79-2579.63</f>
        <v>25343.16</v>
      </c>
      <c r="Q18" s="17">
        <v>2579.63</v>
      </c>
      <c r="R18" s="17">
        <f t="shared" si="1"/>
        <v>27922.79</v>
      </c>
      <c r="S18" s="17">
        <v>1846.57</v>
      </c>
      <c r="T18" s="12">
        <v>6796.75</v>
      </c>
      <c r="U18" s="4" t="s">
        <v>141</v>
      </c>
      <c r="V18" s="12">
        <v>236.16</v>
      </c>
      <c r="W18" s="12">
        <v>70.44</v>
      </c>
      <c r="X18" s="12">
        <v>4514.7</v>
      </c>
      <c r="Y18" s="12">
        <v>185.75</v>
      </c>
      <c r="Z18" s="30">
        <f>SUM(T18:Y18)</f>
        <v>11803.8</v>
      </c>
      <c r="AA18" s="12">
        <v>2395.4</v>
      </c>
      <c r="AB18" s="4" t="s">
        <v>141</v>
      </c>
      <c r="AC18" s="12">
        <v>78.72</v>
      </c>
      <c r="AD18" s="12">
        <v>23.48</v>
      </c>
      <c r="AE18" s="12">
        <v>2027.37</v>
      </c>
      <c r="AF18" s="12">
        <v>64</v>
      </c>
      <c r="AG18" s="30">
        <f t="shared" si="2"/>
        <v>4588.9699999999993</v>
      </c>
    </row>
    <row r="19" spans="1:33" x14ac:dyDescent="0.25">
      <c r="A19" s="3" t="s">
        <v>24</v>
      </c>
      <c r="B19" s="37" t="s">
        <v>25</v>
      </c>
      <c r="C19" s="13">
        <v>43136</v>
      </c>
      <c r="D19" s="4"/>
      <c r="E19" s="4" t="s">
        <v>109</v>
      </c>
      <c r="F19" s="4" t="s">
        <v>71</v>
      </c>
      <c r="G19" s="5">
        <v>25.04</v>
      </c>
      <c r="H19" s="4">
        <v>2077.98</v>
      </c>
      <c r="I19" s="4">
        <v>255.94</v>
      </c>
      <c r="J19" s="11">
        <v>43955.07</v>
      </c>
      <c r="K19" s="11">
        <v>8013.27</v>
      </c>
      <c r="L19" s="12">
        <f t="shared" si="0"/>
        <v>51968.34</v>
      </c>
      <c r="M19" s="14">
        <v>4074.14</v>
      </c>
      <c r="N19" s="3">
        <f>1524.69-162.69</f>
        <v>1362</v>
      </c>
      <c r="O19" s="3">
        <v>162.69</v>
      </c>
      <c r="P19" s="12">
        <f>36348.06-5441.78</f>
        <v>30906.28</v>
      </c>
      <c r="Q19" s="12">
        <v>5441.78</v>
      </c>
      <c r="R19" s="12">
        <f t="shared" si="1"/>
        <v>36348.06</v>
      </c>
      <c r="S19" s="12">
        <v>2677.48</v>
      </c>
      <c r="T19" s="12">
        <v>6796.75</v>
      </c>
      <c r="U19" s="4" t="s">
        <v>141</v>
      </c>
      <c r="V19" s="12">
        <v>236.16</v>
      </c>
      <c r="W19" s="12">
        <v>70.44</v>
      </c>
      <c r="X19" s="12">
        <v>3516.24</v>
      </c>
      <c r="Y19" s="12">
        <v>185.75</v>
      </c>
      <c r="Z19" s="30">
        <f>SUM(T19:Y19)</f>
        <v>10805.34</v>
      </c>
      <c r="AA19" s="12">
        <v>5128.09</v>
      </c>
      <c r="AB19" s="4" t="s">
        <v>141</v>
      </c>
      <c r="AC19" s="12">
        <v>157.44</v>
      </c>
      <c r="AD19" s="12">
        <v>46.96</v>
      </c>
      <c r="AE19" s="12">
        <v>2442.5700000000002</v>
      </c>
      <c r="AF19" s="12">
        <v>132.13999999999999</v>
      </c>
      <c r="AG19" s="30">
        <f t="shared" si="2"/>
        <v>7907.2</v>
      </c>
    </row>
    <row r="20" spans="1:33" x14ac:dyDescent="0.25">
      <c r="A20" s="3" t="s">
        <v>26</v>
      </c>
      <c r="B20" s="37" t="s">
        <v>27</v>
      </c>
      <c r="C20" s="13">
        <v>43143</v>
      </c>
      <c r="D20" s="4"/>
      <c r="E20" s="4" t="s">
        <v>109</v>
      </c>
      <c r="F20" s="4" t="s">
        <v>71</v>
      </c>
      <c r="G20" s="5">
        <v>25.04</v>
      </c>
      <c r="H20" s="4">
        <v>2076.83</v>
      </c>
      <c r="I20" s="4">
        <v>124.66</v>
      </c>
      <c r="J20" s="11">
        <v>40769.410000000003</v>
      </c>
      <c r="K20" s="11">
        <v>3624.67</v>
      </c>
      <c r="L20" s="12">
        <f t="shared" si="0"/>
        <v>44394.080000000002</v>
      </c>
      <c r="M20" s="14">
        <v>3585.05</v>
      </c>
      <c r="N20" s="3">
        <f>1445.52-85.52</f>
        <v>1360</v>
      </c>
      <c r="O20" s="3">
        <v>85.52</v>
      </c>
      <c r="P20" s="12">
        <f>32638.82-2685.62</f>
        <v>29953.200000000001</v>
      </c>
      <c r="Q20" s="12">
        <v>2685.62</v>
      </c>
      <c r="R20" s="12">
        <f t="shared" si="1"/>
        <v>32638.82</v>
      </c>
      <c r="S20" s="12">
        <v>2552.0100000000002</v>
      </c>
      <c r="T20" s="12">
        <v>6796.75</v>
      </c>
      <c r="U20" s="4" t="s">
        <v>141</v>
      </c>
      <c r="V20" s="12">
        <v>236.16</v>
      </c>
      <c r="W20" s="12">
        <v>70.44</v>
      </c>
      <c r="X20" s="12">
        <v>3261.41</v>
      </c>
      <c r="Y20" s="12">
        <v>185.75</v>
      </c>
      <c r="Z20" s="30">
        <f>SUM(T20:Y20)</f>
        <v>10550.509999999998</v>
      </c>
      <c r="AA20" s="12">
        <v>5128.09</v>
      </c>
      <c r="AB20" s="4" t="s">
        <v>141</v>
      </c>
      <c r="AC20" s="12">
        <v>157.44</v>
      </c>
      <c r="AD20" s="12">
        <v>46.96</v>
      </c>
      <c r="AE20" s="12">
        <v>2368.2199999999998</v>
      </c>
      <c r="AF20" s="12">
        <v>132.13999999999999</v>
      </c>
      <c r="AG20" s="30">
        <f t="shared" si="2"/>
        <v>7832.8499999999995</v>
      </c>
    </row>
    <row r="21" spans="1:33" x14ac:dyDescent="0.25">
      <c r="A21" s="3" t="s">
        <v>28</v>
      </c>
      <c r="B21" s="37" t="s">
        <v>29</v>
      </c>
      <c r="C21" s="13">
        <v>43213</v>
      </c>
      <c r="D21" s="4"/>
      <c r="E21" s="4" t="s">
        <v>106</v>
      </c>
      <c r="F21" s="4" t="s">
        <v>71</v>
      </c>
      <c r="G21" s="5">
        <v>34.94</v>
      </c>
      <c r="H21" s="4">
        <v>2078</v>
      </c>
      <c r="I21" s="4">
        <v>174.86</v>
      </c>
      <c r="J21" s="11">
        <v>44126.84</v>
      </c>
      <c r="K21" s="11">
        <v>5492.92</v>
      </c>
      <c r="L21" s="12">
        <f t="shared" si="0"/>
        <v>49619.759999999995</v>
      </c>
      <c r="M21" s="14">
        <v>4833.33</v>
      </c>
      <c r="N21" s="3">
        <v>1365.4</v>
      </c>
      <c r="O21" s="3">
        <v>380.22</v>
      </c>
      <c r="P21" s="12">
        <v>37104.29</v>
      </c>
      <c r="Q21" s="12">
        <v>15637.13</v>
      </c>
      <c r="R21" s="12">
        <f t="shared" si="1"/>
        <v>52741.42</v>
      </c>
      <c r="S21" s="12">
        <v>6876.03</v>
      </c>
      <c r="T21" s="12">
        <v>6796.75</v>
      </c>
      <c r="U21" s="4" t="s">
        <v>141</v>
      </c>
      <c r="V21" s="12">
        <v>236.16</v>
      </c>
      <c r="W21" s="12">
        <v>70.44</v>
      </c>
      <c r="X21" s="12">
        <v>3530</v>
      </c>
      <c r="Y21" s="12">
        <v>185.75</v>
      </c>
      <c r="Z21" s="30">
        <f>SUM(T21:Y21)</f>
        <v>10819.099999999999</v>
      </c>
      <c r="AA21" s="12">
        <v>5128.09</v>
      </c>
      <c r="AB21" s="4" t="s">
        <v>141</v>
      </c>
      <c r="AC21" s="12">
        <v>157.44</v>
      </c>
      <c r="AD21" s="12">
        <v>46.96</v>
      </c>
      <c r="AE21" s="12">
        <v>2953.25</v>
      </c>
      <c r="AF21" s="12">
        <v>132.13999999999999</v>
      </c>
      <c r="AG21" s="30">
        <f t="shared" si="2"/>
        <v>8417.8799999999992</v>
      </c>
    </row>
    <row r="22" spans="1:33" x14ac:dyDescent="0.25">
      <c r="A22" s="3" t="s">
        <v>30</v>
      </c>
      <c r="B22" s="37" t="s">
        <v>31</v>
      </c>
      <c r="C22" s="13">
        <v>43572</v>
      </c>
      <c r="D22" s="4"/>
      <c r="E22" s="4" t="s">
        <v>109</v>
      </c>
      <c r="F22" s="4" t="s">
        <v>71</v>
      </c>
      <c r="G22" s="5">
        <v>25.04</v>
      </c>
      <c r="H22" s="4">
        <v>2076</v>
      </c>
      <c r="I22" s="4">
        <v>117.79</v>
      </c>
      <c r="J22" s="11">
        <v>39853.919999999998</v>
      </c>
      <c r="K22" s="11">
        <v>3329.33</v>
      </c>
      <c r="L22" s="12">
        <f t="shared" si="0"/>
        <v>43183.25</v>
      </c>
      <c r="M22" s="14">
        <v>3963.04</v>
      </c>
      <c r="N22" s="3">
        <f>1478.46-118.46</f>
        <v>1360</v>
      </c>
      <c r="O22" s="3">
        <v>118.46</v>
      </c>
      <c r="P22" s="12">
        <f>33158.95-3861.35</f>
        <v>29297.599999999999</v>
      </c>
      <c r="Q22" s="12">
        <v>3861.35</v>
      </c>
      <c r="R22" s="12">
        <f t="shared" si="1"/>
        <v>33158.949999999997</v>
      </c>
      <c r="S22" s="12">
        <v>3045.63</v>
      </c>
      <c r="T22" s="12">
        <v>6796.75</v>
      </c>
      <c r="U22" s="4" t="s">
        <v>141</v>
      </c>
      <c r="V22" s="12">
        <v>236.16</v>
      </c>
      <c r="W22" s="12">
        <v>70.44</v>
      </c>
      <c r="X22" s="12">
        <v>3188.26</v>
      </c>
      <c r="Y22" s="12">
        <v>185.75</v>
      </c>
      <c r="Z22" s="30">
        <f>SUM(T22:Y22)</f>
        <v>10477.36</v>
      </c>
      <c r="AA22" s="12">
        <v>5128.09</v>
      </c>
      <c r="AB22" s="4" t="s">
        <v>141</v>
      </c>
      <c r="AC22" s="12">
        <v>157.44</v>
      </c>
      <c r="AD22" s="12">
        <v>46.96</v>
      </c>
      <c r="AE22" s="12">
        <v>2319.75</v>
      </c>
      <c r="AF22" s="12">
        <v>132.13999999999999</v>
      </c>
      <c r="AG22" s="30">
        <f t="shared" si="2"/>
        <v>7784.38</v>
      </c>
    </row>
    <row r="23" spans="1:33" x14ac:dyDescent="0.25">
      <c r="A23" s="3" t="s">
        <v>125</v>
      </c>
      <c r="B23" s="37" t="s">
        <v>126</v>
      </c>
      <c r="C23" s="13">
        <v>43985</v>
      </c>
      <c r="D23" s="13">
        <v>44967</v>
      </c>
      <c r="E23" s="4" t="s">
        <v>110</v>
      </c>
      <c r="F23" s="4" t="s">
        <v>127</v>
      </c>
      <c r="G23" s="5">
        <v>17.760000000000002</v>
      </c>
      <c r="H23" s="4">
        <v>305</v>
      </c>
      <c r="I23" s="4">
        <v>54.5</v>
      </c>
      <c r="J23" s="11">
        <v>5416.8</v>
      </c>
      <c r="K23" s="11">
        <v>1451.88</v>
      </c>
      <c r="L23" s="12">
        <f t="shared" si="0"/>
        <v>6868.68</v>
      </c>
      <c r="M23" s="14"/>
      <c r="N23" s="3"/>
      <c r="O23" s="3"/>
      <c r="P23" s="12"/>
      <c r="Q23" s="12"/>
      <c r="R23" s="12"/>
      <c r="S23" s="12"/>
      <c r="T23" s="12">
        <v>0</v>
      </c>
      <c r="U23" s="4"/>
      <c r="V23" s="12">
        <v>0</v>
      </c>
      <c r="W23" s="12">
        <v>0</v>
      </c>
      <c r="X23" s="12">
        <v>433.33</v>
      </c>
      <c r="Y23" s="12"/>
      <c r="Z23" s="30">
        <f>SUM(T23:Y23)</f>
        <v>433.33</v>
      </c>
      <c r="AA23" s="12"/>
      <c r="AB23" s="4"/>
      <c r="AC23" s="12"/>
      <c r="AD23" s="12"/>
      <c r="AE23" s="12"/>
      <c r="AF23" s="12"/>
      <c r="AG23" s="30">
        <f t="shared" si="2"/>
        <v>0</v>
      </c>
    </row>
    <row r="24" spans="1:33" x14ac:dyDescent="0.25">
      <c r="A24" s="3" t="s">
        <v>32</v>
      </c>
      <c r="B24" s="37" t="s">
        <v>33</v>
      </c>
      <c r="C24" s="13">
        <v>44109</v>
      </c>
      <c r="D24" s="4"/>
      <c r="E24" s="4" t="s">
        <v>112</v>
      </c>
      <c r="F24" s="4" t="s">
        <v>71</v>
      </c>
      <c r="G24" s="5">
        <v>21.12</v>
      </c>
      <c r="H24" s="4">
        <v>1502.72</v>
      </c>
      <c r="I24" s="4">
        <v>13.33</v>
      </c>
      <c r="J24" s="11">
        <v>27395.35</v>
      </c>
      <c r="K24" s="11">
        <v>357.63</v>
      </c>
      <c r="L24" s="12">
        <f t="shared" si="0"/>
        <v>27752.98</v>
      </c>
      <c r="M24" s="14">
        <v>1718.86</v>
      </c>
      <c r="N24" s="3">
        <f>1387.21-46.94</f>
        <v>1340.27</v>
      </c>
      <c r="O24" s="3">
        <v>46.94</v>
      </c>
      <c r="P24" s="12">
        <f>26604.81-1298.88</f>
        <v>25305.93</v>
      </c>
      <c r="Q24" s="12">
        <v>1298.8800000000001</v>
      </c>
      <c r="R24" s="12">
        <f t="shared" si="1"/>
        <v>26604.81</v>
      </c>
      <c r="S24" s="12">
        <v>1547.84</v>
      </c>
      <c r="T24" s="12">
        <v>6796.75</v>
      </c>
      <c r="U24" s="4" t="s">
        <v>141</v>
      </c>
      <c r="V24" s="12">
        <v>236.16</v>
      </c>
      <c r="W24" s="12">
        <v>70.44</v>
      </c>
      <c r="X24" s="12">
        <v>2191.6999999999998</v>
      </c>
      <c r="Y24" s="12">
        <v>185.75</v>
      </c>
      <c r="Z24" s="30">
        <f>SUM(T24:Y24)</f>
        <v>9480.7999999999993</v>
      </c>
      <c r="AA24" s="12">
        <v>5128.09</v>
      </c>
      <c r="AB24" s="4" t="s">
        <v>141</v>
      </c>
      <c r="AC24" s="12">
        <v>157.44</v>
      </c>
      <c r="AD24" s="12">
        <v>46.96</v>
      </c>
      <c r="AE24" s="12">
        <v>2024.49</v>
      </c>
      <c r="AF24" s="12">
        <v>132.13999999999999</v>
      </c>
      <c r="AG24" s="30">
        <f t="shared" si="2"/>
        <v>7489.12</v>
      </c>
    </row>
    <row r="25" spans="1:33" x14ac:dyDescent="0.25">
      <c r="A25" s="3" t="s">
        <v>34</v>
      </c>
      <c r="B25" s="37" t="s">
        <v>35</v>
      </c>
      <c r="C25" s="13">
        <v>44284</v>
      </c>
      <c r="D25" s="4"/>
      <c r="E25" s="4" t="s">
        <v>113</v>
      </c>
      <c r="F25" s="4" t="s">
        <v>71</v>
      </c>
      <c r="G25" s="5">
        <v>21.37</v>
      </c>
      <c r="H25" s="4">
        <v>2067.75</v>
      </c>
      <c r="I25" s="4">
        <v>425.56</v>
      </c>
      <c r="J25" s="11">
        <v>38236</v>
      </c>
      <c r="K25" s="11">
        <v>11600.73</v>
      </c>
      <c r="L25" s="12">
        <f t="shared" si="0"/>
        <v>49836.729999999996</v>
      </c>
      <c r="M25" s="14">
        <v>5775.23</v>
      </c>
      <c r="N25" s="3">
        <f>1651.77-293.92</f>
        <v>1357.85</v>
      </c>
      <c r="O25" s="3">
        <v>293.92</v>
      </c>
      <c r="P25" s="12">
        <f>34778.03-8556.56</f>
        <v>26221.47</v>
      </c>
      <c r="Q25" s="12">
        <v>8556.56</v>
      </c>
      <c r="R25" s="12">
        <f t="shared" si="1"/>
        <v>34778.03</v>
      </c>
      <c r="S25" s="12">
        <v>3868.12</v>
      </c>
      <c r="T25" s="12">
        <v>6796.75</v>
      </c>
      <c r="U25" s="4" t="s">
        <v>141</v>
      </c>
      <c r="V25" s="12">
        <v>236.16</v>
      </c>
      <c r="W25" s="12">
        <v>70.44</v>
      </c>
      <c r="X25" s="12">
        <v>3058.76</v>
      </c>
      <c r="Y25" s="12">
        <v>185.75</v>
      </c>
      <c r="Z25" s="30">
        <f>SUM(T25:Y25)</f>
        <v>10347.86</v>
      </c>
      <c r="AA25" s="12">
        <v>5128.09</v>
      </c>
      <c r="AB25" s="4" t="s">
        <v>141</v>
      </c>
      <c r="AC25" s="12">
        <v>157.44</v>
      </c>
      <c r="AD25" s="12">
        <v>46.96</v>
      </c>
      <c r="AE25" s="12">
        <v>2097.69</v>
      </c>
      <c r="AF25" s="12">
        <v>132.13999999999999</v>
      </c>
      <c r="AG25" s="30">
        <f t="shared" si="2"/>
        <v>7562.3200000000006</v>
      </c>
    </row>
    <row r="26" spans="1:33" x14ac:dyDescent="0.25">
      <c r="A26" s="3" t="s">
        <v>36</v>
      </c>
      <c r="B26" s="37" t="s">
        <v>37</v>
      </c>
      <c r="C26" s="13">
        <v>44368</v>
      </c>
      <c r="D26" s="4"/>
      <c r="E26" s="4" t="s">
        <v>114</v>
      </c>
      <c r="F26" s="4" t="s">
        <v>71</v>
      </c>
      <c r="G26" s="5">
        <v>27.19</v>
      </c>
      <c r="H26" s="4">
        <v>2076.2199999999998</v>
      </c>
      <c r="I26" s="4">
        <v>42.16</v>
      </c>
      <c r="J26" s="11">
        <v>48636.42</v>
      </c>
      <c r="K26" s="11">
        <v>1499.29</v>
      </c>
      <c r="L26" s="12">
        <f t="shared" si="0"/>
        <v>50135.71</v>
      </c>
      <c r="M26" s="14">
        <v>3698.24</v>
      </c>
      <c r="N26" s="3">
        <f>1506.69-146.69</f>
        <v>1360</v>
      </c>
      <c r="O26" s="3">
        <v>146.69</v>
      </c>
      <c r="P26" s="12">
        <f>40466.56-5680.56</f>
        <v>34786</v>
      </c>
      <c r="Q26" s="12">
        <v>5680.56</v>
      </c>
      <c r="R26" s="12">
        <f t="shared" si="1"/>
        <v>40466.559999999998</v>
      </c>
      <c r="S26" s="12">
        <v>3069.69</v>
      </c>
      <c r="T26" s="12">
        <v>6796.75</v>
      </c>
      <c r="U26" s="4" t="s">
        <v>141</v>
      </c>
      <c r="V26" s="12">
        <v>236.16</v>
      </c>
      <c r="W26" s="12">
        <v>70.44</v>
      </c>
      <c r="X26" s="12">
        <v>3890.95</v>
      </c>
      <c r="Y26" s="12">
        <v>185.75</v>
      </c>
      <c r="Z26" s="30">
        <f>SUM(T26:Y26)</f>
        <v>11180.05</v>
      </c>
      <c r="AA26" s="12">
        <v>5128.09</v>
      </c>
      <c r="AB26" s="4" t="s">
        <v>141</v>
      </c>
      <c r="AC26" s="12">
        <v>157.44</v>
      </c>
      <c r="AD26" s="12">
        <v>46.96</v>
      </c>
      <c r="AE26" s="12">
        <v>2782.95</v>
      </c>
      <c r="AF26" s="12">
        <v>132.13999999999999</v>
      </c>
      <c r="AG26" s="30">
        <f t="shared" si="2"/>
        <v>8247.58</v>
      </c>
    </row>
    <row r="27" spans="1:33" x14ac:dyDescent="0.25">
      <c r="A27" s="3" t="s">
        <v>123</v>
      </c>
      <c r="B27" s="37" t="s">
        <v>124</v>
      </c>
      <c r="C27" s="13">
        <v>44594</v>
      </c>
      <c r="D27" s="13">
        <v>45037</v>
      </c>
      <c r="E27" s="4" t="s">
        <v>112</v>
      </c>
      <c r="F27" s="4" t="s">
        <v>71</v>
      </c>
      <c r="G27" s="5">
        <v>17.39</v>
      </c>
      <c r="H27" s="4">
        <v>628</v>
      </c>
      <c r="I27" s="4">
        <v>42.1</v>
      </c>
      <c r="J27" s="11">
        <v>10838.04</v>
      </c>
      <c r="K27" s="11">
        <v>1079.4000000000001</v>
      </c>
      <c r="L27" s="12">
        <f t="shared" si="0"/>
        <v>11917.44</v>
      </c>
      <c r="M27" s="14"/>
      <c r="N27" s="3"/>
      <c r="O27" s="3"/>
      <c r="P27" s="12"/>
      <c r="Q27" s="12"/>
      <c r="R27" s="12"/>
      <c r="S27" s="12"/>
      <c r="T27" s="12">
        <v>1562.88</v>
      </c>
      <c r="U27" s="4" t="s">
        <v>141</v>
      </c>
      <c r="V27" s="12">
        <v>59.04</v>
      </c>
      <c r="W27" s="12">
        <v>17.61</v>
      </c>
      <c r="X27" s="12">
        <v>562.05999999999995</v>
      </c>
      <c r="Y27" s="12">
        <v>44.25</v>
      </c>
      <c r="Z27" s="30">
        <f>SUM(T27:Y27)</f>
        <v>2245.84</v>
      </c>
      <c r="AA27" s="12"/>
      <c r="AB27" s="4"/>
      <c r="AC27" s="12"/>
      <c r="AD27" s="12"/>
      <c r="AE27" s="12"/>
      <c r="AF27" s="12"/>
      <c r="AG27" s="30">
        <f t="shared" si="2"/>
        <v>0</v>
      </c>
    </row>
    <row r="28" spans="1:33" x14ac:dyDescent="0.25">
      <c r="A28" s="3" t="s">
        <v>38</v>
      </c>
      <c r="B28" s="37" t="s">
        <v>39</v>
      </c>
      <c r="C28" s="13">
        <v>44599</v>
      </c>
      <c r="D28" s="4"/>
      <c r="E28" s="4" t="s">
        <v>107</v>
      </c>
      <c r="F28" s="4" t="s">
        <v>71</v>
      </c>
      <c r="G28" s="5">
        <v>20.29</v>
      </c>
      <c r="H28" s="4">
        <v>2058.54</v>
      </c>
      <c r="I28" s="4">
        <v>7.21</v>
      </c>
      <c r="J28" s="11">
        <v>37328.120000000003</v>
      </c>
      <c r="K28" s="11">
        <v>190.8</v>
      </c>
      <c r="L28" s="12">
        <f t="shared" si="0"/>
        <v>37518.920000000006</v>
      </c>
      <c r="M28" s="14">
        <v>3595.25</v>
      </c>
      <c r="N28" s="3">
        <f>1349.47-11.46</f>
        <v>1338.01</v>
      </c>
      <c r="O28" s="3">
        <v>11.46</v>
      </c>
      <c r="P28" s="12">
        <f>25546.88-328.38</f>
        <v>25218.5</v>
      </c>
      <c r="Q28" s="12">
        <v>328.38</v>
      </c>
      <c r="R28" s="12">
        <f t="shared" si="1"/>
        <v>25546.880000000001</v>
      </c>
      <c r="S28" s="12">
        <v>2320.7199999999998</v>
      </c>
      <c r="T28" s="12">
        <v>6796.75</v>
      </c>
      <c r="U28" s="4" t="s">
        <v>141</v>
      </c>
      <c r="V28" s="12">
        <v>236.16</v>
      </c>
      <c r="W28" s="12">
        <v>70.44</v>
      </c>
      <c r="X28" s="12">
        <v>2644.62</v>
      </c>
      <c r="Y28" s="12">
        <v>185.75</v>
      </c>
      <c r="Z28" s="30">
        <f>SUM(T28:Y28)</f>
        <v>9933.7199999999993</v>
      </c>
      <c r="AA28" s="12">
        <v>5128.09</v>
      </c>
      <c r="AB28" s="4" t="s">
        <v>141</v>
      </c>
      <c r="AC28" s="12">
        <v>157.44</v>
      </c>
      <c r="AD28" s="12">
        <v>46.96</v>
      </c>
      <c r="AE28" s="12">
        <v>2017.53</v>
      </c>
      <c r="AF28" s="12">
        <v>132.13999999999999</v>
      </c>
      <c r="AG28" s="30">
        <f t="shared" si="2"/>
        <v>7482.16</v>
      </c>
    </row>
    <row r="29" spans="1:33" x14ac:dyDescent="0.25">
      <c r="A29" s="3" t="s">
        <v>40</v>
      </c>
      <c r="B29" s="37" t="s">
        <v>41</v>
      </c>
      <c r="C29" s="13">
        <v>44613</v>
      </c>
      <c r="D29" s="4"/>
      <c r="E29" s="4" t="s">
        <v>128</v>
      </c>
      <c r="F29" s="4" t="s">
        <v>71</v>
      </c>
      <c r="G29" s="5">
        <v>26.59</v>
      </c>
      <c r="H29" s="4">
        <v>2050.08</v>
      </c>
      <c r="I29" s="4">
        <v>22.71</v>
      </c>
      <c r="J29" s="11">
        <v>36064.699999999997</v>
      </c>
      <c r="K29" s="11">
        <v>589.87</v>
      </c>
      <c r="L29" s="12">
        <f t="shared" si="0"/>
        <v>36654.57</v>
      </c>
      <c r="M29" s="14">
        <v>2321.17</v>
      </c>
      <c r="N29" s="3">
        <f>1432.49-73.63</f>
        <v>1358.8600000000001</v>
      </c>
      <c r="O29" s="3">
        <v>73.63</v>
      </c>
      <c r="P29" s="12">
        <f>30569.87-2589.57</f>
        <v>27980.3</v>
      </c>
      <c r="Q29" s="12">
        <v>2589.5700000000002</v>
      </c>
      <c r="R29" s="12">
        <f t="shared" si="1"/>
        <v>30569.87</v>
      </c>
      <c r="S29" s="12">
        <v>2042.36</v>
      </c>
      <c r="T29" s="12">
        <v>6796.75</v>
      </c>
      <c r="U29" s="4" t="s">
        <v>141</v>
      </c>
      <c r="V29" s="12">
        <v>236.16</v>
      </c>
      <c r="W29" s="12">
        <v>70.44</v>
      </c>
      <c r="X29" s="12">
        <v>2451.81</v>
      </c>
      <c r="Y29" s="12">
        <v>185.75</v>
      </c>
      <c r="Z29" s="30">
        <f>SUM(T29:Y29)</f>
        <v>9740.91</v>
      </c>
      <c r="AA29" s="12">
        <v>5128.09</v>
      </c>
      <c r="AB29" s="4" t="s">
        <v>141</v>
      </c>
      <c r="AC29" s="12">
        <v>157.44</v>
      </c>
      <c r="AD29" s="12">
        <v>46.96</v>
      </c>
      <c r="AE29" s="12">
        <v>2238.5100000000002</v>
      </c>
      <c r="AF29" s="12">
        <v>132.13999999999999</v>
      </c>
      <c r="AG29" s="30">
        <f t="shared" si="2"/>
        <v>7703.14</v>
      </c>
    </row>
    <row r="30" spans="1:33" x14ac:dyDescent="0.25">
      <c r="A30" s="3" t="s">
        <v>117</v>
      </c>
      <c r="B30" s="37" t="s">
        <v>102</v>
      </c>
      <c r="C30" s="13">
        <v>44670</v>
      </c>
      <c r="D30" s="13">
        <v>45268</v>
      </c>
      <c r="E30" s="4" t="s">
        <v>112</v>
      </c>
      <c r="F30" s="4" t="s">
        <v>71</v>
      </c>
      <c r="G30" s="5">
        <v>18.25</v>
      </c>
      <c r="H30" s="4">
        <v>1921.8</v>
      </c>
      <c r="I30" s="4">
        <v>75.48</v>
      </c>
      <c r="J30" s="11">
        <v>34248.74</v>
      </c>
      <c r="K30" s="11">
        <v>1992.5</v>
      </c>
      <c r="L30" s="12">
        <f t="shared" si="0"/>
        <v>36241.24</v>
      </c>
      <c r="M30" s="14"/>
      <c r="N30" s="3"/>
      <c r="O30" s="3"/>
      <c r="P30" s="12"/>
      <c r="Q30" s="12"/>
      <c r="R30" s="12"/>
      <c r="S30" s="12"/>
      <c r="T30" s="12">
        <v>6796.75</v>
      </c>
      <c r="U30" s="4" t="s">
        <v>141</v>
      </c>
      <c r="V30" s="12">
        <v>236.16</v>
      </c>
      <c r="W30" s="12">
        <v>70.44</v>
      </c>
      <c r="X30" s="12">
        <v>1817.08</v>
      </c>
      <c r="Y30" s="12">
        <v>169.75</v>
      </c>
      <c r="Z30" s="30">
        <f>SUM(T30:Y30)</f>
        <v>9090.18</v>
      </c>
      <c r="AA30" s="12">
        <v>-598.85</v>
      </c>
      <c r="AB30" s="4" t="s">
        <v>141</v>
      </c>
      <c r="AC30" s="12">
        <v>-19.68</v>
      </c>
      <c r="AD30" s="12">
        <v>-5.87</v>
      </c>
      <c r="AE30" s="12"/>
      <c r="AF30" s="12"/>
      <c r="AG30" s="30">
        <f t="shared" si="2"/>
        <v>-624.4</v>
      </c>
    </row>
    <row r="31" spans="1:33" x14ac:dyDescent="0.25">
      <c r="A31" s="3" t="s">
        <v>42</v>
      </c>
      <c r="B31" s="37" t="s">
        <v>43</v>
      </c>
      <c r="C31" s="13">
        <v>44837</v>
      </c>
      <c r="D31" s="13">
        <v>45406</v>
      </c>
      <c r="E31" s="4" t="s">
        <v>112</v>
      </c>
      <c r="F31" s="4" t="s">
        <v>71</v>
      </c>
      <c r="G31" s="5">
        <v>18.25</v>
      </c>
      <c r="H31" s="4">
        <v>1882.25</v>
      </c>
      <c r="I31" s="4">
        <v>53.36</v>
      </c>
      <c r="J31" s="11">
        <v>33744.35</v>
      </c>
      <c r="K31" s="11">
        <v>1413.2</v>
      </c>
      <c r="L31" s="12">
        <f t="shared" si="0"/>
        <v>35157.549999999996</v>
      </c>
      <c r="M31" s="14">
        <v>2428.0100000000002</v>
      </c>
      <c r="N31" s="3">
        <v>96</v>
      </c>
      <c r="O31" s="3">
        <v>5</v>
      </c>
      <c r="P31" s="12">
        <v>1752</v>
      </c>
      <c r="Q31" s="12">
        <v>136.88</v>
      </c>
      <c r="R31" s="12">
        <f t="shared" si="1"/>
        <v>1888.88</v>
      </c>
      <c r="S31" s="12">
        <v>116.44</v>
      </c>
      <c r="T31" s="12">
        <v>7317.71</v>
      </c>
      <c r="U31" s="4" t="s">
        <v>141</v>
      </c>
      <c r="V31" s="12">
        <v>255.84</v>
      </c>
      <c r="W31" s="12">
        <v>76.31</v>
      </c>
      <c r="X31" s="12"/>
      <c r="Y31" s="12">
        <v>200.5</v>
      </c>
      <c r="Z31" s="30">
        <f>SUM(T31:Y31)</f>
        <v>7850.3600000000006</v>
      </c>
      <c r="AA31" s="12">
        <v>1796.55</v>
      </c>
      <c r="AB31" s="4" t="s">
        <v>141</v>
      </c>
      <c r="AC31" s="12">
        <v>59.04</v>
      </c>
      <c r="AD31" s="12">
        <v>17.61</v>
      </c>
      <c r="AE31" s="12">
        <v>853.64</v>
      </c>
      <c r="AF31" s="12">
        <v>64</v>
      </c>
      <c r="AG31" s="30">
        <f t="shared" si="2"/>
        <v>2790.8399999999997</v>
      </c>
    </row>
    <row r="32" spans="1:33" x14ac:dyDescent="0.25">
      <c r="A32" s="3" t="s">
        <v>121</v>
      </c>
      <c r="B32" s="37" t="s">
        <v>122</v>
      </c>
      <c r="C32" s="13">
        <v>44914</v>
      </c>
      <c r="D32" s="13">
        <v>45009</v>
      </c>
      <c r="E32" s="4" t="s">
        <v>112</v>
      </c>
      <c r="F32" s="4" t="s">
        <v>71</v>
      </c>
      <c r="G32" s="5">
        <v>18.88</v>
      </c>
      <c r="H32" s="4">
        <v>460.92</v>
      </c>
      <c r="I32" s="4">
        <v>21.58</v>
      </c>
      <c r="J32" s="11">
        <v>8702.17</v>
      </c>
      <c r="K32" s="11">
        <v>611.15</v>
      </c>
      <c r="L32" s="12">
        <f t="shared" si="0"/>
        <v>9313.32</v>
      </c>
      <c r="M32" s="14"/>
      <c r="N32" s="3"/>
      <c r="O32" s="3"/>
      <c r="P32" s="12"/>
      <c r="Q32" s="12"/>
      <c r="R32" s="12"/>
      <c r="S32" s="12"/>
      <c r="T32" s="12"/>
      <c r="U32" s="4"/>
      <c r="V32" s="12"/>
      <c r="W32" s="12"/>
      <c r="X32" s="12"/>
      <c r="Y32" s="12"/>
      <c r="Z32" s="30">
        <f>SUM(T32:Y32)</f>
        <v>0</v>
      </c>
      <c r="AA32" s="12"/>
      <c r="AB32" s="4"/>
      <c r="AC32" s="12"/>
      <c r="AD32" s="12"/>
      <c r="AE32" s="12"/>
      <c r="AF32" s="12"/>
      <c r="AG32" s="30">
        <f t="shared" si="2"/>
        <v>0</v>
      </c>
    </row>
    <row r="33" spans="1:33" x14ac:dyDescent="0.25">
      <c r="A33" s="3" t="s">
        <v>44</v>
      </c>
      <c r="B33" s="37" t="s">
        <v>45</v>
      </c>
      <c r="C33" s="13">
        <v>44986</v>
      </c>
      <c r="D33" s="4"/>
      <c r="E33" s="4" t="s">
        <v>113</v>
      </c>
      <c r="F33" s="4" t="s">
        <v>84</v>
      </c>
      <c r="G33" s="5">
        <v>25</v>
      </c>
      <c r="H33" s="4">
        <v>1720</v>
      </c>
      <c r="I33" s="4">
        <v>223.15</v>
      </c>
      <c r="J33" s="11">
        <v>31653.58</v>
      </c>
      <c r="K33" s="11">
        <v>6117.24</v>
      </c>
      <c r="L33" s="12">
        <f t="shared" si="0"/>
        <v>37770.82</v>
      </c>
      <c r="M33" s="14">
        <v>4132.8500000000004</v>
      </c>
      <c r="N33" s="3">
        <f>1106.9-83.53</f>
        <v>1023.3700000000001</v>
      </c>
      <c r="O33" s="3">
        <v>83.53</v>
      </c>
      <c r="P33" s="12">
        <f>23402.98-2485.89</f>
        <v>20917.09</v>
      </c>
      <c r="Q33" s="12">
        <v>2485.89</v>
      </c>
      <c r="R33" s="12">
        <f t="shared" si="1"/>
        <v>23402.98</v>
      </c>
      <c r="S33" s="12">
        <v>2294.7800000000002</v>
      </c>
      <c r="T33" s="12">
        <v>4712.91</v>
      </c>
      <c r="U33" s="4" t="s">
        <v>141</v>
      </c>
      <c r="V33" s="12">
        <v>157.44</v>
      </c>
      <c r="W33" s="12">
        <v>46.96</v>
      </c>
      <c r="X33" s="12"/>
      <c r="Y33" s="12">
        <v>126.75</v>
      </c>
      <c r="Z33" s="30">
        <f>SUM(T33:Y33)</f>
        <v>5044.0599999999995</v>
      </c>
      <c r="AA33" s="12">
        <v>2395.4</v>
      </c>
      <c r="AB33" s="4" t="s">
        <v>141</v>
      </c>
      <c r="AC33" s="12">
        <v>78.72</v>
      </c>
      <c r="AD33" s="12">
        <v>23.48</v>
      </c>
      <c r="AE33" s="12">
        <v>835.36</v>
      </c>
      <c r="AF33" s="12">
        <v>64</v>
      </c>
      <c r="AG33" s="30">
        <f t="shared" si="2"/>
        <v>3396.96</v>
      </c>
    </row>
    <row r="34" spans="1:33" x14ac:dyDescent="0.25">
      <c r="A34" s="3" t="s">
        <v>118</v>
      </c>
      <c r="B34" s="37" t="s">
        <v>103</v>
      </c>
      <c r="C34" s="13">
        <v>45028</v>
      </c>
      <c r="D34" s="13">
        <v>45361</v>
      </c>
      <c r="E34" s="4" t="s">
        <v>113</v>
      </c>
      <c r="F34" s="4" t="s">
        <v>71</v>
      </c>
      <c r="G34" s="5">
        <v>17.88</v>
      </c>
      <c r="H34" s="4">
        <v>1423.5</v>
      </c>
      <c r="I34" s="4">
        <v>111.13</v>
      </c>
      <c r="J34" s="11">
        <v>25514.7</v>
      </c>
      <c r="K34" s="11">
        <v>2961.93</v>
      </c>
      <c r="L34" s="12">
        <f t="shared" si="0"/>
        <v>28476.63</v>
      </c>
      <c r="M34" s="14"/>
      <c r="N34" s="3"/>
      <c r="O34" s="3"/>
      <c r="P34" s="12"/>
      <c r="Q34" s="12"/>
      <c r="R34" s="12"/>
      <c r="S34" s="12"/>
      <c r="T34" s="12">
        <v>4191.95</v>
      </c>
      <c r="U34" s="4" t="s">
        <v>141</v>
      </c>
      <c r="V34" s="12">
        <v>137.76</v>
      </c>
      <c r="W34" s="12">
        <v>41.09</v>
      </c>
      <c r="X34" s="12"/>
      <c r="Y34" s="12">
        <v>96</v>
      </c>
      <c r="Z34" s="30">
        <f>SUM(T34:Y34)</f>
        <v>4466.8</v>
      </c>
      <c r="AA34" s="12">
        <v>1197.7</v>
      </c>
      <c r="AB34" s="4" t="s">
        <v>141</v>
      </c>
      <c r="AC34" s="12">
        <v>39.36</v>
      </c>
      <c r="AD34" s="12">
        <v>11.74</v>
      </c>
      <c r="AE34" s="12"/>
      <c r="AF34" s="12">
        <v>64</v>
      </c>
      <c r="AG34" s="30">
        <f t="shared" si="2"/>
        <v>1312.8</v>
      </c>
    </row>
    <row r="35" spans="1:33" x14ac:dyDescent="0.25">
      <c r="A35" s="3" t="s">
        <v>46</v>
      </c>
      <c r="B35" s="37" t="s">
        <v>47</v>
      </c>
      <c r="C35" s="13">
        <v>45047</v>
      </c>
      <c r="D35" s="4"/>
      <c r="E35" s="4" t="s">
        <v>112</v>
      </c>
      <c r="F35" s="4" t="s">
        <v>71</v>
      </c>
      <c r="G35" s="5">
        <v>21.65</v>
      </c>
      <c r="H35" s="4">
        <v>1345.71</v>
      </c>
      <c r="I35" s="4">
        <v>59.62</v>
      </c>
      <c r="J35" s="11">
        <v>24182.23</v>
      </c>
      <c r="K35" s="11">
        <v>1595.12</v>
      </c>
      <c r="L35" s="12">
        <f t="shared" si="0"/>
        <v>25777.35</v>
      </c>
      <c r="M35" s="14">
        <v>2603.58</v>
      </c>
      <c r="N35" s="3">
        <f>1386.19-44.19</f>
        <v>1342</v>
      </c>
      <c r="O35" s="3">
        <v>44.19</v>
      </c>
      <c r="P35" s="12">
        <f>26731.72-1253.88</f>
        <v>25477.84</v>
      </c>
      <c r="Q35" s="12">
        <v>1253.8800000000001</v>
      </c>
      <c r="R35" s="12">
        <f t="shared" si="1"/>
        <v>26731.72</v>
      </c>
      <c r="S35" s="12">
        <v>2527.63</v>
      </c>
      <c r="T35" s="12">
        <v>3593.1</v>
      </c>
      <c r="U35" s="4" t="s">
        <v>141</v>
      </c>
      <c r="V35" s="12">
        <v>118.08</v>
      </c>
      <c r="W35" s="12">
        <v>35.22</v>
      </c>
      <c r="X35" s="12"/>
      <c r="Y35" s="12">
        <v>96</v>
      </c>
      <c r="Z35" s="30">
        <f>SUM(T35:Y35)</f>
        <v>3842.3999999999996</v>
      </c>
      <c r="AA35" s="12">
        <v>5128.09</v>
      </c>
      <c r="AB35" s="4" t="s">
        <v>141</v>
      </c>
      <c r="AC35" s="12">
        <v>157.44</v>
      </c>
      <c r="AD35" s="12">
        <v>46.96</v>
      </c>
      <c r="AE35" s="12">
        <v>893.76</v>
      </c>
      <c r="AF35" s="12">
        <v>132.13999999999999</v>
      </c>
      <c r="AG35" s="30">
        <f t="shared" si="2"/>
        <v>6358.39</v>
      </c>
    </row>
    <row r="36" spans="1:33" x14ac:dyDescent="0.25">
      <c r="A36" s="3" t="s">
        <v>48</v>
      </c>
      <c r="B36" s="37" t="s">
        <v>49</v>
      </c>
      <c r="C36" s="13">
        <v>45047</v>
      </c>
      <c r="D36" s="4"/>
      <c r="E36" s="4" t="s">
        <v>113</v>
      </c>
      <c r="F36" s="4" t="s">
        <v>71</v>
      </c>
      <c r="G36" s="5">
        <v>20.25</v>
      </c>
      <c r="H36" s="4">
        <v>1337.32</v>
      </c>
      <c r="I36" s="4">
        <v>89.46</v>
      </c>
      <c r="J36" s="11">
        <v>24037.15</v>
      </c>
      <c r="K36" s="11">
        <v>2391.23</v>
      </c>
      <c r="L36" s="12">
        <f t="shared" si="0"/>
        <v>26428.38</v>
      </c>
      <c r="M36" s="14">
        <v>1854.55</v>
      </c>
      <c r="N36" s="3">
        <f>1463.39-113.12</f>
        <v>1350.27</v>
      </c>
      <c r="O36" s="3">
        <v>113.12</v>
      </c>
      <c r="P36" s="12">
        <f>28051.52-3119.36</f>
        <v>24932.16</v>
      </c>
      <c r="Q36" s="12">
        <v>3119.36</v>
      </c>
      <c r="R36" s="12">
        <f t="shared" si="1"/>
        <v>28051.52</v>
      </c>
      <c r="S36" s="12">
        <v>1797.11</v>
      </c>
      <c r="T36" s="12">
        <v>3593.1</v>
      </c>
      <c r="U36" s="4" t="s">
        <v>141</v>
      </c>
      <c r="V36" s="12">
        <v>118.08</v>
      </c>
      <c r="W36" s="12">
        <v>35.22</v>
      </c>
      <c r="X36" s="12"/>
      <c r="Y36" s="12">
        <v>96</v>
      </c>
      <c r="Z36" s="30">
        <f>SUM(T36:Y36)</f>
        <v>3842.3999999999996</v>
      </c>
      <c r="AA36" s="12">
        <v>5128.09</v>
      </c>
      <c r="AB36" s="4" t="s">
        <v>141</v>
      </c>
      <c r="AC36" s="12">
        <v>157.44</v>
      </c>
      <c r="AD36" s="12">
        <v>46.96</v>
      </c>
      <c r="AE36" s="12"/>
      <c r="AF36" s="12">
        <v>132.13999999999999</v>
      </c>
      <c r="AG36" s="30">
        <f t="shared" si="2"/>
        <v>5464.63</v>
      </c>
    </row>
    <row r="37" spans="1:33" x14ac:dyDescent="0.25">
      <c r="A37" s="3" t="s">
        <v>50</v>
      </c>
      <c r="B37" s="37" t="s">
        <v>51</v>
      </c>
      <c r="C37" s="13">
        <v>45110</v>
      </c>
      <c r="D37" s="4"/>
      <c r="E37" s="4" t="s">
        <v>108</v>
      </c>
      <c r="F37" s="4" t="s">
        <v>71</v>
      </c>
      <c r="G37" s="5">
        <v>24.45</v>
      </c>
      <c r="H37" s="4">
        <v>990.11</v>
      </c>
      <c r="I37" s="4">
        <v>88.46</v>
      </c>
      <c r="J37" s="11">
        <v>17698.11</v>
      </c>
      <c r="K37" s="11">
        <v>2343</v>
      </c>
      <c r="L37" s="12">
        <f t="shared" si="0"/>
        <v>20041.11</v>
      </c>
      <c r="M37" s="14">
        <v>1429.3</v>
      </c>
      <c r="N37" s="3">
        <f>1574.58-214.58</f>
        <v>1360</v>
      </c>
      <c r="O37" s="3">
        <v>214.58</v>
      </c>
      <c r="P37" s="12">
        <f>32028.65-6045.25</f>
        <v>25983.4</v>
      </c>
      <c r="Q37" s="12">
        <v>6045.25</v>
      </c>
      <c r="R37" s="12">
        <f t="shared" si="1"/>
        <v>32028.65</v>
      </c>
      <c r="S37" s="12">
        <v>2247.04</v>
      </c>
      <c r="T37" s="12">
        <v>2395.4</v>
      </c>
      <c r="U37" s="4" t="s">
        <v>141</v>
      </c>
      <c r="V37" s="12">
        <v>78.72</v>
      </c>
      <c r="W37" s="12">
        <v>23.48</v>
      </c>
      <c r="X37" s="12"/>
      <c r="Y37" s="12">
        <v>64</v>
      </c>
      <c r="Z37" s="30">
        <f>SUM(T37:Y37)</f>
        <v>2561.6</v>
      </c>
      <c r="AA37" s="12">
        <v>5128.09</v>
      </c>
      <c r="AB37" s="4" t="s">
        <v>141</v>
      </c>
      <c r="AC37" s="12">
        <v>157.44</v>
      </c>
      <c r="AD37" s="12">
        <v>46.96</v>
      </c>
      <c r="AE37" s="12">
        <v>511.84</v>
      </c>
      <c r="AF37" s="12">
        <v>132.13999999999999</v>
      </c>
      <c r="AG37" s="30">
        <f t="shared" si="2"/>
        <v>5976.47</v>
      </c>
    </row>
    <row r="38" spans="1:33" x14ac:dyDescent="0.25">
      <c r="A38" s="3" t="s">
        <v>52</v>
      </c>
      <c r="B38" s="37" t="s">
        <v>53</v>
      </c>
      <c r="C38" s="13">
        <v>45159</v>
      </c>
      <c r="D38" s="4"/>
      <c r="E38" s="4" t="s">
        <v>112</v>
      </c>
      <c r="F38" s="4" t="s">
        <v>71</v>
      </c>
      <c r="G38" s="5">
        <v>21.65</v>
      </c>
      <c r="H38" s="4">
        <v>718.26</v>
      </c>
      <c r="I38" s="4">
        <v>37.590000000000003</v>
      </c>
      <c r="J38" s="11">
        <v>12833.36</v>
      </c>
      <c r="K38" s="11">
        <v>986.48</v>
      </c>
      <c r="L38" s="12">
        <f t="shared" si="0"/>
        <v>13819.84</v>
      </c>
      <c r="M38" s="14">
        <v>946.11</v>
      </c>
      <c r="N38" s="3">
        <f>1409.55-49.55</f>
        <v>1360</v>
      </c>
      <c r="O38" s="3">
        <v>49.55</v>
      </c>
      <c r="P38" s="12">
        <f>26833.03-1334.03</f>
        <v>25499</v>
      </c>
      <c r="Q38" s="12">
        <v>1334.03</v>
      </c>
      <c r="R38" s="12">
        <f t="shared" si="1"/>
        <v>26833.03</v>
      </c>
      <c r="S38" s="12">
        <v>1650.88</v>
      </c>
      <c r="T38" s="12">
        <v>1197.7</v>
      </c>
      <c r="U38" s="4" t="s">
        <v>141</v>
      </c>
      <c r="V38" s="12">
        <v>39.36</v>
      </c>
      <c r="W38" s="12">
        <v>11.74</v>
      </c>
      <c r="X38" s="12"/>
      <c r="Y38" s="12">
        <v>32</v>
      </c>
      <c r="Z38" s="30">
        <f>SUM(T38:Y38)</f>
        <v>1280.8</v>
      </c>
      <c r="AA38" s="12">
        <v>5128.09</v>
      </c>
      <c r="AB38" s="4" t="s">
        <v>141</v>
      </c>
      <c r="AC38" s="12">
        <v>157.44</v>
      </c>
      <c r="AD38" s="12">
        <v>46.96</v>
      </c>
      <c r="AE38" s="12"/>
      <c r="AF38" s="12">
        <v>132.13999999999999</v>
      </c>
      <c r="AG38" s="30">
        <f t="shared" si="2"/>
        <v>5464.63</v>
      </c>
    </row>
    <row r="39" spans="1:33" x14ac:dyDescent="0.25">
      <c r="A39" s="3" t="s">
        <v>119</v>
      </c>
      <c r="B39" s="37" t="s">
        <v>104</v>
      </c>
      <c r="C39" s="13">
        <v>45166</v>
      </c>
      <c r="D39" s="13">
        <v>45184</v>
      </c>
      <c r="E39" s="4" t="s">
        <v>113</v>
      </c>
      <c r="F39" s="4" t="s">
        <v>71</v>
      </c>
      <c r="G39" s="5">
        <v>17.38</v>
      </c>
      <c r="H39" s="4">
        <v>57.5</v>
      </c>
      <c r="I39" s="4"/>
      <c r="J39" s="11">
        <v>999.35</v>
      </c>
      <c r="K39" s="11"/>
      <c r="L39" s="12">
        <f t="shared" si="0"/>
        <v>999.35</v>
      </c>
      <c r="M39" s="14">
        <v>91.94</v>
      </c>
      <c r="N39" s="3"/>
      <c r="O39" s="3"/>
      <c r="P39" s="12"/>
      <c r="Q39" s="12"/>
      <c r="R39" s="12"/>
      <c r="S39" s="12"/>
      <c r="T39" s="12"/>
      <c r="U39" s="4"/>
      <c r="V39" s="12"/>
      <c r="W39" s="12"/>
      <c r="X39" s="12"/>
      <c r="Y39" s="12"/>
      <c r="Z39" s="30">
        <f>SUM(T39:Y39)</f>
        <v>0</v>
      </c>
      <c r="AA39" s="12"/>
      <c r="AB39" s="4"/>
      <c r="AC39" s="12"/>
      <c r="AD39" s="12"/>
      <c r="AE39" s="12"/>
      <c r="AF39" s="12"/>
      <c r="AG39" s="30">
        <f t="shared" si="2"/>
        <v>0</v>
      </c>
    </row>
    <row r="40" spans="1:33" x14ac:dyDescent="0.25">
      <c r="A40" s="3" t="s">
        <v>120</v>
      </c>
      <c r="B40" s="37" t="s">
        <v>105</v>
      </c>
      <c r="C40" s="13">
        <v>45293</v>
      </c>
      <c r="D40" s="13">
        <v>45331</v>
      </c>
      <c r="E40" s="4" t="s">
        <v>112</v>
      </c>
      <c r="F40" s="4" t="s">
        <v>71</v>
      </c>
      <c r="G40" s="5">
        <v>17.38</v>
      </c>
      <c r="H40" s="4"/>
      <c r="I40" s="4"/>
      <c r="J40" s="5"/>
      <c r="K40" s="5"/>
      <c r="L40" s="17"/>
      <c r="M40" s="18"/>
      <c r="N40" s="3">
        <v>174.75</v>
      </c>
      <c r="O40" s="3">
        <v>28.72</v>
      </c>
      <c r="P40" s="17">
        <v>3037.16</v>
      </c>
      <c r="Q40" s="17">
        <v>748.73</v>
      </c>
      <c r="R40" s="17">
        <f t="shared" si="1"/>
        <v>3785.89</v>
      </c>
      <c r="S40" s="17">
        <v>226.09</v>
      </c>
      <c r="T40" s="12"/>
      <c r="U40" s="4"/>
      <c r="V40" s="12"/>
      <c r="W40" s="12"/>
      <c r="X40" s="12"/>
      <c r="Y40" s="12"/>
      <c r="Z40" s="30">
        <f>SUM(T40:Y40)</f>
        <v>0</v>
      </c>
      <c r="AA40" s="12"/>
      <c r="AB40" s="4"/>
      <c r="AC40" s="12"/>
      <c r="AD40" s="12"/>
      <c r="AE40" s="12"/>
      <c r="AF40" s="12"/>
      <c r="AG40" s="30">
        <f t="shared" si="2"/>
        <v>0</v>
      </c>
    </row>
    <row r="41" spans="1:33" x14ac:dyDescent="0.25">
      <c r="A41" s="3" t="s">
        <v>1</v>
      </c>
      <c r="B41" s="37" t="s">
        <v>64</v>
      </c>
      <c r="C41" s="13">
        <v>45334</v>
      </c>
      <c r="D41" s="4"/>
      <c r="E41" s="4" t="s">
        <v>72</v>
      </c>
      <c r="F41" s="4" t="s">
        <v>71</v>
      </c>
      <c r="G41" s="5">
        <v>64.900000000000006</v>
      </c>
      <c r="H41" s="4"/>
      <c r="I41" s="4"/>
      <c r="J41" s="5"/>
      <c r="K41" s="5"/>
      <c r="L41" s="17"/>
      <c r="M41" s="18"/>
      <c r="N41" s="3">
        <v>1080</v>
      </c>
      <c r="O41" s="3"/>
      <c r="P41" s="17">
        <v>70096.05</v>
      </c>
      <c r="Q41" s="17"/>
      <c r="R41" s="17">
        <f t="shared" si="1"/>
        <v>70096.05</v>
      </c>
      <c r="S41" s="17">
        <v>8421.84</v>
      </c>
      <c r="T41" s="12"/>
      <c r="U41" s="4"/>
      <c r="V41" s="12"/>
      <c r="W41" s="12"/>
      <c r="X41" s="12"/>
      <c r="Y41" s="12"/>
      <c r="Z41" s="30">
        <f>SUM(T41:Y41)</f>
        <v>0</v>
      </c>
      <c r="AA41" s="12">
        <v>4529.24</v>
      </c>
      <c r="AB41" s="4" t="s">
        <v>141</v>
      </c>
      <c r="AC41" s="12"/>
      <c r="AD41" s="12"/>
      <c r="AE41" s="12">
        <v>5607.63</v>
      </c>
      <c r="AF41" s="12">
        <v>68.14</v>
      </c>
      <c r="AG41" s="30">
        <f t="shared" si="2"/>
        <v>10205.009999999998</v>
      </c>
    </row>
    <row r="42" spans="1:33" x14ac:dyDescent="0.25">
      <c r="A42" s="3" t="s">
        <v>54</v>
      </c>
      <c r="B42" s="37" t="s">
        <v>55</v>
      </c>
      <c r="C42" s="13">
        <v>45350</v>
      </c>
      <c r="D42" s="4"/>
      <c r="E42" s="4" t="s">
        <v>108</v>
      </c>
      <c r="F42" s="4" t="s">
        <v>71</v>
      </c>
      <c r="G42" s="5">
        <v>24.45</v>
      </c>
      <c r="H42" s="4">
        <v>0</v>
      </c>
      <c r="I42" s="4">
        <v>0</v>
      </c>
      <c r="J42" s="5"/>
      <c r="K42" s="5"/>
      <c r="L42" s="17">
        <f t="shared" si="0"/>
        <v>0</v>
      </c>
      <c r="M42" s="18"/>
      <c r="N42" s="3">
        <f>1100.39-122.61</f>
        <v>977.78000000000009</v>
      </c>
      <c r="O42" s="3">
        <v>122.61</v>
      </c>
      <c r="P42" s="17">
        <f>26917.97-4218.28</f>
        <v>22699.690000000002</v>
      </c>
      <c r="Q42" s="17">
        <v>4218.28</v>
      </c>
      <c r="R42" s="17">
        <f t="shared" si="1"/>
        <v>26917.97</v>
      </c>
      <c r="S42" s="17">
        <v>3032.81</v>
      </c>
      <c r="T42" s="12"/>
      <c r="U42" s="4"/>
      <c r="V42" s="12"/>
      <c r="W42" s="12"/>
      <c r="X42" s="12"/>
      <c r="Y42" s="12"/>
      <c r="Z42" s="30">
        <f>SUM(T42:Y42)</f>
        <v>0</v>
      </c>
      <c r="AA42" s="12">
        <v>2732.69</v>
      </c>
      <c r="AB42" s="4" t="s">
        <v>141</v>
      </c>
      <c r="AC42" s="12"/>
      <c r="AD42" s="12">
        <v>23.48</v>
      </c>
      <c r="AE42" s="12"/>
      <c r="AF42" s="12">
        <v>117.24</v>
      </c>
      <c r="AG42" s="30">
        <f t="shared" si="2"/>
        <v>2873.41</v>
      </c>
    </row>
    <row r="43" spans="1:33" x14ac:dyDescent="0.25">
      <c r="A43" s="3" t="s">
        <v>87</v>
      </c>
      <c r="B43" s="37" t="s">
        <v>88</v>
      </c>
      <c r="C43" s="13">
        <v>45355</v>
      </c>
      <c r="D43" s="13">
        <v>45397</v>
      </c>
      <c r="E43" s="4" t="s">
        <v>112</v>
      </c>
      <c r="F43" s="4" t="s">
        <v>71</v>
      </c>
      <c r="G43" s="5">
        <v>22.8</v>
      </c>
      <c r="H43" s="4"/>
      <c r="I43" s="4"/>
      <c r="J43" s="5"/>
      <c r="K43" s="5"/>
      <c r="L43" s="17"/>
      <c r="M43" s="18"/>
      <c r="N43" s="3">
        <v>254.31</v>
      </c>
      <c r="O43" s="3">
        <v>2.52</v>
      </c>
      <c r="P43" s="17">
        <v>5798.27</v>
      </c>
      <c r="Q43" s="17">
        <v>86.18</v>
      </c>
      <c r="R43" s="17">
        <f t="shared" si="1"/>
        <v>5884.4500000000007</v>
      </c>
      <c r="S43" s="17">
        <v>389.02</v>
      </c>
      <c r="T43" s="12"/>
      <c r="U43" s="4"/>
      <c r="V43" s="12"/>
      <c r="W43" s="12"/>
      <c r="X43" s="12"/>
      <c r="Y43" s="12"/>
      <c r="Z43" s="30">
        <f>SUM(T43:Y43)</f>
        <v>0</v>
      </c>
      <c r="AA43" s="12"/>
      <c r="AB43" s="4"/>
      <c r="AC43" s="12"/>
      <c r="AD43" s="12"/>
      <c r="AE43" s="12"/>
      <c r="AF43" s="12"/>
      <c r="AG43" s="30">
        <f t="shared" si="2"/>
        <v>0</v>
      </c>
    </row>
    <row r="44" spans="1:33" x14ac:dyDescent="0.25">
      <c r="A44" s="3" t="s">
        <v>56</v>
      </c>
      <c r="B44" s="37" t="s">
        <v>57</v>
      </c>
      <c r="C44" s="13">
        <v>45364</v>
      </c>
      <c r="D44" s="13">
        <v>45446</v>
      </c>
      <c r="E44" s="4" t="s">
        <v>106</v>
      </c>
      <c r="F44" s="4" t="s">
        <v>71</v>
      </c>
      <c r="G44" s="5">
        <v>26.04</v>
      </c>
      <c r="H44" s="4">
        <v>0</v>
      </c>
      <c r="I44" s="4">
        <v>0</v>
      </c>
      <c r="J44" s="5"/>
      <c r="K44" s="5"/>
      <c r="L44" s="17">
        <f t="shared" si="0"/>
        <v>0</v>
      </c>
      <c r="M44" s="18"/>
      <c r="N44" s="3">
        <v>415.25</v>
      </c>
      <c r="O44" s="3">
        <v>60.78</v>
      </c>
      <c r="P44" s="17">
        <v>10647.44</v>
      </c>
      <c r="Q44" s="17">
        <v>2350.75</v>
      </c>
      <c r="R44" s="17">
        <f t="shared" si="1"/>
        <v>12998.19</v>
      </c>
      <c r="S44" s="17">
        <v>1048.8699999999999</v>
      </c>
      <c r="T44" s="12"/>
      <c r="U44" s="4"/>
      <c r="V44" s="12"/>
      <c r="W44" s="12"/>
      <c r="X44" s="12"/>
      <c r="Y44" s="12"/>
      <c r="Z44" s="30">
        <f>SUM(T44:Y44)</f>
        <v>0</v>
      </c>
      <c r="AA44" s="12"/>
      <c r="AB44" s="4"/>
      <c r="AC44" s="12">
        <v>78.72</v>
      </c>
      <c r="AD44" s="12"/>
      <c r="AE44" s="12"/>
      <c r="AF44" s="12">
        <v>51.61</v>
      </c>
      <c r="AG44" s="30">
        <f t="shared" si="2"/>
        <v>130.32999999999998</v>
      </c>
    </row>
    <row r="45" spans="1:33" x14ac:dyDescent="0.25">
      <c r="A45" s="3" t="s">
        <v>76</v>
      </c>
      <c r="B45" s="37" t="s">
        <v>77</v>
      </c>
      <c r="C45" s="13">
        <v>45425</v>
      </c>
      <c r="D45" s="4"/>
      <c r="E45" s="4" t="s">
        <v>113</v>
      </c>
      <c r="F45" s="4" t="s">
        <v>71</v>
      </c>
      <c r="G45" s="17">
        <v>19.75</v>
      </c>
      <c r="H45" s="4"/>
      <c r="I45" s="4"/>
      <c r="J45" s="5"/>
      <c r="K45" s="5"/>
      <c r="L45" s="17"/>
      <c r="M45" s="17"/>
      <c r="N45" s="3">
        <v>555.70000000000005</v>
      </c>
      <c r="O45" s="3">
        <v>55.62</v>
      </c>
      <c r="P45" s="17">
        <v>10459.52</v>
      </c>
      <c r="Q45" s="17">
        <v>1564.32</v>
      </c>
      <c r="R45" s="17">
        <f t="shared" si="1"/>
        <v>12023.84</v>
      </c>
      <c r="S45" s="17">
        <v>793.74</v>
      </c>
      <c r="T45" s="12"/>
      <c r="U45" s="4"/>
      <c r="V45" s="12"/>
      <c r="W45" s="12"/>
      <c r="X45" s="12"/>
      <c r="Y45" s="12"/>
      <c r="Z45" s="30">
        <f>SUM(T45:Y45)</f>
        <v>0</v>
      </c>
      <c r="AA45" s="12">
        <v>1422.56</v>
      </c>
      <c r="AB45" s="4" t="s">
        <v>141</v>
      </c>
      <c r="AC45" s="12">
        <v>39.36</v>
      </c>
      <c r="AD45" s="12">
        <v>11.74</v>
      </c>
      <c r="AE45" s="12"/>
      <c r="AF45" s="12">
        <v>17.38</v>
      </c>
      <c r="AG45" s="30">
        <f t="shared" si="2"/>
        <v>1491.04</v>
      </c>
    </row>
    <row r="46" spans="1:33" x14ac:dyDescent="0.25">
      <c r="A46" s="3" t="s">
        <v>78</v>
      </c>
      <c r="B46" s="37" t="s">
        <v>79</v>
      </c>
      <c r="C46" s="13">
        <v>45427</v>
      </c>
      <c r="D46" s="13">
        <v>45428</v>
      </c>
      <c r="E46" s="4" t="s">
        <v>113</v>
      </c>
      <c r="F46" s="4" t="s">
        <v>71</v>
      </c>
      <c r="G46" s="17">
        <v>17.88</v>
      </c>
      <c r="H46" s="4"/>
      <c r="I46" s="4"/>
      <c r="J46" s="5"/>
      <c r="K46" s="5"/>
      <c r="L46" s="17"/>
      <c r="M46" s="17"/>
      <c r="N46" s="3">
        <v>9.3000000000000007</v>
      </c>
      <c r="O46" s="3"/>
      <c r="P46" s="17">
        <v>166.28</v>
      </c>
      <c r="Q46" s="17"/>
      <c r="R46" s="17">
        <f t="shared" si="1"/>
        <v>166.28</v>
      </c>
      <c r="S46" s="17">
        <v>0</v>
      </c>
      <c r="T46" s="12"/>
      <c r="U46" s="4"/>
      <c r="V46" s="12"/>
      <c r="W46" s="12"/>
      <c r="X46" s="12"/>
      <c r="Y46" s="12"/>
      <c r="Z46" s="30">
        <f>SUM(T46:Y46)</f>
        <v>0</v>
      </c>
      <c r="AA46" s="12"/>
      <c r="AB46" s="4"/>
      <c r="AC46" s="12"/>
      <c r="AD46" s="12"/>
      <c r="AE46" s="12"/>
      <c r="AF46" s="12"/>
      <c r="AG46" s="30">
        <f t="shared" si="2"/>
        <v>0</v>
      </c>
    </row>
    <row r="47" spans="1:33" x14ac:dyDescent="0.25">
      <c r="A47" s="3" t="s">
        <v>80</v>
      </c>
      <c r="B47" s="37" t="s">
        <v>81</v>
      </c>
      <c r="C47" s="13">
        <v>45467</v>
      </c>
      <c r="D47" s="4"/>
      <c r="E47" s="4" t="s">
        <v>113</v>
      </c>
      <c r="F47" s="4" t="s">
        <v>71</v>
      </c>
      <c r="G47" s="17">
        <v>19.75</v>
      </c>
      <c r="H47" s="4"/>
      <c r="I47" s="4"/>
      <c r="J47" s="5"/>
      <c r="K47" s="5"/>
      <c r="L47" s="17"/>
      <c r="M47" s="17"/>
      <c r="N47" s="3">
        <f>282.68-10.68</f>
        <v>272</v>
      </c>
      <c r="O47" s="3">
        <v>10.68</v>
      </c>
      <c r="P47" s="17">
        <v>5372</v>
      </c>
      <c r="Q47" s="17">
        <v>316.41000000000003</v>
      </c>
      <c r="R47" s="17">
        <f t="shared" si="1"/>
        <v>5688.41</v>
      </c>
      <c r="S47" s="17">
        <v>554.46</v>
      </c>
      <c r="T47" s="12"/>
      <c r="U47" s="4"/>
      <c r="V47" s="12"/>
      <c r="W47" s="12"/>
      <c r="X47" s="12"/>
      <c r="Y47" s="12"/>
      <c r="Z47" s="30">
        <f>SUM(T47:Y47)</f>
        <v>0</v>
      </c>
      <c r="AA47" s="12"/>
      <c r="AB47" s="4"/>
      <c r="AC47" s="12"/>
      <c r="AD47" s="12"/>
      <c r="AE47" s="12"/>
      <c r="AF47" s="12"/>
      <c r="AG47" s="30">
        <f t="shared" si="2"/>
        <v>0</v>
      </c>
    </row>
    <row r="48" spans="1:33" x14ac:dyDescent="0.25">
      <c r="A48" s="3" t="s">
        <v>82</v>
      </c>
      <c r="B48" s="37" t="s">
        <v>83</v>
      </c>
      <c r="C48" s="13">
        <v>45475</v>
      </c>
      <c r="D48" s="4"/>
      <c r="E48" s="4" t="s">
        <v>110</v>
      </c>
      <c r="F48" s="4" t="s">
        <v>84</v>
      </c>
      <c r="G48" s="17">
        <v>35</v>
      </c>
      <c r="H48" s="4"/>
      <c r="I48" s="4"/>
      <c r="J48" s="5"/>
      <c r="K48" s="5"/>
      <c r="L48" s="17"/>
      <c r="M48" s="17"/>
      <c r="N48" s="3">
        <v>69.430000000000007</v>
      </c>
      <c r="O48" s="3"/>
      <c r="P48" s="17">
        <v>2430.0500000000002</v>
      </c>
      <c r="Q48" s="17"/>
      <c r="R48" s="17">
        <f t="shared" si="1"/>
        <v>2430.0500000000002</v>
      </c>
      <c r="S48" s="17">
        <v>91.04</v>
      </c>
      <c r="T48" s="12"/>
      <c r="U48" s="4"/>
      <c r="V48" s="12"/>
      <c r="W48" s="12"/>
      <c r="X48" s="12"/>
      <c r="Y48" s="12"/>
      <c r="Z48" s="30">
        <f>SUM(T48:Y48)</f>
        <v>0</v>
      </c>
      <c r="AA48" s="12"/>
      <c r="AB48" s="4"/>
      <c r="AC48" s="12"/>
      <c r="AD48" s="12"/>
      <c r="AE48" s="12"/>
      <c r="AF48" s="12"/>
      <c r="AG48" s="30">
        <f t="shared" si="2"/>
        <v>0</v>
      </c>
    </row>
    <row r="49" spans="1:34" x14ac:dyDescent="0.25">
      <c r="A49" s="3" t="s">
        <v>85</v>
      </c>
      <c r="B49" s="37" t="s">
        <v>86</v>
      </c>
      <c r="C49" s="13">
        <v>45489</v>
      </c>
      <c r="D49" s="4"/>
      <c r="E49" s="4" t="s">
        <v>113</v>
      </c>
      <c r="F49" s="4" t="s">
        <v>71</v>
      </c>
      <c r="G49" s="17">
        <v>19.75</v>
      </c>
      <c r="H49" s="4"/>
      <c r="I49" s="4"/>
      <c r="J49" s="5"/>
      <c r="K49" s="5"/>
      <c r="L49" s="17"/>
      <c r="M49" s="17"/>
      <c r="N49" s="3">
        <v>187.1</v>
      </c>
      <c r="O49" s="3"/>
      <c r="P49" s="17">
        <v>3695.23</v>
      </c>
      <c r="Q49" s="17"/>
      <c r="R49" s="17">
        <f t="shared" si="1"/>
        <v>3695.23</v>
      </c>
      <c r="S49" s="17">
        <v>351.89</v>
      </c>
      <c r="T49" s="12"/>
      <c r="U49" s="4"/>
      <c r="V49" s="12"/>
      <c r="W49" s="12"/>
      <c r="X49" s="12"/>
      <c r="Y49" s="12"/>
      <c r="Z49" s="30">
        <f>SUM(T49:Y49)</f>
        <v>0</v>
      </c>
      <c r="AA49" s="12"/>
      <c r="AB49" s="4"/>
      <c r="AC49" s="12"/>
      <c r="AD49" s="12"/>
      <c r="AE49" s="12"/>
      <c r="AF49" s="12"/>
      <c r="AG49" s="30">
        <f t="shared" si="2"/>
        <v>0</v>
      </c>
    </row>
    <row r="50" spans="1:34" x14ac:dyDescent="0.25">
      <c r="A50" s="3" t="s">
        <v>89</v>
      </c>
      <c r="B50" s="37" t="s">
        <v>90</v>
      </c>
      <c r="C50" s="13">
        <v>45495</v>
      </c>
      <c r="D50" s="4"/>
      <c r="E50" s="4" t="s">
        <v>110</v>
      </c>
      <c r="F50" s="4" t="s">
        <v>84</v>
      </c>
      <c r="G50" s="17">
        <v>35</v>
      </c>
      <c r="H50" s="4"/>
      <c r="I50" s="4"/>
      <c r="J50" s="5"/>
      <c r="K50" s="5"/>
      <c r="L50" s="17"/>
      <c r="M50" s="17"/>
      <c r="N50" s="3">
        <v>21.13</v>
      </c>
      <c r="O50" s="3"/>
      <c r="P50" s="17">
        <v>739.55</v>
      </c>
      <c r="Q50" s="17"/>
      <c r="R50" s="17">
        <f t="shared" si="1"/>
        <v>739.55</v>
      </c>
      <c r="S50" s="17">
        <v>40.85</v>
      </c>
      <c r="T50" s="12"/>
      <c r="U50" s="4"/>
      <c r="V50" s="12"/>
      <c r="W50" s="12"/>
      <c r="X50" s="12"/>
      <c r="Y50" s="12"/>
      <c r="Z50" s="30">
        <f>SUM(T50:Y50)</f>
        <v>0</v>
      </c>
      <c r="AA50" s="12"/>
      <c r="AB50" s="4"/>
      <c r="AC50" s="12"/>
      <c r="AD50" s="12"/>
      <c r="AE50" s="12"/>
      <c r="AF50" s="12"/>
      <c r="AG50" s="30">
        <f t="shared" si="2"/>
        <v>0</v>
      </c>
    </row>
    <row r="51" spans="1:34" x14ac:dyDescent="0.25">
      <c r="A51" s="3" t="s">
        <v>91</v>
      </c>
      <c r="B51" s="37" t="s">
        <v>92</v>
      </c>
      <c r="C51" s="13">
        <v>45510</v>
      </c>
      <c r="D51" s="13">
        <v>45516</v>
      </c>
      <c r="E51" s="4" t="s">
        <v>113</v>
      </c>
      <c r="F51" s="4" t="s">
        <v>71</v>
      </c>
      <c r="G51" s="17">
        <v>19.75</v>
      </c>
      <c r="H51" s="4"/>
      <c r="I51" s="4"/>
      <c r="J51" s="5"/>
      <c r="K51" s="5"/>
      <c r="L51" s="17"/>
      <c r="M51" s="17"/>
      <c r="N51" s="3">
        <v>25.65</v>
      </c>
      <c r="O51" s="3"/>
      <c r="P51" s="17">
        <v>506.59</v>
      </c>
      <c r="Q51" s="17"/>
      <c r="R51" s="17">
        <f t="shared" si="1"/>
        <v>506.59</v>
      </c>
      <c r="S51" s="17">
        <v>83.02</v>
      </c>
      <c r="T51" s="12"/>
      <c r="U51" s="4"/>
      <c r="V51" s="12"/>
      <c r="W51" s="12"/>
      <c r="X51" s="12"/>
      <c r="Y51" s="12"/>
      <c r="Z51" s="30">
        <f>SUM(T51:Y51)</f>
        <v>0</v>
      </c>
      <c r="AA51" s="12"/>
      <c r="AB51" s="4"/>
      <c r="AC51" s="12"/>
      <c r="AD51" s="12"/>
      <c r="AE51" s="12"/>
      <c r="AF51" s="12"/>
      <c r="AG51" s="30">
        <f t="shared" si="2"/>
        <v>0</v>
      </c>
    </row>
    <row r="52" spans="1:34" x14ac:dyDescent="0.25">
      <c r="J52" s="15"/>
      <c r="K52" s="15"/>
      <c r="L52" s="16"/>
      <c r="M52" s="16"/>
    </row>
    <row r="53" spans="1:34" x14ac:dyDescent="0.25">
      <c r="J53" s="9">
        <f>SUM(J5:J51)</f>
        <v>1311557.4000000004</v>
      </c>
      <c r="K53" s="9">
        <f>SUM(K5:K51)</f>
        <v>120897.43999999997</v>
      </c>
      <c r="L53" s="9">
        <f>SUM(L5:L51)</f>
        <v>1432454.8400000003</v>
      </c>
      <c r="M53" s="9">
        <f>SUM(M5:M51)</f>
        <v>117127.40000000002</v>
      </c>
      <c r="P53" s="9">
        <f>SUM(P5:P51)</f>
        <v>957604.89</v>
      </c>
      <c r="Q53" s="9">
        <f>SUM(Q5:Q51)</f>
        <v>117683.02000000003</v>
      </c>
      <c r="R53" s="9">
        <f>SUM(R5:R51)</f>
        <v>1075287.9100000004</v>
      </c>
      <c r="S53" s="9">
        <f>SUM(S5:S51)</f>
        <v>95395.860000000015</v>
      </c>
      <c r="T53" s="9">
        <f t="shared" ref="T53:AH53" si="3">SUM(T5:T51)</f>
        <v>188692.50000000003</v>
      </c>
      <c r="U53" s="9">
        <f t="shared" si="3"/>
        <v>0</v>
      </c>
      <c r="V53" s="9">
        <f t="shared" si="3"/>
        <v>6533.7599999999975</v>
      </c>
      <c r="W53" s="9">
        <f t="shared" si="3"/>
        <v>1948.8400000000006</v>
      </c>
      <c r="X53" s="9">
        <f t="shared" si="3"/>
        <v>88571.879999999976</v>
      </c>
      <c r="Y53" s="9">
        <f t="shared" si="3"/>
        <v>4894.72</v>
      </c>
      <c r="Z53" s="9">
        <f t="shared" si="3"/>
        <v>290641.69999999995</v>
      </c>
      <c r="AA53" s="9">
        <f t="shared" si="3"/>
        <v>141227.81999999995</v>
      </c>
      <c r="AB53" s="9"/>
      <c r="AC53" s="9">
        <f t="shared" si="3"/>
        <v>4211.5200000000004</v>
      </c>
      <c r="AD53" s="9">
        <f t="shared" si="3"/>
        <v>1256.1800000000005</v>
      </c>
      <c r="AE53" s="9">
        <f t="shared" si="3"/>
        <v>64271.369999999995</v>
      </c>
      <c r="AF53" s="9">
        <f t="shared" si="3"/>
        <v>3598.0099999999979</v>
      </c>
      <c r="AG53" s="9">
        <f t="shared" si="3"/>
        <v>214564.90000000002</v>
      </c>
      <c r="AH53" s="9">
        <f t="shared" si="3"/>
        <v>0</v>
      </c>
    </row>
    <row r="54" spans="1:34" x14ac:dyDescent="0.25">
      <c r="C54" s="6" t="s">
        <v>129</v>
      </c>
    </row>
    <row r="55" spans="1:34" x14ac:dyDescent="0.25">
      <c r="C55" s="6" t="s">
        <v>130</v>
      </c>
      <c r="L55" s="10">
        <f>1459954.84-L53-27500</f>
        <v>-2.3283064365386963E-10</v>
      </c>
    </row>
    <row r="56" spans="1:34" x14ac:dyDescent="0.25">
      <c r="C56" s="6" t="s">
        <v>131</v>
      </c>
    </row>
  </sheetData>
  <mergeCells count="34">
    <mergeCell ref="AG3:AG4"/>
    <mergeCell ref="AB3:AB4"/>
    <mergeCell ref="X3:X4"/>
    <mergeCell ref="AE3:AE4"/>
    <mergeCell ref="A3:A4"/>
    <mergeCell ref="L3:L4"/>
    <mergeCell ref="A1:I1"/>
    <mergeCell ref="B3:B4"/>
    <mergeCell ref="H3:H4"/>
    <mergeCell ref="G3:G4"/>
    <mergeCell ref="I3:I4"/>
    <mergeCell ref="E3:E4"/>
    <mergeCell ref="F3:F4"/>
    <mergeCell ref="M3:M4"/>
    <mergeCell ref="C3:C4"/>
    <mergeCell ref="D3:D4"/>
    <mergeCell ref="J3:J4"/>
    <mergeCell ref="K3:K4"/>
    <mergeCell ref="N3:N4"/>
    <mergeCell ref="O3:O4"/>
    <mergeCell ref="P3:P4"/>
    <mergeCell ref="Q3:Q4"/>
    <mergeCell ref="R3:R4"/>
    <mergeCell ref="S3:S4"/>
    <mergeCell ref="T3:T4"/>
    <mergeCell ref="V3:V4"/>
    <mergeCell ref="Y3:Y4"/>
    <mergeCell ref="W3:W4"/>
    <mergeCell ref="AF3:AF4"/>
    <mergeCell ref="AD3:AD4"/>
    <mergeCell ref="AC3:AC4"/>
    <mergeCell ref="AA3:AA4"/>
    <mergeCell ref="U3:U4"/>
    <mergeCell ref="Z3:Z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Latisha Elmore</dc:creator>
  <cp:lastModifiedBy>Customer Service</cp:lastModifiedBy>
  <cp:lastPrinted>2024-08-27T20:09:18Z</cp:lastPrinted>
  <dcterms:created xsi:type="dcterms:W3CDTF">2024-04-26T13:15:49Z</dcterms:created>
  <dcterms:modified xsi:type="dcterms:W3CDTF">2024-08-27T20:09:41Z</dcterms:modified>
</cp:coreProperties>
</file>