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20783bd5d64abe/Edmonson County WD/"/>
    </mc:Choice>
  </mc:AlternateContent>
  <xr:revisionPtr revIDLastSave="10" documentId="13_ncr:1_{07EBFFF3-7E89-447E-B9D4-F40E27A1CEB8}" xr6:coauthVersionLast="47" xr6:coauthVersionMax="47" xr10:uidLastSave="{5FE311EC-087D-4DCD-83AC-1C9C6FCA5A52}"/>
  <bookViews>
    <workbookView xWindow="-98" yWindow="-98" windowWidth="20715" windowHeight="13155" xr2:uid="{B2EC3FA1-0CED-45BD-B3FB-985B39A6969A}"/>
  </bookViews>
  <sheets>
    <sheet name="SAO" sheetId="6" r:id="rId1"/>
    <sheet name="Adj" sheetId="31" r:id="rId2"/>
    <sheet name="Wages" sheetId="38" r:id="rId3"/>
    <sheet name="Depr" sheetId="32" r:id="rId4"/>
    <sheet name="Debt" sheetId="16" r:id="rId5"/>
    <sheet name="Sys" sheetId="24" r:id="rId6"/>
    <sheet name="Fac" sheetId="25" r:id="rId7"/>
    <sheet name="Al_DepW" sheetId="33" r:id="rId8"/>
    <sheet name="Al_Plt" sheetId="39" r:id="rId9"/>
    <sheet name="Whol" sheetId="22" r:id="rId10"/>
    <sheet name="AlocOM_R" sheetId="26" r:id="rId11"/>
    <sheet name="AlocSum" sheetId="27" r:id="rId12"/>
    <sheet name="Units" sheetId="43" r:id="rId13"/>
    <sheet name="CalcRet" sheetId="28" r:id="rId14"/>
    <sheet name="Rates" sheetId="2" r:id="rId15"/>
    <sheet name="Bills" sheetId="41" r:id="rId16"/>
    <sheet name="ExBA" sheetId="10" r:id="rId17"/>
    <sheet name="PrBA" sheetId="35" r:id="rId18"/>
    <sheet name="Usage" sheetId="42" r:id="rId19"/>
    <sheet name="Notice" sheetId="36" r:id="rId20"/>
  </sheets>
  <definedNames>
    <definedName name="_xlnm.Print_Area" localSheetId="7">Al_DepW!$B$2:$H$34</definedName>
    <definedName name="_xlnm.Print_Area" localSheetId="8">Al_Plt!$B$2:$I$39</definedName>
    <definedName name="_xlnm.Print_Area" localSheetId="10">AlocOM_R!$B$2:$I$39</definedName>
    <definedName name="_xlnm.Print_Area" localSheetId="11">AlocSum!$B$2:$H$24</definedName>
    <definedName name="_xlnm.Print_Area" localSheetId="15">Bills!$B$3:$H$39</definedName>
    <definedName name="_xlnm.Print_Area" localSheetId="13">CalcRet!$B$2:$I$34</definedName>
    <definedName name="_xlnm.Print_Area" localSheetId="4">Debt!$B$2:$J$27</definedName>
    <definedName name="_xlnm.Print_Area" localSheetId="3">Depr!$B$2:$K$58</definedName>
    <definedName name="_xlnm.Print_Area" localSheetId="16">ExBA!$A$2:$I$29</definedName>
    <definedName name="_xlnm.Print_Area" localSheetId="6">Fac!$B$2:$I$45</definedName>
    <definedName name="_xlnm.Print_Area" localSheetId="17">PrBA!$A$2:$I$79</definedName>
    <definedName name="_xlnm.Print_Area" localSheetId="14">Rates!$B$3:$M$37</definedName>
    <definedName name="_xlnm.Print_Area" localSheetId="0">SAO!$B$2:$I$60</definedName>
    <definedName name="_xlnm.Print_Area" localSheetId="5">Sys!$B$1:$I$39</definedName>
    <definedName name="_xlnm.Print_Area" localSheetId="12">Units!$B$2:$K$36</definedName>
    <definedName name="_xlnm.Print_Area" localSheetId="18">Usage!$Q$2:$AK$28</definedName>
    <definedName name="_xlnm.Print_Area" localSheetId="9">Whol!$B$2:$L$79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36" l="1"/>
  <c r="D19" i="36"/>
  <c r="D18" i="36"/>
  <c r="D17" i="36"/>
  <c r="D16" i="36"/>
  <c r="D15" i="36"/>
  <c r="D14" i="36"/>
  <c r="C32" i="36" s="1"/>
  <c r="S12" i="31" l="1"/>
  <c r="D33" i="41" l="1"/>
  <c r="D34" i="41" s="1"/>
  <c r="D27" i="41"/>
  <c r="D28" i="41" s="1"/>
  <c r="D29" i="41" s="1"/>
  <c r="D30" i="41" s="1"/>
  <c r="D35" i="41" s="1"/>
  <c r="D36" i="41" s="1"/>
  <c r="D26" i="41"/>
  <c r="D23" i="41"/>
  <c r="D22" i="41"/>
  <c r="D21" i="41"/>
  <c r="D20" i="41"/>
  <c r="D17" i="41"/>
  <c r="D16" i="41"/>
  <c r="F7" i="10" l="1"/>
  <c r="F7" i="35" s="1"/>
  <c r="C74" i="35" l="1"/>
  <c r="C73" i="35"/>
  <c r="E69" i="35"/>
  <c r="F67" i="35"/>
  <c r="D69" i="35"/>
  <c r="D73" i="35" s="1"/>
  <c r="D75" i="35" s="1"/>
  <c r="G66" i="35"/>
  <c r="F66" i="35"/>
  <c r="F68" i="35" s="1"/>
  <c r="C61" i="35"/>
  <c r="C60" i="35"/>
  <c r="E56" i="35"/>
  <c r="F54" i="35"/>
  <c r="D56" i="35"/>
  <c r="D60" i="35" s="1"/>
  <c r="G53" i="35"/>
  <c r="F53" i="35"/>
  <c r="F55" i="35" s="1"/>
  <c r="C48" i="35"/>
  <c r="C47" i="35"/>
  <c r="E43" i="35"/>
  <c r="F41" i="35"/>
  <c r="H41" i="35" s="1"/>
  <c r="D43" i="35"/>
  <c r="D47" i="35" s="1"/>
  <c r="D49" i="35" s="1"/>
  <c r="G40" i="35"/>
  <c r="F40" i="35"/>
  <c r="F42" i="35" s="1"/>
  <c r="C35" i="35"/>
  <c r="C34" i="35"/>
  <c r="E30" i="35"/>
  <c r="F28" i="35"/>
  <c r="D30" i="35"/>
  <c r="D34" i="35" s="1"/>
  <c r="D36" i="35" s="1"/>
  <c r="G27" i="35"/>
  <c r="F27" i="35"/>
  <c r="F29" i="35" s="1"/>
  <c r="I15" i="38"/>
  <c r="I34" i="38"/>
  <c r="M34" i="38"/>
  <c r="K30" i="35" l="1"/>
  <c r="K69" i="35"/>
  <c r="K43" i="35"/>
  <c r="G68" i="35"/>
  <c r="G69" i="35" s="1"/>
  <c r="E74" i="35" s="1"/>
  <c r="H67" i="35"/>
  <c r="F69" i="35"/>
  <c r="E73" i="35" s="1"/>
  <c r="F56" i="35"/>
  <c r="E60" i="35" s="1"/>
  <c r="H54" i="35"/>
  <c r="G55" i="35"/>
  <c r="G56" i="35" s="1"/>
  <c r="E61" i="35" s="1"/>
  <c r="D62" i="35"/>
  <c r="F43" i="35"/>
  <c r="E47" i="35" s="1"/>
  <c r="G42" i="35"/>
  <c r="G43" i="35" s="1"/>
  <c r="E48" i="35" s="1"/>
  <c r="F30" i="35"/>
  <c r="E34" i="35" s="1"/>
  <c r="H28" i="35"/>
  <c r="G29" i="35"/>
  <c r="G30" i="35" s="1"/>
  <c r="E35" i="35" s="1"/>
  <c r="F30" i="6"/>
  <c r="E75" i="35" l="1"/>
  <c r="H68" i="35"/>
  <c r="H69" i="35" s="1"/>
  <c r="H55" i="35"/>
  <c r="H56" i="35" s="1"/>
  <c r="E62" i="35"/>
  <c r="K62" i="35" s="1"/>
  <c r="E49" i="35"/>
  <c r="H42" i="35"/>
  <c r="H43" i="35" s="1"/>
  <c r="H29" i="35"/>
  <c r="H30" i="35" s="1"/>
  <c r="E36" i="35"/>
  <c r="J33" i="2"/>
  <c r="J29" i="2"/>
  <c r="J25" i="2"/>
  <c r="J21" i="2"/>
  <c r="J17" i="2"/>
  <c r="F23" i="28"/>
  <c r="D23" i="28"/>
  <c r="D10" i="28"/>
  <c r="F23" i="43" l="1"/>
  <c r="E16" i="43"/>
  <c r="E14" i="43"/>
  <c r="E13" i="43"/>
  <c r="E12" i="43"/>
  <c r="F29" i="43" l="1"/>
  <c r="E11" i="43"/>
  <c r="F35" i="43" l="1"/>
  <c r="G34" i="43"/>
  <c r="G33" i="43"/>
  <c r="G32" i="43"/>
  <c r="G31" i="43"/>
  <c r="G30" i="43"/>
  <c r="G29" i="43"/>
  <c r="J17" i="43"/>
  <c r="G16" i="43"/>
  <c r="E15" i="43"/>
  <c r="G14" i="43"/>
  <c r="G12" i="43"/>
  <c r="G35" i="43" l="1"/>
  <c r="G15" i="43"/>
  <c r="F17" i="43"/>
  <c r="E17" i="43"/>
  <c r="G11" i="43"/>
  <c r="D17" i="43"/>
  <c r="I17" i="43" l="1"/>
  <c r="H17" i="43"/>
  <c r="G17" i="43"/>
  <c r="G23" i="43" l="1"/>
  <c r="K40" i="22" l="1"/>
  <c r="F20" i="26" s="1"/>
  <c r="G20" i="26" s="1"/>
  <c r="H41" i="22"/>
  <c r="M57" i="22"/>
  <c r="M56" i="22"/>
  <c r="M55" i="22"/>
  <c r="M49" i="22"/>
  <c r="M45" i="22"/>
  <c r="M42" i="22"/>
  <c r="M34" i="22"/>
  <c r="M33" i="22"/>
  <c r="H38" i="22"/>
  <c r="H30" i="22"/>
  <c r="M28" i="22" s="1"/>
  <c r="E12" i="22"/>
  <c r="C18" i="39"/>
  <c r="C23" i="39"/>
  <c r="C13" i="39"/>
  <c r="C28" i="39"/>
  <c r="C15" i="39"/>
  <c r="C12" i="39"/>
  <c r="C11" i="39"/>
  <c r="M37" i="22" l="1"/>
  <c r="F37" i="24"/>
  <c r="F36" i="24"/>
  <c r="F35" i="24"/>
  <c r="F30" i="24"/>
  <c r="D5" i="31"/>
  <c r="R21" i="31"/>
  <c r="R20" i="31"/>
  <c r="R22" i="31" s="1"/>
  <c r="F22" i="6" s="1"/>
  <c r="S13" i="31"/>
  <c r="R10" i="31"/>
  <c r="S10" i="31" s="1"/>
  <c r="R9" i="31"/>
  <c r="S9" i="31" s="1"/>
  <c r="R8" i="31"/>
  <c r="S8" i="31" s="1"/>
  <c r="S11" i="31" l="1"/>
  <c r="S14" i="31" s="1"/>
  <c r="F21" i="6" s="1"/>
  <c r="J76" i="22" l="1"/>
  <c r="O9" i="10" l="1"/>
  <c r="K10" i="10"/>
  <c r="O26" i="10" l="1"/>
  <c r="N26" i="10"/>
  <c r="E16" i="10" s="1"/>
  <c r="O25" i="10"/>
  <c r="D15" i="10" s="1"/>
  <c r="N25" i="10"/>
  <c r="E15" i="10" s="1"/>
  <c r="L19" i="6"/>
  <c r="L20" i="6" s="1"/>
  <c r="O27" i="10" l="1"/>
  <c r="D16" i="10"/>
  <c r="N27" i="10"/>
  <c r="Q17" i="38"/>
  <c r="M35" i="38"/>
  <c r="M33" i="38"/>
  <c r="M32" i="38"/>
  <c r="M31" i="38"/>
  <c r="M30" i="38"/>
  <c r="M29" i="38"/>
  <c r="M28" i="38"/>
  <c r="M27" i="38"/>
  <c r="M26" i="38"/>
  <c r="M25" i="38"/>
  <c r="M24" i="38"/>
  <c r="M23" i="38"/>
  <c r="M22" i="38"/>
  <c r="M21" i="38"/>
  <c r="M20" i="38"/>
  <c r="M19" i="38"/>
  <c r="M18" i="38"/>
  <c r="M17" i="38"/>
  <c r="M16" i="38"/>
  <c r="M15" i="38"/>
  <c r="M14" i="38"/>
  <c r="M13" i="38"/>
  <c r="M12" i="38"/>
  <c r="M11" i="38"/>
  <c r="M10" i="38"/>
  <c r="M9" i="38"/>
  <c r="M8" i="38"/>
  <c r="M7" i="38"/>
  <c r="K14" i="31"/>
  <c r="K7" i="31"/>
  <c r="K33" i="31"/>
  <c r="M4" i="38" l="1"/>
  <c r="I35" i="38"/>
  <c r="I33" i="38"/>
  <c r="I32" i="38"/>
  <c r="I31" i="38"/>
  <c r="I30" i="38"/>
  <c r="I29" i="38"/>
  <c r="I28" i="38"/>
  <c r="I27" i="38"/>
  <c r="I26" i="38"/>
  <c r="I25" i="38"/>
  <c r="I24" i="38"/>
  <c r="I23" i="38"/>
  <c r="I22" i="38"/>
  <c r="I21" i="38"/>
  <c r="I20" i="38"/>
  <c r="I19" i="38"/>
  <c r="I18" i="38"/>
  <c r="I17" i="38"/>
  <c r="I16" i="38"/>
  <c r="I14" i="38"/>
  <c r="I13" i="38"/>
  <c r="I12" i="38"/>
  <c r="I11" i="38"/>
  <c r="I10" i="38"/>
  <c r="I9" i="38"/>
  <c r="I8" i="38"/>
  <c r="I7" i="38"/>
  <c r="I6" i="38"/>
  <c r="M6" i="38" s="1"/>
  <c r="I4" i="38"/>
  <c r="M36" i="38" l="1"/>
  <c r="M38" i="38" s="1"/>
  <c r="K13" i="31" s="1"/>
  <c r="K15" i="31" s="1"/>
  <c r="F20" i="6" s="1"/>
  <c r="I36" i="38"/>
  <c r="I38" i="38" s="1"/>
  <c r="I52" i="32"/>
  <c r="J52" i="32" s="1"/>
  <c r="G53" i="32"/>
  <c r="E53" i="32"/>
  <c r="I53" i="32" s="1"/>
  <c r="C29" i="33" s="1"/>
  <c r="G44" i="32"/>
  <c r="E44" i="32"/>
  <c r="I44" i="32" s="1"/>
  <c r="C26" i="33" s="1"/>
  <c r="I43" i="32"/>
  <c r="I38" i="32"/>
  <c r="E37" i="32"/>
  <c r="I37" i="32" s="1"/>
  <c r="M41" i="32"/>
  <c r="G37" i="32"/>
  <c r="I35" i="32"/>
  <c r="C20" i="33" s="1"/>
  <c r="E31" i="32"/>
  <c r="E28" i="32"/>
  <c r="E26" i="32"/>
  <c r="I22" i="32"/>
  <c r="C14" i="33" s="1"/>
  <c r="I18" i="32"/>
  <c r="J18" i="32" s="1"/>
  <c r="I20" i="32"/>
  <c r="J20" i="32" s="1"/>
  <c r="I19" i="32"/>
  <c r="J19" i="32" s="1"/>
  <c r="I17" i="32"/>
  <c r="C13" i="33" s="1"/>
  <c r="I13" i="32"/>
  <c r="J13" i="32" s="1"/>
  <c r="E13" i="32"/>
  <c r="G11" i="32"/>
  <c r="I11" i="32" s="1"/>
  <c r="E11" i="32"/>
  <c r="H47" i="6"/>
  <c r="H46" i="6"/>
  <c r="I12" i="16"/>
  <c r="L21" i="16"/>
  <c r="I19" i="16"/>
  <c r="I18" i="16"/>
  <c r="I17" i="16"/>
  <c r="I16" i="16"/>
  <c r="I15" i="16"/>
  <c r="I14" i="16"/>
  <c r="I13" i="16"/>
  <c r="I11" i="16"/>
  <c r="T19" i="16"/>
  <c r="R19" i="16"/>
  <c r="H19" i="16"/>
  <c r="F19" i="16"/>
  <c r="S19" i="16"/>
  <c r="Q19" i="16"/>
  <c r="G19" i="16"/>
  <c r="E19" i="16"/>
  <c r="T18" i="16"/>
  <c r="R18" i="16"/>
  <c r="H18" i="16"/>
  <c r="F18" i="16"/>
  <c r="H17" i="16"/>
  <c r="G17" i="16"/>
  <c r="F17" i="16"/>
  <c r="E17" i="16"/>
  <c r="T14" i="16"/>
  <c r="S14" i="16"/>
  <c r="R14" i="16"/>
  <c r="Q14" i="16"/>
  <c r="H14" i="16"/>
  <c r="G14" i="16"/>
  <c r="F14" i="16"/>
  <c r="C14" i="16"/>
  <c r="E14" i="16"/>
  <c r="K6" i="31" l="1"/>
  <c r="J37" i="32"/>
  <c r="E30" i="6"/>
  <c r="H28" i="6"/>
  <c r="E27" i="6"/>
  <c r="H36" i="42"/>
  <c r="O36" i="42" l="1"/>
  <c r="Q27" i="42"/>
  <c r="Q26" i="42"/>
  <c r="Q25" i="42"/>
  <c r="Q24" i="42"/>
  <c r="Q23" i="42"/>
  <c r="Q22" i="42"/>
  <c r="Q21" i="42"/>
  <c r="E6" i="42"/>
  <c r="C6" i="42"/>
  <c r="O26" i="42"/>
  <c r="N26" i="42"/>
  <c r="O25" i="42"/>
  <c r="N25" i="42"/>
  <c r="O24" i="42"/>
  <c r="N24" i="42"/>
  <c r="O23" i="42"/>
  <c r="N23" i="42"/>
  <c r="O22" i="42"/>
  <c r="N22" i="42"/>
  <c r="O21" i="42"/>
  <c r="N21" i="42"/>
  <c r="B6" i="42"/>
  <c r="N6" i="42" s="1"/>
  <c r="M28" i="42"/>
  <c r="L28" i="42"/>
  <c r="G28" i="42"/>
  <c r="F28" i="42"/>
  <c r="O27" i="42"/>
  <c r="X27" i="42" s="1"/>
  <c r="O20" i="42"/>
  <c r="N20" i="42"/>
  <c r="O19" i="42"/>
  <c r="N19" i="42"/>
  <c r="O18" i="42"/>
  <c r="N18" i="42"/>
  <c r="O17" i="42"/>
  <c r="N17" i="42"/>
  <c r="O16" i="42"/>
  <c r="N16" i="42"/>
  <c r="N14" i="42"/>
  <c r="O11" i="42"/>
  <c r="N11" i="42"/>
  <c r="O10" i="42"/>
  <c r="N10" i="42"/>
  <c r="O8" i="42"/>
  <c r="A8" i="42"/>
  <c r="A9" i="42" s="1"/>
  <c r="A10" i="42" s="1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E5" i="42"/>
  <c r="O5" i="42" s="1"/>
  <c r="S6" i="36"/>
  <c r="S13" i="36" s="1"/>
  <c r="N27" i="42" l="1"/>
  <c r="W27" i="42" s="1"/>
  <c r="O15" i="42"/>
  <c r="O7" i="42"/>
  <c r="O12" i="42"/>
  <c r="N13" i="42"/>
  <c r="O13" i="42"/>
  <c r="B28" i="42"/>
  <c r="J28" i="42"/>
  <c r="N7" i="42"/>
  <c r="O9" i="42"/>
  <c r="N5" i="42"/>
  <c r="R5" i="42" s="1"/>
  <c r="N8" i="42"/>
  <c r="K28" i="42"/>
  <c r="N15" i="42"/>
  <c r="D28" i="42"/>
  <c r="C28" i="42"/>
  <c r="H28" i="42"/>
  <c r="I28" i="42"/>
  <c r="O14" i="42"/>
  <c r="O6" i="42"/>
  <c r="N9" i="42"/>
  <c r="N12" i="42"/>
  <c r="T5" i="42"/>
  <c r="X33" i="42"/>
  <c r="E28" i="42"/>
  <c r="O28" i="42" l="1"/>
  <c r="X7" i="42"/>
  <c r="W33" i="42"/>
  <c r="Y27" i="42"/>
  <c r="W7" i="42"/>
  <c r="W31" i="42" s="1"/>
  <c r="N28" i="42"/>
  <c r="S5" i="42" s="1"/>
  <c r="W20" i="42"/>
  <c r="W32" i="42" s="1"/>
  <c r="Y32" i="42" s="1"/>
  <c r="X20" i="42"/>
  <c r="R6" i="42"/>
  <c r="T6" i="42"/>
  <c r="X31" i="42"/>
  <c r="Z33" i="42"/>
  <c r="Y33" i="42"/>
  <c r="Z27" i="42" l="1"/>
  <c r="O32" i="42"/>
  <c r="Y7" i="42"/>
  <c r="U5" i="42"/>
  <c r="Z7" i="42"/>
  <c r="Z20" i="42"/>
  <c r="X32" i="42"/>
  <c r="Z32" i="42" s="1"/>
  <c r="Z34" i="42" s="1"/>
  <c r="AA33" i="42"/>
  <c r="AA34" i="42" s="1"/>
  <c r="Y20" i="42"/>
  <c r="T7" i="42"/>
  <c r="U6" i="42"/>
  <c r="S6" i="42"/>
  <c r="R7" i="42"/>
  <c r="Y31" i="42"/>
  <c r="Y34" i="42" s="1"/>
  <c r="C22" i="35"/>
  <c r="C21" i="35"/>
  <c r="E17" i="35"/>
  <c r="D17" i="35"/>
  <c r="G14" i="35"/>
  <c r="F14" i="35"/>
  <c r="F16" i="35" s="1"/>
  <c r="D14" i="41"/>
  <c r="M6" i="35" l="1"/>
  <c r="K17" i="35"/>
  <c r="D21" i="35"/>
  <c r="D23" i="35" s="1"/>
  <c r="L6" i="35"/>
  <c r="X34" i="42"/>
  <c r="S7" i="42"/>
  <c r="R8" i="42"/>
  <c r="U7" i="42"/>
  <c r="T8" i="42"/>
  <c r="F15" i="35"/>
  <c r="H15" i="35" s="1"/>
  <c r="G16" i="35"/>
  <c r="G17" i="35" s="1"/>
  <c r="E22" i="35" s="1"/>
  <c r="F17" i="35"/>
  <c r="E21" i="35" s="1"/>
  <c r="E23" i="35" l="1"/>
  <c r="T9" i="42"/>
  <c r="U8" i="42"/>
  <c r="R9" i="42"/>
  <c r="S8" i="42"/>
  <c r="H16" i="35"/>
  <c r="H17" i="35" s="1"/>
  <c r="D15" i="41"/>
  <c r="D13" i="41"/>
  <c r="S9" i="42" l="1"/>
  <c r="R10" i="42"/>
  <c r="U9" i="42"/>
  <c r="T10" i="42"/>
  <c r="T11" i="42" l="1"/>
  <c r="U10" i="42"/>
  <c r="S10" i="42"/>
  <c r="R11" i="42"/>
  <c r="R12" i="42" l="1"/>
  <c r="S11" i="42"/>
  <c r="T12" i="42"/>
  <c r="U11" i="42"/>
  <c r="D24" i="39"/>
  <c r="H22" i="39"/>
  <c r="H21" i="39"/>
  <c r="H20" i="39"/>
  <c r="H19" i="39"/>
  <c r="F17" i="39"/>
  <c r="F25" i="39" s="1"/>
  <c r="D14" i="39"/>
  <c r="C32" i="39"/>
  <c r="E15" i="39"/>
  <c r="D13" i="39"/>
  <c r="G23" i="39"/>
  <c r="E11" i="39"/>
  <c r="E18" i="39"/>
  <c r="D16" i="39"/>
  <c r="U12" i="42" l="1"/>
  <c r="T13" i="42"/>
  <c r="S12" i="42"/>
  <c r="R13" i="42"/>
  <c r="D11" i="39"/>
  <c r="G11" i="39" s="1"/>
  <c r="G12" i="39"/>
  <c r="E25" i="39"/>
  <c r="H25" i="39"/>
  <c r="C25" i="39"/>
  <c r="C35" i="39" s="1"/>
  <c r="D25" i="39"/>
  <c r="R14" i="42" l="1"/>
  <c r="S13" i="42"/>
  <c r="U13" i="42"/>
  <c r="T14" i="42"/>
  <c r="G25" i="39"/>
  <c r="G26" i="39" s="1"/>
  <c r="G33" i="39" s="1"/>
  <c r="G35" i="39" s="1"/>
  <c r="G36" i="39" s="1"/>
  <c r="K9" i="28"/>
  <c r="E26" i="39"/>
  <c r="E33" i="39" s="1"/>
  <c r="E35" i="39" s="1"/>
  <c r="E36" i="39" s="1"/>
  <c r="K25" i="39"/>
  <c r="D26" i="39"/>
  <c r="F26" i="39"/>
  <c r="F33" i="39" s="1"/>
  <c r="F35" i="39" s="1"/>
  <c r="F36" i="39" s="1"/>
  <c r="H26" i="39"/>
  <c r="H33" i="39" s="1"/>
  <c r="H35" i="39" s="1"/>
  <c r="H36" i="39" s="1"/>
  <c r="T15" i="42" l="1"/>
  <c r="U14" i="42"/>
  <c r="S14" i="42"/>
  <c r="R15" i="42"/>
  <c r="K26" i="39"/>
  <c r="D33" i="39"/>
  <c r="S15" i="42" l="1"/>
  <c r="R16" i="42"/>
  <c r="U15" i="42"/>
  <c r="T16" i="42"/>
  <c r="D35" i="39"/>
  <c r="K33" i="39"/>
  <c r="U16" i="42" l="1"/>
  <c r="T17" i="42"/>
  <c r="R17" i="42"/>
  <c r="S16" i="42"/>
  <c r="D36" i="39"/>
  <c r="K35" i="39"/>
  <c r="R18" i="42" l="1"/>
  <c r="S17" i="42"/>
  <c r="T18" i="42"/>
  <c r="U17" i="42"/>
  <c r="K36" i="39"/>
  <c r="J56" i="22"/>
  <c r="K56" i="22" s="1"/>
  <c r="F23" i="22"/>
  <c r="F26" i="26" l="1"/>
  <c r="N56" i="22"/>
  <c r="D26" i="26"/>
  <c r="J26" i="26"/>
  <c r="U18" i="42"/>
  <c r="T19" i="42"/>
  <c r="T20" i="42" s="1"/>
  <c r="S18" i="42"/>
  <c r="R19" i="42"/>
  <c r="R20" i="42" s="1"/>
  <c r="F25" i="22"/>
  <c r="F24" i="22"/>
  <c r="D19" i="27"/>
  <c r="S20" i="42" l="1"/>
  <c r="R21" i="42"/>
  <c r="T21" i="42"/>
  <c r="U20" i="42"/>
  <c r="U19" i="42"/>
  <c r="S19" i="42"/>
  <c r="T22" i="42" l="1"/>
  <c r="U21" i="42"/>
  <c r="R22" i="42"/>
  <c r="S21" i="42"/>
  <c r="L8" i="31"/>
  <c r="F18" i="6" s="1"/>
  <c r="H18" i="6" s="1"/>
  <c r="G10" i="22" s="1"/>
  <c r="S22" i="42" l="1"/>
  <c r="R23" i="42"/>
  <c r="T23" i="42"/>
  <c r="U22" i="42"/>
  <c r="C22" i="10"/>
  <c r="C21" i="10"/>
  <c r="S23" i="42" l="1"/>
  <c r="R24" i="42"/>
  <c r="U23" i="42"/>
  <c r="T24" i="42"/>
  <c r="T25" i="42" l="1"/>
  <c r="U24" i="42"/>
  <c r="R25" i="42"/>
  <c r="S24" i="42"/>
  <c r="E17" i="10"/>
  <c r="D17" i="10"/>
  <c r="D21" i="10" s="1"/>
  <c r="G14" i="10"/>
  <c r="F14" i="10"/>
  <c r="F16" i="10" s="1"/>
  <c r="G16" i="10" s="1"/>
  <c r="F15" i="10" l="1"/>
  <c r="F17" i="10" s="1"/>
  <c r="R26" i="42"/>
  <c r="S25" i="42"/>
  <c r="U25" i="42"/>
  <c r="T26" i="42"/>
  <c r="H16" i="10"/>
  <c r="D23" i="10"/>
  <c r="J23" i="10" s="1"/>
  <c r="G21" i="10"/>
  <c r="J17" i="10"/>
  <c r="H15" i="10" l="1"/>
  <c r="H17" i="10" s="1"/>
  <c r="G17" i="10" s="1"/>
  <c r="T27" i="42"/>
  <c r="U27" i="42" s="1"/>
  <c r="U26" i="42"/>
  <c r="R27" i="42"/>
  <c r="S27" i="42" s="1"/>
  <c r="S26" i="42"/>
  <c r="E21" i="10"/>
  <c r="J60" i="22"/>
  <c r="K60" i="22" l="1"/>
  <c r="F27" i="26" s="1"/>
  <c r="G27" i="26" s="1"/>
  <c r="F14" i="22"/>
  <c r="F54" i="22" s="1"/>
  <c r="H54" i="22" s="1"/>
  <c r="F13" i="22"/>
  <c r="F53" i="22" s="1"/>
  <c r="H53" i="22" s="1"/>
  <c r="J53" i="22" s="1"/>
  <c r="F12" i="22"/>
  <c r="F52" i="22" s="1"/>
  <c r="H52" i="22" s="1"/>
  <c r="F11" i="22"/>
  <c r="F51" i="22" s="1"/>
  <c r="H51" i="22" s="1"/>
  <c r="J36" i="33"/>
  <c r="M50" i="22" l="1"/>
  <c r="K53" i="22"/>
  <c r="F24" i="26" s="1"/>
  <c r="G24" i="26" s="1"/>
  <c r="H14" i="25"/>
  <c r="D38" i="25" l="1"/>
  <c r="F42" i="25"/>
  <c r="F34" i="25"/>
  <c r="K37" i="24"/>
  <c r="G36" i="24"/>
  <c r="G35" i="24"/>
  <c r="H10" i="25" s="1"/>
  <c r="F33" i="24" l="1"/>
  <c r="H15" i="25" s="1"/>
  <c r="F44" i="25" l="1"/>
  <c r="H43" i="25" s="1"/>
  <c r="F36" i="25"/>
  <c r="D40" i="25"/>
  <c r="E22" i="24"/>
  <c r="F20" i="24"/>
  <c r="D20" i="24"/>
  <c r="F19" i="24"/>
  <c r="D19" i="24"/>
  <c r="F18" i="24"/>
  <c r="D18" i="24"/>
  <c r="H17" i="24" s="1"/>
  <c r="G17" i="24"/>
  <c r="F17" i="24"/>
  <c r="D17" i="24"/>
  <c r="H16" i="24"/>
  <c r="G16" i="24"/>
  <c r="F16" i="24"/>
  <c r="D16" i="24"/>
  <c r="F15" i="24"/>
  <c r="D15" i="24"/>
  <c r="F14" i="24"/>
  <c r="F22" i="24" s="1"/>
  <c r="H13" i="25" s="1"/>
  <c r="H12" i="25" s="1"/>
  <c r="D14" i="24"/>
  <c r="D22" i="24" s="1"/>
  <c r="H13" i="24"/>
  <c r="H22" i="24" s="1"/>
  <c r="G13" i="24"/>
  <c r="F13" i="24"/>
  <c r="D13" i="24"/>
  <c r="I72" i="22" l="1"/>
  <c r="I66" i="22"/>
  <c r="G22" i="24"/>
  <c r="D19" i="16"/>
  <c r="C19" i="16"/>
  <c r="D18" i="16" l="1"/>
  <c r="D17" i="16"/>
  <c r="C17" i="16"/>
  <c r="D14" i="16"/>
  <c r="T21" i="16" s="1"/>
  <c r="E21" i="16"/>
  <c r="S21" i="16" l="1"/>
  <c r="R21" i="16" s="1"/>
  <c r="Q21" i="16" s="1"/>
  <c r="C21" i="16"/>
  <c r="F21" i="16"/>
  <c r="F30" i="16" s="1"/>
  <c r="D21" i="16"/>
  <c r="G21" i="16"/>
  <c r="J53" i="32"/>
  <c r="C28" i="33"/>
  <c r="I48" i="32"/>
  <c r="C27" i="33" s="1"/>
  <c r="I41" i="32"/>
  <c r="C25" i="33" s="1"/>
  <c r="D30" i="16" l="1"/>
  <c r="H21" i="16"/>
  <c r="H30" i="16" s="1"/>
  <c r="J44" i="32"/>
  <c r="J50" i="32"/>
  <c r="J41" i="32"/>
  <c r="C30" i="33"/>
  <c r="I33" i="32"/>
  <c r="C19" i="33" s="1"/>
  <c r="I30" i="32"/>
  <c r="G30" i="32"/>
  <c r="G31" i="32" s="1"/>
  <c r="I28" i="32"/>
  <c r="C17" i="33" s="1"/>
  <c r="I26" i="32"/>
  <c r="C16" i="33" s="1"/>
  <c r="G24" i="32"/>
  <c r="I15" i="32"/>
  <c r="G15" i="32"/>
  <c r="J28" i="32" l="1"/>
  <c r="J26" i="32"/>
  <c r="J30" i="32"/>
  <c r="J15" i="32"/>
  <c r="H19" i="33"/>
  <c r="J33" i="32"/>
  <c r="J38" i="32"/>
  <c r="J35" i="32"/>
  <c r="G55" i="32" l="1"/>
  <c r="J11" i="32"/>
  <c r="D16" i="31" l="1"/>
  <c r="E16" i="31" s="1"/>
  <c r="D12" i="31"/>
  <c r="J28" i="10" l="1"/>
  <c r="C79" i="35"/>
  <c r="C17" i="31"/>
  <c r="H33" i="6" l="1"/>
  <c r="H32" i="6"/>
  <c r="H31" i="6"/>
  <c r="H29" i="6"/>
  <c r="E34" i="6"/>
  <c r="E38" i="6" s="1"/>
  <c r="H26" i="6"/>
  <c r="G28" i="22" s="1"/>
  <c r="H30" i="6" l="1"/>
  <c r="H27" i="6"/>
  <c r="H19" i="6"/>
  <c r="H20" i="22" l="1"/>
  <c r="M20" i="22" s="1"/>
  <c r="L19" i="31"/>
  <c r="L21" i="31" s="1"/>
  <c r="L23" i="31" s="1"/>
  <c r="F37" i="6" s="1"/>
  <c r="H37" i="6" s="1"/>
  <c r="E14" i="6"/>
  <c r="E40" i="6" s="1"/>
  <c r="H13" i="6"/>
  <c r="H12" i="6"/>
  <c r="D17" i="27" s="1"/>
  <c r="D18" i="27" l="1"/>
  <c r="F18" i="27" s="1"/>
  <c r="F17" i="27"/>
  <c r="H14" i="22"/>
  <c r="H12" i="22"/>
  <c r="H11" i="22"/>
  <c r="H13" i="22"/>
  <c r="H50" i="6"/>
  <c r="M10" i="22" l="1"/>
  <c r="J13" i="22"/>
  <c r="K13" i="22" s="1"/>
  <c r="F11" i="26" s="1"/>
  <c r="G11" i="26" s="1"/>
  <c r="F21" i="25"/>
  <c r="F28" i="25"/>
  <c r="E16" i="33"/>
  <c r="C12" i="33"/>
  <c r="D12" i="33" s="1"/>
  <c r="C11" i="33"/>
  <c r="D11" i="33" s="1"/>
  <c r="H20" i="33"/>
  <c r="H17" i="33"/>
  <c r="C10" i="33"/>
  <c r="D10" i="33" s="1"/>
  <c r="J31" i="22"/>
  <c r="K31" i="22" s="1"/>
  <c r="F17" i="26" s="1"/>
  <c r="G17" i="26" s="1"/>
  <c r="E28" i="10"/>
  <c r="H22" i="6"/>
  <c r="G15" i="22" s="1"/>
  <c r="E18" i="31"/>
  <c r="F9" i="10" l="1"/>
  <c r="L9" i="10" s="1"/>
  <c r="H10" i="6"/>
  <c r="F10" i="6" s="1"/>
  <c r="H19" i="22"/>
  <c r="H18" i="22"/>
  <c r="J18" i="22" s="1"/>
  <c r="K18" i="22" s="1"/>
  <c r="F12" i="26" s="1"/>
  <c r="G12" i="26" s="1"/>
  <c r="H17" i="22"/>
  <c r="H16" i="22"/>
  <c r="F25" i="6"/>
  <c r="H25" i="6" s="1"/>
  <c r="H27" i="22" s="1"/>
  <c r="M27" i="22" s="1"/>
  <c r="F24" i="6"/>
  <c r="F23" i="6"/>
  <c r="H23" i="6" s="1"/>
  <c r="H21" i="22" s="1"/>
  <c r="E10" i="33"/>
  <c r="M21" i="22" l="1"/>
  <c r="M15" i="22"/>
  <c r="G10" i="33"/>
  <c r="H24" i="6"/>
  <c r="H34" i="6" l="1"/>
  <c r="K34" i="6" s="1"/>
  <c r="G22" i="22"/>
  <c r="H24" i="22"/>
  <c r="H25" i="22"/>
  <c r="H23" i="22"/>
  <c r="M22" i="22" l="1"/>
  <c r="M62" i="22" s="1"/>
  <c r="H62" i="22"/>
  <c r="K10" i="28" l="1"/>
  <c r="I46" i="32" l="1"/>
  <c r="I24" i="32"/>
  <c r="I31" i="32"/>
  <c r="C18" i="33" s="1"/>
  <c r="I39" i="32"/>
  <c r="C21" i="33" l="1"/>
  <c r="G21" i="33" s="1"/>
  <c r="G23" i="33" s="1"/>
  <c r="C15" i="33"/>
  <c r="F15" i="33" s="1"/>
  <c r="F23" i="33" s="1"/>
  <c r="J46" i="32"/>
  <c r="C22" i="33"/>
  <c r="D22" i="33"/>
  <c r="J24" i="32"/>
  <c r="D14" i="33"/>
  <c r="J31" i="32"/>
  <c r="H18" i="33"/>
  <c r="H23" i="33" s="1"/>
  <c r="J39" i="32"/>
  <c r="J17" i="32"/>
  <c r="E13" i="33"/>
  <c r="E23" i="33" s="1"/>
  <c r="J22" i="32"/>
  <c r="D23" i="33" l="1"/>
  <c r="J23" i="33" s="1"/>
  <c r="I32" i="32" s="1"/>
  <c r="I55" i="32" s="1"/>
  <c r="M55" i="32" s="1"/>
  <c r="J55" i="32"/>
  <c r="F36" i="6" s="1"/>
  <c r="H36" i="6" s="1"/>
  <c r="H38" i="6" s="1"/>
  <c r="C23" i="33"/>
  <c r="C33" i="33" s="1"/>
  <c r="K38" i="6"/>
  <c r="F24" i="33" l="1"/>
  <c r="F31" i="33" s="1"/>
  <c r="F33" i="33" s="1"/>
  <c r="H66" i="22" s="1"/>
  <c r="J66" i="22" s="1"/>
  <c r="K66" i="22" s="1"/>
  <c r="E24" i="33"/>
  <c r="E31" i="33" s="1"/>
  <c r="E33" i="33" s="1"/>
  <c r="H65" i="22" s="1"/>
  <c r="G24" i="33"/>
  <c r="G31" i="33" s="1"/>
  <c r="G33" i="33" s="1"/>
  <c r="H67" i="22" s="1"/>
  <c r="D24" i="33"/>
  <c r="H24" i="33"/>
  <c r="H31" i="33" s="1"/>
  <c r="H33" i="33" s="1"/>
  <c r="H68" i="22" s="1"/>
  <c r="J68" i="22" s="1"/>
  <c r="K68" i="22" s="1"/>
  <c r="H45" i="6"/>
  <c r="D31" i="33" l="1"/>
  <c r="D33" i="33" s="1"/>
  <c r="H64" i="22" s="1"/>
  <c r="J24" i="33"/>
  <c r="F30" i="26"/>
  <c r="G28" i="26"/>
  <c r="G30" i="26" s="1"/>
  <c r="J33" i="33"/>
  <c r="O68" i="22"/>
  <c r="F38" i="24"/>
  <c r="G38" i="24" s="1"/>
  <c r="H9" i="25" s="1"/>
  <c r="F23" i="25"/>
  <c r="H22" i="25"/>
  <c r="F25" i="25" s="1"/>
  <c r="E22" i="10"/>
  <c r="G22" i="10" s="1"/>
  <c r="G23" i="10" s="1"/>
  <c r="F39" i="25"/>
  <c r="E23" i="10"/>
  <c r="H39" i="25" l="1"/>
  <c r="I41" i="22"/>
  <c r="J41" i="22" s="1"/>
  <c r="K41" i="22" s="1"/>
  <c r="H20" i="26" s="1"/>
  <c r="I44" i="22"/>
  <c r="J44" i="22" s="1"/>
  <c r="K44" i="22" s="1"/>
  <c r="K32" i="26"/>
  <c r="I67" i="22"/>
  <c r="J67" i="22" s="1"/>
  <c r="K67" i="22" s="1"/>
  <c r="H28" i="26" s="1"/>
  <c r="I55" i="22"/>
  <c r="J55" i="22" s="1"/>
  <c r="K55" i="22" s="1"/>
  <c r="I39" i="22"/>
  <c r="J39" i="22" s="1"/>
  <c r="K39" i="22" s="1"/>
  <c r="I25" i="22"/>
  <c r="J25" i="22" s="1"/>
  <c r="K25" i="22" s="1"/>
  <c r="H15" i="26" s="1"/>
  <c r="I17" i="22"/>
  <c r="J17" i="22" s="1"/>
  <c r="K17" i="22" s="1"/>
  <c r="I71" i="22"/>
  <c r="I12" i="22"/>
  <c r="J12" i="22" s="1"/>
  <c r="K12" i="22" s="1"/>
  <c r="I73" i="22"/>
  <c r="I32" i="22"/>
  <c r="J32" i="22" s="1"/>
  <c r="K32" i="22" s="1"/>
  <c r="H17" i="26" s="1"/>
  <c r="I48" i="22"/>
  <c r="J48" i="22" s="1"/>
  <c r="K48" i="22" s="1"/>
  <c r="H22" i="26" s="1"/>
  <c r="I61" i="22"/>
  <c r="J61" i="22" s="1"/>
  <c r="K61" i="22" s="1"/>
  <c r="H27" i="26" s="1"/>
  <c r="I52" i="22"/>
  <c r="J52" i="22" s="1"/>
  <c r="K52" i="22" s="1"/>
  <c r="I24" i="22"/>
  <c r="J24" i="22" s="1"/>
  <c r="K24" i="22" s="1"/>
  <c r="I36" i="22"/>
  <c r="J36" i="22" s="1"/>
  <c r="K36" i="22" s="1"/>
  <c r="I65" i="22"/>
  <c r="J65" i="22" s="1"/>
  <c r="K65" i="22" s="1"/>
  <c r="I47" i="22"/>
  <c r="J47" i="22" s="1"/>
  <c r="K47" i="22" s="1"/>
  <c r="I59" i="22"/>
  <c r="J59" i="22" s="1"/>
  <c r="K59" i="22" s="1"/>
  <c r="I30" i="22"/>
  <c r="J30" i="22" s="1"/>
  <c r="K30" i="22" s="1"/>
  <c r="D25" i="25"/>
  <c r="H25" i="25" s="1"/>
  <c r="D28" i="25" s="1"/>
  <c r="H28" i="25" s="1"/>
  <c r="F32" i="25" s="1"/>
  <c r="H31" i="25" s="1"/>
  <c r="H11" i="25"/>
  <c r="F6" i="10"/>
  <c r="F8" i="10" s="1"/>
  <c r="H25" i="26" l="1"/>
  <c r="N55" i="22"/>
  <c r="D25" i="26"/>
  <c r="J25" i="26"/>
  <c r="F19" i="25"/>
  <c r="H18" i="25"/>
  <c r="D36" i="25" s="1"/>
  <c r="D34" i="25"/>
  <c r="L8" i="10"/>
  <c r="H9" i="6"/>
  <c r="F9" i="6" s="1"/>
  <c r="K9" i="6" s="1"/>
  <c r="F10" i="10"/>
  <c r="H49" i="6"/>
  <c r="H55" i="6" l="1"/>
  <c r="K55" i="6" s="1"/>
  <c r="H14" i="6"/>
  <c r="H40" i="6" s="1"/>
  <c r="H35" i="25"/>
  <c r="L10" i="10"/>
  <c r="I43" i="22" l="1"/>
  <c r="J43" i="22" s="1"/>
  <c r="K43" i="22" s="1"/>
  <c r="N44" i="22" s="1"/>
  <c r="I21" i="22"/>
  <c r="J21" i="22" s="1"/>
  <c r="K21" i="22" s="1"/>
  <c r="N21" i="22" s="1"/>
  <c r="D14" i="26" s="1"/>
  <c r="E14" i="26" s="1"/>
  <c r="J14" i="26" s="1"/>
  <c r="I33" i="22"/>
  <c r="J33" i="22" s="1"/>
  <c r="K33" i="22" s="1"/>
  <c r="I11" i="22"/>
  <c r="J11" i="22" s="1"/>
  <c r="I51" i="22"/>
  <c r="J51" i="22" s="1"/>
  <c r="K51" i="22" s="1"/>
  <c r="E24" i="26" s="1"/>
  <c r="I49" i="22"/>
  <c r="J49" i="22" s="1"/>
  <c r="K49" i="22" s="1"/>
  <c r="I16" i="22"/>
  <c r="J16" i="22" s="1"/>
  <c r="K16" i="22" s="1"/>
  <c r="E12" i="26" s="1"/>
  <c r="I38" i="22"/>
  <c r="J38" i="22" s="1"/>
  <c r="K38" i="22" s="1"/>
  <c r="I23" i="22"/>
  <c r="J23" i="22" s="1"/>
  <c r="K23" i="22" s="1"/>
  <c r="E15" i="26" s="1"/>
  <c r="J15" i="26" s="1"/>
  <c r="I54" i="22"/>
  <c r="J54" i="22" s="1"/>
  <c r="K54" i="22" s="1"/>
  <c r="H24" i="26" s="1"/>
  <c r="J24" i="26" s="1"/>
  <c r="I19" i="22"/>
  <c r="J19" i="22" s="1"/>
  <c r="K19" i="22" s="1"/>
  <c r="H12" i="26" s="1"/>
  <c r="I14" i="22"/>
  <c r="J14" i="22" s="1"/>
  <c r="K14" i="22" s="1"/>
  <c r="H11" i="26" s="1"/>
  <c r="I35" i="22"/>
  <c r="J35" i="22" s="1"/>
  <c r="K35" i="22" s="1"/>
  <c r="N36" i="22" s="1"/>
  <c r="I46" i="22"/>
  <c r="J46" i="22" s="1"/>
  <c r="K46" i="22" s="1"/>
  <c r="E22" i="26" s="1"/>
  <c r="J22" i="26" s="1"/>
  <c r="I20" i="22"/>
  <c r="J20" i="22" s="1"/>
  <c r="K20" i="22" s="1"/>
  <c r="I70" i="22"/>
  <c r="I58" i="22"/>
  <c r="J58" i="22" s="1"/>
  <c r="K58" i="22" s="1"/>
  <c r="E27" i="26" s="1"/>
  <c r="J27" i="26" s="1"/>
  <c r="I64" i="22"/>
  <c r="J64" i="22" s="1"/>
  <c r="K64" i="22" s="1"/>
  <c r="E28" i="26" s="1"/>
  <c r="J28" i="26" s="1"/>
  <c r="I27" i="22"/>
  <c r="J27" i="22" s="1"/>
  <c r="K27" i="22" s="1"/>
  <c r="I29" i="22"/>
  <c r="J29" i="22" s="1"/>
  <c r="K29" i="22" s="1"/>
  <c r="E17" i="26" s="1"/>
  <c r="J17" i="26" s="1"/>
  <c r="D21" i="26" l="1"/>
  <c r="E21" i="26"/>
  <c r="J21" i="26" s="1"/>
  <c r="D19" i="26"/>
  <c r="E19" i="26"/>
  <c r="J19" i="26" s="1"/>
  <c r="E20" i="26"/>
  <c r="J20" i="26" s="1"/>
  <c r="N41" i="22"/>
  <c r="D20" i="26" s="1"/>
  <c r="H23" i="26"/>
  <c r="J23" i="26" s="1"/>
  <c r="N49" i="22"/>
  <c r="H18" i="26"/>
  <c r="D18" i="26" s="1"/>
  <c r="N33" i="22"/>
  <c r="H13" i="26"/>
  <c r="H30" i="26" s="1"/>
  <c r="D31" i="26" s="1"/>
  <c r="N20" i="22"/>
  <c r="E16" i="26"/>
  <c r="D16" i="26" s="1"/>
  <c r="N27" i="22"/>
  <c r="J12" i="26"/>
  <c r="K81" i="22"/>
  <c r="N68" i="22"/>
  <c r="D28" i="26" s="1"/>
  <c r="N61" i="22"/>
  <c r="D27" i="26" s="1"/>
  <c r="N48" i="22"/>
  <c r="D22" i="26" s="1"/>
  <c r="N19" i="22"/>
  <c r="N54" i="22"/>
  <c r="D24" i="26" s="1"/>
  <c r="N25" i="22"/>
  <c r="D15" i="26" s="1"/>
  <c r="N32" i="22"/>
  <c r="D17" i="26" s="1"/>
  <c r="K11" i="22"/>
  <c r="J62" i="22"/>
  <c r="D13" i="26" l="1"/>
  <c r="D23" i="26"/>
  <c r="J13" i="26"/>
  <c r="J18" i="26"/>
  <c r="J16" i="26"/>
  <c r="K62" i="22"/>
  <c r="O62" i="22" s="1"/>
  <c r="E11" i="26"/>
  <c r="J11" i="26" s="1"/>
  <c r="D12" i="26"/>
  <c r="N14" i="22"/>
  <c r="N62" i="22" s="1"/>
  <c r="K82" i="22"/>
  <c r="Q68" i="22" l="1"/>
  <c r="E30" i="26"/>
  <c r="K30" i="26" s="1"/>
  <c r="D11" i="26" l="1"/>
  <c r="D30" i="26" s="1"/>
  <c r="D32" i="26" l="1"/>
  <c r="G34" i="26" s="1"/>
  <c r="G36" i="26" s="1"/>
  <c r="G38" i="26" s="1"/>
  <c r="G12" i="27" s="1"/>
  <c r="D12" i="27"/>
  <c r="E34" i="26"/>
  <c r="F34" i="26"/>
  <c r="F36" i="26" s="1"/>
  <c r="F38" i="26" s="1"/>
  <c r="F12" i="27" s="1"/>
  <c r="D34" i="26" l="1"/>
  <c r="E36" i="26"/>
  <c r="K36" i="26" l="1"/>
  <c r="D36" i="26"/>
  <c r="D38" i="26" s="1"/>
  <c r="E38" i="26"/>
  <c r="J38" i="26" s="1"/>
  <c r="I21" i="16"/>
  <c r="I24" i="16" s="1"/>
  <c r="E12" i="27" l="1"/>
  <c r="J12" i="27" s="1"/>
  <c r="I26" i="16"/>
  <c r="L26" i="16" s="1"/>
  <c r="C38" i="39" l="1"/>
  <c r="D38" i="39" l="1"/>
  <c r="H70" i="22" s="1"/>
  <c r="E38" i="39"/>
  <c r="H71" i="22" s="1"/>
  <c r="F38" i="39"/>
  <c r="H72" i="22" s="1"/>
  <c r="G38" i="39"/>
  <c r="H73" i="22" s="1"/>
  <c r="H38" i="39"/>
  <c r="H74" i="22" s="1"/>
  <c r="J73" i="22" l="1"/>
  <c r="K73" i="22" s="1"/>
  <c r="F13" i="27" s="1"/>
  <c r="J74" i="22"/>
  <c r="K74" i="22" s="1"/>
  <c r="G13" i="27" s="1"/>
  <c r="G14" i="27" s="1"/>
  <c r="J71" i="22"/>
  <c r="K71" i="22" s="1"/>
  <c r="J72" i="22"/>
  <c r="K72" i="22" s="1"/>
  <c r="O74" i="22"/>
  <c r="J70" i="22"/>
  <c r="K70" i="22" s="1"/>
  <c r="H75" i="22"/>
  <c r="M73" i="22" l="1"/>
  <c r="E13" i="27"/>
  <c r="F14" i="27"/>
  <c r="K75" i="22"/>
  <c r="N74" i="22"/>
  <c r="J75" i="22"/>
  <c r="N75" i="22" l="1"/>
  <c r="Q74" i="22"/>
  <c r="J13" i="27"/>
  <c r="D13" i="27"/>
  <c r="D14" i="27" s="1"/>
  <c r="D23" i="27" s="1"/>
  <c r="E14" i="27"/>
  <c r="J14" i="27" s="1"/>
  <c r="J78" i="22"/>
  <c r="J85" i="22" s="1"/>
  <c r="J86" i="22" s="1"/>
  <c r="O75" i="22"/>
  <c r="G15" i="27" l="1"/>
  <c r="E15" i="27"/>
  <c r="F15" i="27"/>
  <c r="L36" i="2"/>
  <c r="T6" i="36" s="1"/>
  <c r="T13" i="36" s="1"/>
  <c r="J82" i="22"/>
  <c r="N78" i="22"/>
  <c r="D79" i="35"/>
  <c r="E79" i="35" s="1"/>
  <c r="F9" i="35" s="1"/>
  <c r="F19" i="27" l="1"/>
  <c r="F21" i="27"/>
  <c r="E19" i="27"/>
  <c r="E21" i="27"/>
  <c r="G19" i="27"/>
  <c r="G21" i="27"/>
  <c r="H53" i="6"/>
  <c r="H54" i="6" s="1"/>
  <c r="J8" i="35" s="1"/>
  <c r="U6" i="36"/>
  <c r="V6" i="36" s="1"/>
  <c r="U13" i="36"/>
  <c r="V13" i="36" s="1"/>
  <c r="F23" i="27" l="1"/>
  <c r="D22" i="28" s="1"/>
  <c r="D24" i="28" s="1"/>
  <c r="G23" i="27"/>
  <c r="E23" i="27"/>
  <c r="F22" i="28"/>
  <c r="F24" i="28" s="1"/>
  <c r="K54" i="6"/>
  <c r="K57" i="6" s="1"/>
  <c r="K59" i="6" s="1"/>
  <c r="H57" i="6"/>
  <c r="H59" i="6" s="1"/>
  <c r="J23" i="27" l="1"/>
  <c r="G31" i="28"/>
  <c r="G33" i="28"/>
  <c r="G32" i="28"/>
  <c r="G30" i="28"/>
  <c r="G29" i="28"/>
  <c r="G28" i="28"/>
  <c r="D9" i="28"/>
  <c r="D32" i="28"/>
  <c r="D30" i="28"/>
  <c r="D33" i="28"/>
  <c r="D31" i="28"/>
  <c r="D29" i="28"/>
  <c r="D28" i="28"/>
  <c r="D12" i="28" l="1"/>
  <c r="D14" i="28" s="1"/>
  <c r="H31" i="28"/>
  <c r="H29" i="28"/>
  <c r="H28" i="28"/>
  <c r="H30" i="28"/>
  <c r="H33" i="28"/>
  <c r="H32" i="28"/>
  <c r="L21" i="2" l="1"/>
  <c r="F48" i="35" s="1"/>
  <c r="G48" i="35" s="1"/>
  <c r="L25" i="2"/>
  <c r="F61" i="35" s="1"/>
  <c r="G61" i="35" s="1"/>
  <c r="L33" i="2"/>
  <c r="F74" i="35" s="1"/>
  <c r="G74" i="35" s="1"/>
  <c r="L13" i="2"/>
  <c r="L17" i="2"/>
  <c r="F35" i="35" s="1"/>
  <c r="G35" i="35" s="1"/>
  <c r="L29" i="2"/>
  <c r="L24" i="2"/>
  <c r="F17" i="36" s="1"/>
  <c r="G17" i="36" s="1"/>
  <c r="H17" i="36" s="1"/>
  <c r="L20" i="2"/>
  <c r="F47" i="35" s="1"/>
  <c r="G47" i="35" s="1"/>
  <c r="L12" i="2"/>
  <c r="F14" i="36" s="1"/>
  <c r="L28" i="2"/>
  <c r="F18" i="36" s="1"/>
  <c r="G18" i="36" s="1"/>
  <c r="H18" i="36" s="1"/>
  <c r="L32" i="2"/>
  <c r="F73" i="35" s="1"/>
  <c r="G73" i="35" s="1"/>
  <c r="L16" i="2"/>
  <c r="E20" i="41" s="1"/>
  <c r="F20" i="41" s="1"/>
  <c r="G20" i="41" s="1"/>
  <c r="F15" i="36" l="1"/>
  <c r="G15" i="36" s="1"/>
  <c r="H15" i="36" s="1"/>
  <c r="F34" i="35"/>
  <c r="G34" i="35" s="1"/>
  <c r="G36" i="35" s="1"/>
  <c r="G75" i="35"/>
  <c r="G49" i="35"/>
  <c r="E33" i="41"/>
  <c r="F33" i="41" s="1"/>
  <c r="G33" i="41" s="1"/>
  <c r="E34" i="41"/>
  <c r="F34" i="41" s="1"/>
  <c r="G34" i="41" s="1"/>
  <c r="F19" i="36"/>
  <c r="G19" i="36" s="1"/>
  <c r="H19" i="36" s="1"/>
  <c r="E13" i="41"/>
  <c r="F13" i="41" s="1"/>
  <c r="G13" i="41" s="1"/>
  <c r="F60" i="35"/>
  <c r="G60" i="35" s="1"/>
  <c r="G62" i="35" s="1"/>
  <c r="F21" i="35"/>
  <c r="G21" i="35" s="1"/>
  <c r="G14" i="36"/>
  <c r="H14" i="36" s="1"/>
  <c r="E21" i="41"/>
  <c r="E22" i="41" s="1"/>
  <c r="F22" i="41" s="1"/>
  <c r="G22" i="41" s="1"/>
  <c r="L14" i="36"/>
  <c r="M14" i="36" s="1"/>
  <c r="N14" i="36" s="1"/>
  <c r="F22" i="35"/>
  <c r="G22" i="35" s="1"/>
  <c r="F16" i="36"/>
  <c r="G16" i="36" s="1"/>
  <c r="H16" i="36" s="1"/>
  <c r="E27" i="41"/>
  <c r="E28" i="41" s="1"/>
  <c r="E26" i="41"/>
  <c r="F26" i="41" s="1"/>
  <c r="G26" i="41" s="1"/>
  <c r="E14" i="41"/>
  <c r="G23" i="35" l="1"/>
  <c r="E35" i="41"/>
  <c r="E23" i="41"/>
  <c r="F23" i="41" s="1"/>
  <c r="G23" i="41" s="1"/>
  <c r="F6" i="35"/>
  <c r="F8" i="35" s="1"/>
  <c r="F21" i="41"/>
  <c r="G21" i="41" s="1"/>
  <c r="F27" i="41"/>
  <c r="G27" i="41" s="1"/>
  <c r="D32" i="36"/>
  <c r="F32" i="36" s="1"/>
  <c r="G32" i="36" s="1"/>
  <c r="F28" i="41"/>
  <c r="G28" i="41" s="1"/>
  <c r="E29" i="41"/>
  <c r="F10" i="35"/>
  <c r="E15" i="41"/>
  <c r="F14" i="41"/>
  <c r="G14" i="41" s="1"/>
  <c r="F35" i="41"/>
  <c r="G35" i="41" s="1"/>
  <c r="E36" i="41"/>
  <c r="F36" i="41" s="1"/>
  <c r="G36" i="41" s="1"/>
  <c r="E30" i="41" l="1"/>
  <c r="F30" i="41" s="1"/>
  <c r="G30" i="41" s="1"/>
  <c r="F29" i="41"/>
  <c r="G29" i="41" s="1"/>
  <c r="E16" i="41"/>
  <c r="F15" i="41"/>
  <c r="G15" i="41" s="1"/>
  <c r="E17" i="41" l="1"/>
  <c r="F17" i="41" s="1"/>
  <c r="G17" i="41" s="1"/>
  <c r="F16" i="41"/>
  <c r="G16" i="4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 Vilines</author>
  </authors>
  <commentList>
    <comment ref="P8" authorId="0" shapeId="0" xr:uid="{D594A962-9566-41F6-BFA1-801AC0C01EC4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Includes July 2024 increase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 Vilines</author>
  </authors>
  <commentList>
    <comment ref="C8" authorId="0" shapeId="0" xr:uid="{6E832EE9-D495-4D69-929A-43F96C7C710C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Works at least 30 hrs per week and often works more</t>
        </r>
      </text>
    </comment>
    <comment ref="C10" authorId="0" shapeId="0" xr:uid="{B8763F61-F67F-41A0-8920-D5459E997946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Works at least 30 hrs per week and often works more</t>
        </r>
      </text>
    </comment>
    <comment ref="C15" authorId="0" shapeId="0" xr:uid="{EDC585F1-6D99-421C-830F-C991A26E7C76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May retire soon, but will be replaced
</t>
        </r>
      </text>
    </comment>
    <comment ref="C17" authorId="0" shapeId="0" xr:uid="{402F44E0-9000-482D-ACCA-C2BBCD8A572D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Will be replaced with new employee at lower rate than Erica was making
</t>
        </r>
      </text>
    </comment>
    <comment ref="C26" authorId="0" shapeId="0" xr:uid="{A6AC981B-8457-4530-80E3-741A6288F745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Currently serving a Interim Office mgr, but will be returned to lower wage after Erica's repl hired.</t>
        </r>
      </text>
    </comment>
    <comment ref="C27" authorId="0" shapeId="0" xr:uid="{86FBFCB8-1553-4ACF-AC9B-BC8E1BE65D1A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Vacant position - will be filled soon</t>
        </r>
      </text>
    </comment>
    <comment ref="C33" authorId="0" shapeId="0" xr:uid="{ADCACCF3-0F7E-4C02-8C32-0AD4A887826E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new full time employee
</t>
        </r>
      </text>
    </comment>
    <comment ref="C35" authorId="0" shapeId="0" xr:uid="{C91B87CA-2BE3-4B96-A0F9-73872B58FA96}">
      <text>
        <r>
          <rPr>
            <b/>
            <sz val="9"/>
            <color indexed="81"/>
            <rFont val="Tahoma"/>
            <family val="2"/>
          </rPr>
          <t xml:space="preserve">Alan Vilines:
Vacant position - will be filled soon
</t>
        </r>
      </text>
    </comment>
  </commentList>
</comments>
</file>

<file path=xl/sharedStrings.xml><?xml version="1.0" encoding="utf-8"?>
<sst xmlns="http://schemas.openxmlformats.org/spreadsheetml/2006/main" count="1085" uniqueCount="574">
  <si>
    <t>Total Operating Expenses</t>
  </si>
  <si>
    <t>Taxes Other Than Income</t>
  </si>
  <si>
    <t>Salaries and Wages - Employees</t>
  </si>
  <si>
    <t>Salaries and Wages - Officers</t>
  </si>
  <si>
    <t>Employee Pensions and Benefits</t>
  </si>
  <si>
    <t>Purchased Power</t>
  </si>
  <si>
    <t>Materials and Supplies</t>
  </si>
  <si>
    <t>Contractual Services</t>
  </si>
  <si>
    <t>Miscellaneous Expenses</t>
  </si>
  <si>
    <t>Transportation Expenses</t>
  </si>
  <si>
    <t>Proposed</t>
  </si>
  <si>
    <t>Percent</t>
  </si>
  <si>
    <t>Interest Income</t>
  </si>
  <si>
    <t>First</t>
  </si>
  <si>
    <t>Over</t>
  </si>
  <si>
    <t>Principal</t>
  </si>
  <si>
    <t>Interest</t>
  </si>
  <si>
    <t>Total</t>
  </si>
  <si>
    <t>Totals</t>
  </si>
  <si>
    <t>Gallons</t>
  </si>
  <si>
    <t>Sales for Resale</t>
  </si>
  <si>
    <t>Other Water Revenues:</t>
  </si>
  <si>
    <t>Misc. Service Revenues</t>
  </si>
  <si>
    <t>Depreciation Expense</t>
  </si>
  <si>
    <t>REVENUE REQUIREMENTS</t>
  </si>
  <si>
    <t>Plus:</t>
  </si>
  <si>
    <t>Less:</t>
  </si>
  <si>
    <t>Other Operating Revenue</t>
  </si>
  <si>
    <t>Reported</t>
  </si>
  <si>
    <t>Customer</t>
  </si>
  <si>
    <t>Table F</t>
  </si>
  <si>
    <t>Values</t>
  </si>
  <si>
    <t>Commodity</t>
  </si>
  <si>
    <t>Chemicals</t>
  </si>
  <si>
    <t>WHOLESALE RATE COMPUTATION</t>
  </si>
  <si>
    <t>Allocation</t>
  </si>
  <si>
    <t>Wholesale</t>
  </si>
  <si>
    <t>Factor</t>
  </si>
  <si>
    <t>Retail</t>
  </si>
  <si>
    <t>Salaries &amp; Wages</t>
  </si>
  <si>
    <t>Customer Accts.</t>
  </si>
  <si>
    <t>Trans./Distribution</t>
  </si>
  <si>
    <t>Admin &amp; General</t>
  </si>
  <si>
    <t>Employee Benefits + Taxes</t>
  </si>
  <si>
    <t>Materials &amp; Supplies</t>
  </si>
  <si>
    <t>Contr. Services - Other</t>
  </si>
  <si>
    <t>Transportation Expense</t>
  </si>
  <si>
    <t>Misc. Expense</t>
  </si>
  <si>
    <t>Trans. / Distribution</t>
  </si>
  <si>
    <t>Debt Service &amp; Coverage</t>
  </si>
  <si>
    <t>Wholesale Gallons Sold (x 1,000)</t>
  </si>
  <si>
    <t>Wholesale Rate per 1,000 Gallons</t>
  </si>
  <si>
    <t>Salaries - Officers (A &amp; G)</t>
  </si>
  <si>
    <t>Contr. Services - Acct. &amp; Legal</t>
  </si>
  <si>
    <t>Trans. &amp;</t>
  </si>
  <si>
    <t>General</t>
  </si>
  <si>
    <t>Distribution</t>
  </si>
  <si>
    <t>&amp; Admin.</t>
  </si>
  <si>
    <t>SYSTEM INFORMATION</t>
  </si>
  <si>
    <t>Schedule of All Mains and Jointly Used Mains</t>
  </si>
  <si>
    <t>Total System</t>
  </si>
  <si>
    <t>Joint Use</t>
  </si>
  <si>
    <t>Main</t>
  </si>
  <si>
    <t>Length</t>
  </si>
  <si>
    <t>Miles of</t>
  </si>
  <si>
    <t>Inch -</t>
  </si>
  <si>
    <t>Size</t>
  </si>
  <si>
    <t>(feet)</t>
  </si>
  <si>
    <t>Mains</t>
  </si>
  <si>
    <t>Miles</t>
  </si>
  <si>
    <t>Water Purchased, Sold and Used</t>
  </si>
  <si>
    <t>x 1,000</t>
  </si>
  <si>
    <t>Water Produced</t>
  </si>
  <si>
    <t xml:space="preserve">   Retail Sales</t>
  </si>
  <si>
    <t xml:space="preserve">   Wholesale Sales</t>
  </si>
  <si>
    <t>Total Water Sold</t>
  </si>
  <si>
    <t>Water Used at WTP</t>
  </si>
  <si>
    <t>System Flushing</t>
  </si>
  <si>
    <t>Line Losses</t>
  </si>
  <si>
    <t>Fire Dept. &amp; Other</t>
  </si>
  <si>
    <t>Table D</t>
  </si>
  <si>
    <t>WHOLESALE ALLOCATION FACTORS</t>
  </si>
  <si>
    <t>FACTOR</t>
  </si>
  <si>
    <t>Line Loss Percentage</t>
  </si>
  <si>
    <t>Plant Use Percentage</t>
  </si>
  <si>
    <t>Line Loss + Plant Use</t>
  </si>
  <si>
    <t>Joint Use Inch-miles</t>
  </si>
  <si>
    <t>Total Inch-Miles</t>
  </si>
  <si>
    <t>Water Sold - Wholesale</t>
  </si>
  <si>
    <t>Water Sold - Total</t>
  </si>
  <si>
    <t>Production Multiplier</t>
  </si>
  <si>
    <t xml:space="preserve">                 ---------------------</t>
  </si>
  <si>
    <t>=</t>
  </si>
  <si>
    <t>-</t>
  </si>
  <si>
    <t>Joint Use Pipeline Ratio</t>
  </si>
  <si>
    <t>x</t>
  </si>
  <si>
    <t>Joint Share Line Loss + Plant Use</t>
  </si>
  <si>
    <t>+</t>
  </si>
  <si>
    <t>Wholesale Production Multiplier</t>
  </si>
  <si>
    <t>Production Allocation Factor</t>
  </si>
  <si>
    <t>-----------------</t>
  </si>
  <si>
    <t>Pipeline Transmission Factor</t>
  </si>
  <si>
    <t>Use Factor</t>
  </si>
  <si>
    <t>Admin. &amp;</t>
  </si>
  <si>
    <t xml:space="preserve">     Less Admin. &amp; General</t>
  </si>
  <si>
    <t>Percentages w/o A &amp; G</t>
  </si>
  <si>
    <t>Total w/o A &amp; G</t>
  </si>
  <si>
    <t>Allocation of Admin. &amp; General</t>
  </si>
  <si>
    <t>Total O &amp; M Expense Allocations</t>
  </si>
  <si>
    <t>ALLOCATION OF OPERATION &amp; MAINTENANCE EXPENSE - RETAIL</t>
  </si>
  <si>
    <t>Operation &amp; Maintenance Expenses</t>
  </si>
  <si>
    <t xml:space="preserve">     Forfeited Discounts</t>
  </si>
  <si>
    <t>Commodity Costs</t>
  </si>
  <si>
    <t>Customer Costs</t>
  </si>
  <si>
    <t>Existing</t>
  </si>
  <si>
    <t>Change</t>
  </si>
  <si>
    <t xml:space="preserve">     Miscellaneous Operating Revenue</t>
  </si>
  <si>
    <t xml:space="preserve">   Non-operating Revenues</t>
  </si>
  <si>
    <t>CALCULATION OF WATER RATES - RETAIL</t>
  </si>
  <si>
    <t>Table A</t>
  </si>
  <si>
    <t>Table B</t>
  </si>
  <si>
    <t>SUMMARY OF ALLOCATIONS - RETAIL</t>
  </si>
  <si>
    <t>Total Expenses - Retail</t>
  </si>
  <si>
    <t>Table G</t>
  </si>
  <si>
    <t>SCHEDULE OF ADJUSTED OPERATIONS</t>
  </si>
  <si>
    <t>Test Year</t>
  </si>
  <si>
    <t>Adjustments</t>
  </si>
  <si>
    <t>Ref.</t>
  </si>
  <si>
    <t>Proforma</t>
  </si>
  <si>
    <t>Operation and Maintenance</t>
  </si>
  <si>
    <t>Insurance - Gen. Liab. &amp; Workers Comp.</t>
  </si>
  <si>
    <t>Total Operation and Mnt. Expenses</t>
  </si>
  <si>
    <t>Average Annual Principal and Interest Payments</t>
  </si>
  <si>
    <t>Additional Working Capital</t>
  </si>
  <si>
    <t>Proposed Wholesale Sales Revenue</t>
  </si>
  <si>
    <t>Revenue from Retail Sales at Present Rates</t>
  </si>
  <si>
    <t>2020</t>
  </si>
  <si>
    <t>TOTALS</t>
  </si>
  <si>
    <t>Water Loss Adjustment:</t>
  </si>
  <si>
    <t>Produced &amp; Purchased</t>
  </si>
  <si>
    <t>Sold</t>
  </si>
  <si>
    <t>Uses:</t>
  </si>
  <si>
    <t xml:space="preserve">  Flushing</t>
  </si>
  <si>
    <t xml:space="preserve">  WTP</t>
  </si>
  <si>
    <t xml:space="preserve">  Fire</t>
  </si>
  <si>
    <t xml:space="preserve">  Other</t>
  </si>
  <si>
    <t>Line Brks.</t>
  </si>
  <si>
    <t>Line Leaks</t>
  </si>
  <si>
    <t xml:space="preserve">  water loss percentage</t>
  </si>
  <si>
    <t>check</t>
  </si>
  <si>
    <t xml:space="preserve">  allowable in rates</t>
  </si>
  <si>
    <t xml:space="preserve">  adjustment percentage</t>
  </si>
  <si>
    <t>Capitalized Expense Adjustments:</t>
  </si>
  <si>
    <t>Adjustment</t>
  </si>
  <si>
    <t>Forfeited Discounts</t>
  </si>
  <si>
    <t>Total Metered Retail Sales</t>
  </si>
  <si>
    <t>DEPRECIATION EXPENSE ADJUSTMENTS</t>
  </si>
  <si>
    <t>Depreciation</t>
  </si>
  <si>
    <t>Assets</t>
  </si>
  <si>
    <t>Date in</t>
  </si>
  <si>
    <t>Original</t>
  </si>
  <si>
    <t>Expense</t>
  </si>
  <si>
    <t>Service</t>
  </si>
  <si>
    <t>Life</t>
  </si>
  <si>
    <t>Depr. Exp.</t>
  </si>
  <si>
    <t>SUMMARY</t>
  </si>
  <si>
    <t>FIRST</t>
  </si>
  <si>
    <t>ALL OVER</t>
  </si>
  <si>
    <t>USAGE</t>
  </si>
  <si>
    <t>BILLS</t>
  </si>
  <si>
    <t>GALLONS</t>
  </si>
  <si>
    <t>TOTAL</t>
  </si>
  <si>
    <t xml:space="preserve">     REVENUE BY RATE INCREMENT</t>
  </si>
  <si>
    <t>RATE</t>
  </si>
  <si>
    <t>REVENUE</t>
  </si>
  <si>
    <t xml:space="preserve"> = Total water used</t>
  </si>
  <si>
    <t>Joint Share of Line Loss</t>
  </si>
  <si>
    <t xml:space="preserve">     Reported     </t>
  </si>
  <si>
    <t>Water Production</t>
  </si>
  <si>
    <t>Salaries - Officers</t>
  </si>
  <si>
    <t>Contr. Services - Water Testing</t>
  </si>
  <si>
    <t>Total Revenue Required</t>
  </si>
  <si>
    <t>Insurance - Worker's Comp.</t>
  </si>
  <si>
    <t>Miscellaneous Expense</t>
  </si>
  <si>
    <t>Matrix</t>
  </si>
  <si>
    <t>Storage</t>
  </si>
  <si>
    <t>Treatment</t>
  </si>
  <si>
    <t>Tanks</t>
  </si>
  <si>
    <t>Supply &amp;</t>
  </si>
  <si>
    <t>ALLOCATION OF DEPRECIATION EXPENSE</t>
  </si>
  <si>
    <t xml:space="preserve">     TOTALS</t>
  </si>
  <si>
    <t>Tanks &amp; Reservoirs</t>
  </si>
  <si>
    <t>Increase</t>
  </si>
  <si>
    <t>Insurance - Workers Comp</t>
  </si>
  <si>
    <t>Insurance - Gen. Liability</t>
  </si>
  <si>
    <t>Table C</t>
  </si>
  <si>
    <t>Table E</t>
  </si>
  <si>
    <t>Table H</t>
  </si>
  <si>
    <t>Current</t>
  </si>
  <si>
    <t>MONTHLY WATER RATES</t>
  </si>
  <si>
    <t>Dollar</t>
  </si>
  <si>
    <t>Charge per 1,000 Gals.</t>
  </si>
  <si>
    <t>For all Water Purchased</t>
  </si>
  <si>
    <t>Wholesale Rate for All Wholesale Customers</t>
  </si>
  <si>
    <t>per 1,000 gallons</t>
  </si>
  <si>
    <t>Expenses</t>
  </si>
  <si>
    <t>Table I</t>
  </si>
  <si>
    <t>Edmonson County Water District</t>
  </si>
  <si>
    <t>Advertising</t>
  </si>
  <si>
    <t>Bad Debt</t>
  </si>
  <si>
    <t>CY 2025</t>
  </si>
  <si>
    <t>RD Series 2001A</t>
  </si>
  <si>
    <t>RD Series 2010A</t>
  </si>
  <si>
    <t>RD Series 2010B</t>
  </si>
  <si>
    <t>KRWFC 2012D</t>
  </si>
  <si>
    <t>RD Series 2013A</t>
  </si>
  <si>
    <t>RD Series 2013B</t>
  </si>
  <si>
    <t>KRWFC 2013B</t>
  </si>
  <si>
    <t>RD Series 2019</t>
  </si>
  <si>
    <t>KRWFC 2020C</t>
  </si>
  <si>
    <t>Average Annual Principal &amp; Interest</t>
  </si>
  <si>
    <t>Average Annual Coverage</t>
  </si>
  <si>
    <t>Amortization of Debt Discount</t>
  </si>
  <si>
    <t>Increase in Wages</t>
  </si>
  <si>
    <t xml:space="preserve">     Total increase in wages</t>
  </si>
  <si>
    <t>Associated Payroll Tax Increase</t>
  </si>
  <si>
    <t>FICA Rate</t>
  </si>
  <si>
    <t>Entire Group</t>
  </si>
  <si>
    <t>various</t>
  </si>
  <si>
    <t>varies</t>
  </si>
  <si>
    <t>30430 - 30450:  Structures &amp; Improvements</t>
  </si>
  <si>
    <t>30620:  Lake, River and Other Intakes</t>
  </si>
  <si>
    <t>30950:  Supply Mains</t>
  </si>
  <si>
    <t>32030:  Water Treatment Equipment</t>
  </si>
  <si>
    <t>33040:  Reservoirs and Tanks</t>
  </si>
  <si>
    <t>33140:  Transmission and Distribution Mains</t>
  </si>
  <si>
    <t>33340:  Services</t>
  </si>
  <si>
    <t>Convential Meters</t>
  </si>
  <si>
    <t>AMR Meters</t>
  </si>
  <si>
    <t>33440:  Meters</t>
  </si>
  <si>
    <t>33450:  Meter Installations</t>
  </si>
  <si>
    <t>33540:  Hydrants</t>
  </si>
  <si>
    <t>Computers, electronics and software</t>
  </si>
  <si>
    <t>Furniture and equipment</t>
  </si>
  <si>
    <t>34150:  Transportation Equipment</t>
  </si>
  <si>
    <t>34340/34350:  Tools, Shop &amp; Garage Equipment</t>
  </si>
  <si>
    <t>34430:  Laboratory Equipment</t>
  </si>
  <si>
    <t>34550:  Power Operated Equipment</t>
  </si>
  <si>
    <t>34650:  Communication Equipment</t>
  </si>
  <si>
    <t>34750:  Miscellaneous Equipment</t>
  </si>
  <si>
    <t>33940/34050:  Office Furniture and Equipment</t>
  </si>
  <si>
    <t>31030/31120:  Pumping Equipment</t>
  </si>
  <si>
    <t>Tank O.F.</t>
  </si>
  <si>
    <t xml:space="preserve">                 --------------------------</t>
  </si>
  <si>
    <t>---------------------</t>
  </si>
  <si>
    <t>Structures &amp; Improvements</t>
  </si>
  <si>
    <t>Supply Mains</t>
  </si>
  <si>
    <t>Pumping Equipment</t>
  </si>
  <si>
    <t>Water Treatment Equipment</t>
  </si>
  <si>
    <t>Reservoirs and Tanks</t>
  </si>
  <si>
    <t>Transmission and Distribution Mains</t>
  </si>
  <si>
    <t>Services</t>
  </si>
  <si>
    <t>Meters</t>
  </si>
  <si>
    <t>Meter Installations</t>
  </si>
  <si>
    <t>Hydrants</t>
  </si>
  <si>
    <t>Office Furniture and Equipment</t>
  </si>
  <si>
    <t>Transportation Equipment</t>
  </si>
  <si>
    <t>Tools, Shop &amp; Garage Equipment</t>
  </si>
  <si>
    <t>Laboratory Equipment</t>
  </si>
  <si>
    <t>Power Operated Equipment</t>
  </si>
  <si>
    <t>Communication Equipment</t>
  </si>
  <si>
    <t>Miscellaneous Equipment</t>
  </si>
  <si>
    <t>Lake, River and Other Intakes</t>
  </si>
  <si>
    <t xml:space="preserve">     SUBTOTALS</t>
  </si>
  <si>
    <t xml:space="preserve">     SUBTOTAL PERCENTAGES</t>
  </si>
  <si>
    <t xml:space="preserve">     SUBTOTAL</t>
  </si>
  <si>
    <t xml:space="preserve">     PERCENTAGE ALLOCATIONS</t>
  </si>
  <si>
    <t xml:space="preserve"> commissioner salaries</t>
  </si>
  <si>
    <t>ALL RETAIL METERS</t>
  </si>
  <si>
    <t>SALES FOR RESALE</t>
  </si>
  <si>
    <t>ALL SALES</t>
  </si>
  <si>
    <t>A</t>
  </si>
  <si>
    <t>Employee Name</t>
  </si>
  <si>
    <t>Pay Rate</t>
  </si>
  <si>
    <t>#0008</t>
  </si>
  <si>
    <t>#0013</t>
  </si>
  <si>
    <t>Tony Sanders</t>
  </si>
  <si>
    <t>#0043</t>
  </si>
  <si>
    <t>Gretchen Hodge</t>
  </si>
  <si>
    <t>#0049</t>
  </si>
  <si>
    <t>Timothy Vincent</t>
  </si>
  <si>
    <t>#0052</t>
  </si>
  <si>
    <t>Lawrence Childress</t>
  </si>
  <si>
    <t>#0061</t>
  </si>
  <si>
    <t>Norman Meredith</t>
  </si>
  <si>
    <t>#0064</t>
  </si>
  <si>
    <t>Christopher Graham</t>
  </si>
  <si>
    <t>#0065</t>
  </si>
  <si>
    <t>Joey Decker</t>
  </si>
  <si>
    <t>#0067</t>
  </si>
  <si>
    <t>Dylan Hazelwood</t>
  </si>
  <si>
    <t>#0070</t>
  </si>
  <si>
    <t>Jeffrey Basham</t>
  </si>
  <si>
    <t>#0074</t>
  </si>
  <si>
    <t>#0075</t>
  </si>
  <si>
    <t>Marcella Hack</t>
  </si>
  <si>
    <t>#0081</t>
  </si>
  <si>
    <t>Jeremiah Ashley</t>
  </si>
  <si>
    <t>#0082</t>
  </si>
  <si>
    <t>Michael Tennison</t>
  </si>
  <si>
    <t>#0083</t>
  </si>
  <si>
    <t>Steffan Meredith</t>
  </si>
  <si>
    <t>#0086</t>
  </si>
  <si>
    <t>Adam Foulks</t>
  </si>
  <si>
    <t>Wages</t>
  </si>
  <si>
    <t>Associated 401(a) Increase</t>
  </si>
  <si>
    <t xml:space="preserve"> from wages sht</t>
  </si>
  <si>
    <t>Total 401(a) Increase</t>
  </si>
  <si>
    <t>Per 11/17 email from Ryan Mosier - capital expenses not  incl'd in operations</t>
  </si>
  <si>
    <t xml:space="preserve">   Edmonson County Water District   </t>
  </si>
  <si>
    <t>Employee Health Insurance Adjustment</t>
  </si>
  <si>
    <t xml:space="preserve"> wage increases</t>
  </si>
  <si>
    <t xml:space="preserve"> empl. health ins.</t>
  </si>
  <si>
    <t xml:space="preserve">  w.l.</t>
  </si>
  <si>
    <t xml:space="preserve"> depr.</t>
  </si>
  <si>
    <t>Nonutility Income less Expense</t>
  </si>
  <si>
    <t>Insurance - Gen Liab &amp; Other</t>
  </si>
  <si>
    <t>ALLOCATION OF PLANT VALUE AND DEBT SERVICE</t>
  </si>
  <si>
    <t>Water</t>
  </si>
  <si>
    <t>Plant Value Percentages</t>
  </si>
  <si>
    <t>Land and Land Rights</t>
  </si>
  <si>
    <t>CURRENT RATE SCHEDULE</t>
  </si>
  <si>
    <t>PROPOSED RATE SCHEDULE</t>
  </si>
  <si>
    <t>gallons</t>
  </si>
  <si>
    <t>Minimum Bill</t>
  </si>
  <si>
    <t>COMPARISION OF EXISTING AND PROPOSED BILLS</t>
  </si>
  <si>
    <t>Bill</t>
  </si>
  <si>
    <t>Percentage</t>
  </si>
  <si>
    <t>All Meter Sizes</t>
  </si>
  <si>
    <t>Wholesale Rate</t>
  </si>
  <si>
    <t xml:space="preserve">   All water purchased</t>
  </si>
  <si>
    <t>Bills</t>
  </si>
  <si>
    <t>* Highlighted usage represents the average residential bill.</t>
  </si>
  <si>
    <t>per Month*</t>
  </si>
  <si>
    <t>Table J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</si>
  <si>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</si>
  <si>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</si>
  <si>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</si>
  <si>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</si>
  <si>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</si>
  <si>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</si>
  <si>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</si>
  <si>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</si>
  <si>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</si>
  <si>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Transmission and Dist. Mains</t>
  </si>
  <si>
    <t>Debt Serv. &amp; Coverage Allocation</t>
  </si>
  <si>
    <t>DEBT SERVICE SCHEDULE</t>
  </si>
  <si>
    <t>Whol + Retail</t>
  </si>
  <si>
    <t>3,000 gallons</t>
  </si>
  <si>
    <t>CURRENT AND PROPOSED RATES</t>
  </si>
  <si>
    <t>Usage</t>
  </si>
  <si>
    <t>5/8/ x 3/4" Meters</t>
  </si>
  <si>
    <t>1" Meters</t>
  </si>
  <si>
    <t>1-1/2" Meters</t>
  </si>
  <si>
    <t>2' Meters</t>
  </si>
  <si>
    <t>3" Meters</t>
  </si>
  <si>
    <t>CUMULATIVE BILLED USAGE</t>
  </si>
  <si>
    <t>BY BLOCKS</t>
  </si>
  <si>
    <t>Up to:</t>
  </si>
  <si>
    <t>Avg.</t>
  </si>
  <si>
    <t>0 - 10</t>
  </si>
  <si>
    <t>10 - 75</t>
  </si>
  <si>
    <t>75 +</t>
  </si>
  <si>
    <t>zero</t>
  </si>
  <si>
    <t>4" Meters</t>
  </si>
  <si>
    <t>Number</t>
  </si>
  <si>
    <t>%</t>
  </si>
  <si>
    <t>PSC Report Retail Sales</t>
  </si>
  <si>
    <t>Total Retail Sales - Spreadshts</t>
  </si>
  <si>
    <t>Big mtrs from Usage Reports</t>
  </si>
  <si>
    <t>No. of Bills</t>
  </si>
  <si>
    <t>Big mtr sprdshts</t>
  </si>
  <si>
    <t>Std mtr sprdshts</t>
  </si>
  <si>
    <t>Total bills from Sprdshts</t>
  </si>
  <si>
    <t>Purchased Water</t>
  </si>
  <si>
    <t>Rental of Equipment</t>
  </si>
  <si>
    <t>CY 2026</t>
  </si>
  <si>
    <t>CY 2027</t>
  </si>
  <si>
    <t>CY 2028</t>
  </si>
  <si>
    <t>CY 2029</t>
  </si>
  <si>
    <t>Other Pumping Equipment</t>
  </si>
  <si>
    <t>Structures and Improvements</t>
  </si>
  <si>
    <t>Remainder of Group</t>
  </si>
  <si>
    <t>Cost *</t>
  </si>
  <si>
    <t>*  Includes only costs of assets that contributed to depreciation expense in the test  year.</t>
  </si>
  <si>
    <t>Emp #</t>
  </si>
  <si>
    <t>Department</t>
  </si>
  <si>
    <t>Bville Plt</t>
  </si>
  <si>
    <t>Tim Brewster</t>
  </si>
  <si>
    <t>Admin</t>
  </si>
  <si>
    <t>#0113</t>
  </si>
  <si>
    <t>Accts &amp; Coll</t>
  </si>
  <si>
    <t>Wax Plt</t>
  </si>
  <si>
    <t>#0089</t>
  </si>
  <si>
    <t>Sabrina Holt</t>
  </si>
  <si>
    <t>#0092</t>
  </si>
  <si>
    <t>Patrick Matthews</t>
  </si>
  <si>
    <t>#0094</t>
  </si>
  <si>
    <t>Latisha Elmore</t>
  </si>
  <si>
    <t>#0096</t>
  </si>
  <si>
    <t>Kyle Ray</t>
  </si>
  <si>
    <t>#0097</t>
  </si>
  <si>
    <t>Jennifer Davis</t>
  </si>
  <si>
    <t xml:space="preserve">#0103 </t>
  </si>
  <si>
    <t>Joseph Blake Thompson</t>
  </si>
  <si>
    <t>#0107</t>
  </si>
  <si>
    <t>Delbert Higgs</t>
  </si>
  <si>
    <t>#0108</t>
  </si>
  <si>
    <t>James Kyle Childress</t>
  </si>
  <si>
    <t>#0109</t>
  </si>
  <si>
    <t>Jeffrey Duvall</t>
  </si>
  <si>
    <t>#0110</t>
  </si>
  <si>
    <t>Randy Simmons</t>
  </si>
  <si>
    <t>#0115</t>
  </si>
  <si>
    <t>Justin Coy</t>
  </si>
  <si>
    <t>2023 Reg</t>
  </si>
  <si>
    <t xml:space="preserve">Hours </t>
  </si>
  <si>
    <t>2023 OT</t>
  </si>
  <si>
    <t>Pro forma</t>
  </si>
  <si>
    <t>Stand-by Pay</t>
  </si>
  <si>
    <t>Total Pro forma Wages</t>
  </si>
  <si>
    <t>Employee Pensions &amp; Benefits</t>
  </si>
  <si>
    <t>Uniforms</t>
  </si>
  <si>
    <t>401A Retirement</t>
  </si>
  <si>
    <t>Health Insurance</t>
  </si>
  <si>
    <t>Life Insurance</t>
  </si>
  <si>
    <t>Med bills/HRA</t>
  </si>
  <si>
    <t>Retiree Medical</t>
  </si>
  <si>
    <t>Pro forma Salaries &amp; Wages</t>
  </si>
  <si>
    <t>Reported 2023</t>
  </si>
  <si>
    <t>Total contrib. for 2023</t>
  </si>
  <si>
    <t>Base</t>
  </si>
  <si>
    <t>401a Contrib</t>
  </si>
  <si>
    <t>Pro forma 401a</t>
  </si>
  <si>
    <t>Pro forma Contrib.</t>
  </si>
  <si>
    <t xml:space="preserve"> benefits table</t>
  </si>
  <si>
    <t>RetroPay</t>
  </si>
  <si>
    <t>2023</t>
  </si>
  <si>
    <t>Total Wages + Comissioners</t>
  </si>
  <si>
    <t>Proforma Taxes</t>
  </si>
  <si>
    <t>Test Year Payroll Taxes</t>
  </si>
  <si>
    <t>Std Meters</t>
  </si>
  <si>
    <t>minimums</t>
  </si>
  <si>
    <t>above min</t>
  </si>
  <si>
    <t>Large Mtrs</t>
  </si>
  <si>
    <t>All meters</t>
  </si>
  <si>
    <t>Difference</t>
  </si>
  <si>
    <t>Leak Adjustments</t>
  </si>
  <si>
    <t>Misc. Adjustments</t>
  </si>
  <si>
    <t xml:space="preserve">       Less Billing Adjustments</t>
  </si>
  <si>
    <t>Total Retail Billed Revenue</t>
  </si>
  <si>
    <t xml:space="preserve">       Plus Sales for Resale</t>
  </si>
  <si>
    <t>Total Pro forma Sales Revenue</t>
  </si>
  <si>
    <t xml:space="preserve"> Ex BA</t>
  </si>
  <si>
    <t>CY 2025 - 2027</t>
  </si>
  <si>
    <t xml:space="preserve">Hours in blue indicate employees worked partial year but are full time </t>
  </si>
  <si>
    <t>Dist. Contrib</t>
  </si>
  <si>
    <t>BLS avg.</t>
  </si>
  <si>
    <t>Premium</t>
  </si>
  <si>
    <t>Pro Forma</t>
  </si>
  <si>
    <t>Empl. rate</t>
  </si>
  <si>
    <t>Adj'mt.</t>
  </si>
  <si>
    <t>Health (emp)</t>
  </si>
  <si>
    <t>Dental</t>
  </si>
  <si>
    <t>Vision</t>
  </si>
  <si>
    <t>Allowable monthly prem.</t>
  </si>
  <si>
    <t>Less prem. pd. in test yr.</t>
  </si>
  <si>
    <t>Health Ins. Adjustment</t>
  </si>
  <si>
    <t xml:space="preserve">at 100% </t>
  </si>
  <si>
    <t>New Uniform and Boot Policy</t>
  </si>
  <si>
    <t>Boots</t>
  </si>
  <si>
    <t>Total Annual Policy Expense</t>
  </si>
  <si>
    <t>Less Ex. Expense</t>
  </si>
  <si>
    <t>Adjustment for New Policy</t>
  </si>
  <si>
    <t xml:space="preserve"> Uniform Policy</t>
  </si>
  <si>
    <t xml:space="preserve"> 401a increases</t>
  </si>
  <si>
    <t>Equipment Rental</t>
  </si>
  <si>
    <t>Proposed Wholesale Revenue</t>
  </si>
  <si>
    <t>Existing Rate</t>
  </si>
  <si>
    <t>% Increase</t>
  </si>
  <si>
    <t>Billing &amp;</t>
  </si>
  <si>
    <t>Meters &amp;</t>
  </si>
  <si>
    <t>Collecting</t>
  </si>
  <si>
    <t>UNITS OF SERVICE</t>
  </si>
  <si>
    <t>Meter</t>
  </si>
  <si>
    <t>No. of</t>
  </si>
  <si>
    <t>Gallons Not Used By Block</t>
  </si>
  <si>
    <t>Min. Bills</t>
  </si>
  <si>
    <t>Allowed</t>
  </si>
  <si>
    <t>Used</t>
  </si>
  <si>
    <t>Not Used</t>
  </si>
  <si>
    <t>Over 75</t>
  </si>
  <si>
    <t>5/8 x 3/4"</t>
  </si>
  <si>
    <t>1"</t>
  </si>
  <si>
    <t>1-1/2"</t>
  </si>
  <si>
    <t>2"</t>
  </si>
  <si>
    <t>3"</t>
  </si>
  <si>
    <t>6"</t>
  </si>
  <si>
    <t>Water Usage By Block:</t>
  </si>
  <si>
    <t>Annual</t>
  </si>
  <si>
    <t>Adjusted</t>
  </si>
  <si>
    <t>Block</t>
  </si>
  <si>
    <t>Sales</t>
  </si>
  <si>
    <t>for Min.</t>
  </si>
  <si>
    <t>Number of Services and Equivalents:</t>
  </si>
  <si>
    <t>Ratio</t>
  </si>
  <si>
    <t>Equivalents</t>
  </si>
  <si>
    <t>4"</t>
  </si>
  <si>
    <t>Single</t>
  </si>
  <si>
    <t>All Retail</t>
  </si>
  <si>
    <t>Adjustment for Minimum Bill Usage (Proposed Minimums):</t>
  </si>
  <si>
    <t>Adjusted Commodity Sales</t>
  </si>
  <si>
    <t>CALCULATED USAGE RATES</t>
  </si>
  <si>
    <t>(adjusted per Billing Analysis to result in required revenue)</t>
  </si>
  <si>
    <t>PROPOSED USAGE RATE</t>
  </si>
  <si>
    <t>CALCULATION OF CUSTOMER CHARGES:</t>
  </si>
  <si>
    <t>Expenses to be Allocated</t>
  </si>
  <si>
    <t>No. of Bills or Equivalents</t>
  </si>
  <si>
    <t>Unit Cost of Service</t>
  </si>
  <si>
    <t>Meter Size</t>
  </si>
  <si>
    <t>Charge</t>
  </si>
  <si>
    <t>5/8 x 3/4" Meters</t>
  </si>
  <si>
    <t>2" Meters</t>
  </si>
  <si>
    <t>Costs</t>
  </si>
  <si>
    <t>07-01-24</t>
  </si>
  <si>
    <t>Kevin Shaw-Salary</t>
  </si>
  <si>
    <t xml:space="preserve"> 07/24 Ins increase</t>
  </si>
  <si>
    <t>Melita Massey or New Hire</t>
  </si>
  <si>
    <t>Erica Wolfe / Replacement</t>
  </si>
  <si>
    <t>Jonathan Nuttall / New Hire</t>
  </si>
  <si>
    <t>Marvin Sallee / New Hire</t>
  </si>
  <si>
    <t>New Hire</t>
  </si>
  <si>
    <t>REPORTS THAT PROVIDED THIS DATA DID NOT CAPTURE ALL BILLS !!!</t>
  </si>
  <si>
    <t xml:space="preserve">   Pro forma Billing Adjustments</t>
  </si>
  <si>
    <t>N/A</t>
  </si>
  <si>
    <t xml:space="preserve">  Operating Revenues</t>
  </si>
  <si>
    <t xml:space="preserve">  Operating Expenses</t>
  </si>
  <si>
    <t xml:space="preserve">  Total Operating Expenses</t>
  </si>
  <si>
    <t xml:space="preserve">  Net Utility Operating Income</t>
  </si>
  <si>
    <t xml:space="preserve">  Pro Forma Operating Expenses</t>
  </si>
  <si>
    <t xml:space="preserve">  Plus:</t>
  </si>
  <si>
    <t xml:space="preserve">  Overall Revenue Requirement</t>
  </si>
  <si>
    <t xml:space="preserve">  Less:</t>
  </si>
  <si>
    <t xml:space="preserve">  Revenue Required From Retail Sales</t>
  </si>
  <si>
    <t xml:space="preserve">  Required Retail Revenue Increase</t>
  </si>
  <si>
    <t xml:space="preserve">  Percent Retail Rate Increase</t>
  </si>
  <si>
    <t>Expenses Recovered fom Retail Rates</t>
  </si>
  <si>
    <t xml:space="preserve">  Total Operating Revenues</t>
  </si>
  <si>
    <t>PROPOSED BILLING ANALYSIS WITH 2023 USAGE &amp; PROPOSED RATES</t>
  </si>
  <si>
    <t>Allowable annual prem. w/ 30 employees</t>
  </si>
  <si>
    <t>Minimum Bills Based on Meter Size</t>
  </si>
  <si>
    <t>Gals. Incl'd.</t>
  </si>
  <si>
    <t>5/8 x 3/4 inch</t>
  </si>
  <si>
    <t>1 inch</t>
  </si>
  <si>
    <t>2 inch</t>
  </si>
  <si>
    <t>3 inch</t>
  </si>
  <si>
    <t>4 inch</t>
  </si>
  <si>
    <t>1-1/2 inch</t>
  </si>
  <si>
    <t>Charge Per 1,000 Gallons</t>
  </si>
  <si>
    <t>Gals. Per Month</t>
  </si>
  <si>
    <t>All Usage</t>
  </si>
  <si>
    <t>Rates for Water Usage Above Minimums</t>
  </si>
  <si>
    <t>Table K</t>
  </si>
  <si>
    <t>CURRENT BILLING ANALYSIS WITH 2023 USAGE &amp; EXISTING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</si>
</sst>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.00"/>
    <numFmt numFmtId="167" formatCode="0.0%"/>
    <numFmt numFmtId="168" formatCode="#,##0.0000"/>
    <numFmt numFmtId="169" formatCode="[$$-409]#,##0.00"/>
    <numFmt numFmtId="170" formatCode="_(* #,##0.0_);_(* \(#,##0.0\);_(* &quot;-&quot;??_);_(@_)"/>
    <numFmt numFmtId="171" formatCode="#,##0.0"/>
    <numFmt numFmtId="172" formatCode="_(* #,##0.0000_);_(* \(#,##0.0000\);_(* &quot;-&quot;??_);_(@_)"/>
    <numFmt numFmtId="173" formatCode="0.0000"/>
    <numFmt numFmtId="174" formatCode="0.000%"/>
    <numFmt numFmtId="175" formatCode="mm/dd/yy;@"/>
    <numFmt numFmtId="176" formatCode="#,##0.000"/>
  </numFmts>
  <fonts count="54" x14ac:knownFonts="1">
    <font>
      <sz val="12"/>
      <name val="Arial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Arial"/>
      <family val="2"/>
    </font>
    <font>
      <b/>
      <sz val="14"/>
      <color rgb="FFFF0000"/>
      <name val="Calibri"/>
      <family val="2"/>
      <scheme val="minor"/>
    </font>
    <font>
      <b/>
      <i/>
      <u/>
      <sz val="11"/>
      <color rgb="FF59B589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12"/>
      <name val="Calibri"/>
      <family val="2"/>
      <scheme val="minor"/>
    </font>
    <font>
      <u/>
      <sz val="10"/>
      <name val="Arial"/>
      <family val="2"/>
    </font>
    <font>
      <b/>
      <i/>
      <u/>
      <sz val="11"/>
      <name val="Calibri"/>
      <family val="2"/>
      <scheme val="minor"/>
    </font>
    <font>
      <sz val="9"/>
      <name val="Calibri"/>
      <family val="2"/>
      <scheme val="minor"/>
    </font>
    <font>
      <sz val="11"/>
      <name val="Cambria"/>
      <family val="1"/>
      <scheme val="major"/>
    </font>
    <font>
      <b/>
      <sz val="9"/>
      <name val="Arial"/>
      <family val="2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B0F0"/>
      <name val="Calibri"/>
      <family val="2"/>
      <scheme val="minor"/>
    </font>
    <font>
      <b/>
      <i/>
      <sz val="12"/>
      <color rgb="FF00B0F0"/>
      <name val="Calibri"/>
      <family val="2"/>
      <scheme val="minor"/>
    </font>
    <font>
      <b/>
      <sz val="10"/>
      <name val="Arial"/>
      <family val="2"/>
    </font>
    <font>
      <b/>
      <i/>
      <sz val="12"/>
      <name val="Calibri"/>
      <family val="2"/>
      <scheme val="minor"/>
    </font>
    <font>
      <u val="singleAccounting"/>
      <sz val="11"/>
      <color rgb="FFFF0000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u val="singleAccounting"/>
      <sz val="11"/>
      <name val="Calibri"/>
      <family val="2"/>
    </font>
    <font>
      <u val="singleAccounting"/>
      <sz val="11"/>
      <name val="Calibri"/>
      <family val="2"/>
    </font>
    <font>
      <b/>
      <u val="singleAccounting"/>
      <sz val="12"/>
      <name val="Calibri"/>
      <family val="2"/>
    </font>
    <font>
      <b/>
      <u val="singleAccounting"/>
      <sz val="12"/>
      <name val="Calibri"/>
      <family val="2"/>
      <scheme val="minor"/>
    </font>
    <font>
      <b/>
      <sz val="11"/>
      <color rgb="FFFFC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5">
    <xf numFmtId="0" fontId="0" fillId="0" borderId="0" xfId="0"/>
    <xf numFmtId="0" fontId="5" fillId="0" borderId="0" xfId="0" applyFont="1"/>
    <xf numFmtId="165" fontId="2" fillId="0" borderId="0" xfId="1" applyNumberFormat="1" applyFont="1"/>
    <xf numFmtId="165" fontId="5" fillId="0" borderId="0" xfId="0" applyNumberFormat="1" applyFont="1"/>
    <xf numFmtId="0" fontId="7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65" fontId="6" fillId="0" borderId="10" xfId="1" applyNumberFormat="1" applyFont="1" applyBorder="1" applyAlignment="1">
      <alignment horizontal="center" vertical="center"/>
    </xf>
    <xf numFmtId="165" fontId="5" fillId="0" borderId="0" xfId="1" applyNumberFormat="1" applyFont="1" applyBorder="1" applyAlignment="1"/>
    <xf numFmtId="3" fontId="5" fillId="0" borderId="0" xfId="0" applyNumberFormat="1" applyFont="1"/>
    <xf numFmtId="165" fontId="9" fillId="0" borderId="0" xfId="1" applyNumberFormat="1" applyFont="1" applyAlignment="1">
      <alignment horizontal="center" vertical="center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5" xfId="0" applyBorder="1"/>
    <xf numFmtId="0" fontId="0" fillId="0" borderId="6" xfId="0" applyBorder="1"/>
    <xf numFmtId="171" fontId="4" fillId="0" borderId="0" xfId="0" applyNumberFormat="1" applyFont="1"/>
    <xf numFmtId="165" fontId="9" fillId="0" borderId="10" xfId="1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165" fontId="5" fillId="0" borderId="1" xfId="1" applyNumberFormat="1" applyFont="1" applyBorder="1"/>
    <xf numFmtId="165" fontId="5" fillId="0" borderId="0" xfId="1" applyNumberFormat="1" applyFont="1" applyBorder="1"/>
    <xf numFmtId="165" fontId="6" fillId="0" borderId="0" xfId="1" applyNumberFormat="1" applyFont="1" applyBorder="1" applyAlignment="1">
      <alignment horizontal="center" vertical="center"/>
    </xf>
    <xf numFmtId="0" fontId="0" fillId="0" borderId="1" xfId="0" applyBorder="1"/>
    <xf numFmtId="165" fontId="5" fillId="0" borderId="0" xfId="1" applyNumberFormat="1" applyFont="1"/>
    <xf numFmtId="165" fontId="8" fillId="0" borderId="0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5" fillId="0" borderId="3" xfId="1" applyNumberFormat="1" applyFont="1" applyBorder="1"/>
    <xf numFmtId="165" fontId="5" fillId="0" borderId="2" xfId="1" applyNumberFormat="1" applyFont="1" applyBorder="1"/>
    <xf numFmtId="165" fontId="5" fillId="0" borderId="4" xfId="1" applyNumberFormat="1" applyFont="1" applyBorder="1"/>
    <xf numFmtId="165" fontId="5" fillId="0" borderId="9" xfId="1" applyNumberFormat="1" applyFont="1" applyBorder="1"/>
    <xf numFmtId="165" fontId="5" fillId="0" borderId="10" xfId="1" applyNumberFormat="1" applyFont="1" applyBorder="1"/>
    <xf numFmtId="165" fontId="13" fillId="0" borderId="0" xfId="1" applyNumberFormat="1" applyFont="1" applyBorder="1"/>
    <xf numFmtId="10" fontId="5" fillId="0" borderId="0" xfId="3" applyNumberFormat="1" applyFont="1" applyBorder="1"/>
    <xf numFmtId="165" fontId="5" fillId="0" borderId="5" xfId="1" applyNumberFormat="1" applyFont="1" applyBorder="1"/>
    <xf numFmtId="165" fontId="5" fillId="0" borderId="6" xfId="1" applyNumberFormat="1" applyFont="1" applyBorder="1"/>
    <xf numFmtId="0" fontId="5" fillId="0" borderId="0" xfId="0" applyFont="1" applyAlignment="1">
      <alignment horizontal="left" vertical="top"/>
    </xf>
    <xf numFmtId="10" fontId="5" fillId="0" borderId="0" xfId="3" applyNumberFormat="1" applyFont="1"/>
    <xf numFmtId="43" fontId="5" fillId="0" borderId="0" xfId="1" applyFont="1"/>
    <xf numFmtId="9" fontId="5" fillId="0" borderId="0" xfId="3" applyFont="1"/>
    <xf numFmtId="3" fontId="6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5" fontId="8" fillId="0" borderId="10" xfId="1" applyNumberFormat="1" applyFont="1" applyBorder="1" applyAlignment="1">
      <alignment horizontal="center"/>
    </xf>
    <xf numFmtId="165" fontId="13" fillId="0" borderId="10" xfId="1" applyNumberFormat="1" applyFont="1" applyBorder="1"/>
    <xf numFmtId="165" fontId="9" fillId="0" borderId="0" xfId="1" applyNumberFormat="1" applyFont="1" applyBorder="1"/>
    <xf numFmtId="165" fontId="13" fillId="0" borderId="0" xfId="1" applyNumberFormat="1" applyFont="1" applyBorder="1" applyAlignment="1">
      <alignment horizontal="center"/>
    </xf>
    <xf numFmtId="165" fontId="13" fillId="0" borderId="0" xfId="1" quotePrefix="1" applyNumberFormat="1" applyFont="1" applyBorder="1" applyAlignment="1">
      <alignment horizontal="center"/>
    </xf>
    <xf numFmtId="165" fontId="13" fillId="0" borderId="10" xfId="1" quotePrefix="1" applyNumberFormat="1" applyFont="1" applyBorder="1" applyAlignment="1">
      <alignment horizontal="center"/>
    </xf>
    <xf numFmtId="10" fontId="5" fillId="0" borderId="10" xfId="3" applyNumberFormat="1" applyFont="1" applyBorder="1"/>
    <xf numFmtId="43" fontId="5" fillId="0" borderId="0" xfId="1" applyFont="1" applyBorder="1"/>
    <xf numFmtId="166" fontId="5" fillId="0" borderId="0" xfId="1" applyNumberFormat="1" applyFont="1" applyBorder="1"/>
    <xf numFmtId="166" fontId="5" fillId="0" borderId="10" xfId="1" applyNumberFormat="1" applyFont="1" applyBorder="1"/>
    <xf numFmtId="0" fontId="16" fillId="0" borderId="0" xfId="0" applyFont="1"/>
    <xf numFmtId="165" fontId="5" fillId="0" borderId="9" xfId="5" applyNumberFormat="1" applyFont="1" applyBorder="1" applyAlignment="1">
      <alignment horizontal="center"/>
    </xf>
    <xf numFmtId="165" fontId="5" fillId="0" borderId="10" xfId="5" applyNumberFormat="1" applyFont="1" applyBorder="1" applyAlignment="1">
      <alignment horizontal="center"/>
    </xf>
    <xf numFmtId="165" fontId="5" fillId="0" borderId="9" xfId="5" quotePrefix="1" applyNumberFormat="1" applyFont="1" applyBorder="1" applyAlignment="1">
      <alignment horizontal="left"/>
    </xf>
    <xf numFmtId="165" fontId="5" fillId="0" borderId="10" xfId="5" quotePrefix="1" applyNumberFormat="1" applyFont="1" applyBorder="1" applyAlignment="1">
      <alignment horizontal="left"/>
    </xf>
    <xf numFmtId="165" fontId="9" fillId="0" borderId="5" xfId="5" applyNumberFormat="1" applyFont="1" applyBorder="1" applyAlignment="1">
      <alignment horizontal="right"/>
    </xf>
    <xf numFmtId="165" fontId="9" fillId="0" borderId="6" xfId="5" applyNumberFormat="1" applyFont="1" applyBorder="1" applyAlignment="1">
      <alignment horizontal="right"/>
    </xf>
    <xf numFmtId="0" fontId="11" fillId="0" borderId="0" xfId="0" applyFont="1"/>
    <xf numFmtId="43" fontId="5" fillId="0" borderId="0" xfId="5" applyFont="1"/>
    <xf numFmtId="165" fontId="5" fillId="0" borderId="0" xfId="5" applyNumberFormat="1" applyFont="1"/>
    <xf numFmtId="44" fontId="5" fillId="0" borderId="0" xfId="6" applyFont="1"/>
    <xf numFmtId="174" fontId="5" fillId="0" borderId="0" xfId="7" applyNumberFormat="1" applyFont="1"/>
    <xf numFmtId="3" fontId="5" fillId="0" borderId="0" xfId="0" applyNumberFormat="1" applyFont="1" applyAlignment="1">
      <alignment horizontal="right"/>
    </xf>
    <xf numFmtId="165" fontId="5" fillId="0" borderId="0" xfId="5" applyNumberFormat="1" applyFont="1" applyAlignment="1">
      <alignment vertical="center"/>
    </xf>
    <xf numFmtId="0" fontId="8" fillId="0" borderId="0" xfId="0" applyFont="1" applyAlignment="1">
      <alignment horizontal="center"/>
    </xf>
    <xf numFmtId="172" fontId="5" fillId="0" borderId="0" xfId="5" applyNumberFormat="1" applyFont="1"/>
    <xf numFmtId="3" fontId="5" fillId="0" borderId="1" xfId="0" applyNumberFormat="1" applyFont="1" applyBorder="1"/>
    <xf numFmtId="165" fontId="11" fillId="0" borderId="0" xfId="1" applyNumberFormat="1" applyFont="1" applyAlignment="1">
      <alignment horizontal="center"/>
    </xf>
    <xf numFmtId="165" fontId="5" fillId="0" borderId="0" xfId="1" applyNumberFormat="1" applyFont="1" applyAlignment="1">
      <alignment horizontal="center"/>
    </xf>
    <xf numFmtId="164" fontId="5" fillId="0" borderId="0" xfId="2" applyNumberFormat="1" applyFont="1"/>
    <xf numFmtId="44" fontId="5" fillId="0" borderId="0" xfId="2" applyFont="1"/>
    <xf numFmtId="3" fontId="16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3" fontId="16" fillId="0" borderId="0" xfId="0" applyNumberFormat="1" applyFont="1"/>
    <xf numFmtId="165" fontId="19" fillId="0" borderId="0" xfId="5" applyNumberFormat="1" applyFont="1" applyAlignment="1">
      <alignment vertical="center"/>
    </xf>
    <xf numFmtId="37" fontId="5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43" fontId="5" fillId="0" borderId="0" xfId="5" applyFont="1" applyAlignment="1">
      <alignment vertical="center"/>
    </xf>
    <xf numFmtId="43" fontId="21" fillId="0" borderId="0" xfId="5" applyFont="1" applyAlignment="1">
      <alignment vertical="center"/>
    </xf>
    <xf numFmtId="167" fontId="5" fillId="0" borderId="0" xfId="7" applyNumberFormat="1" applyFont="1"/>
    <xf numFmtId="166" fontId="5" fillId="0" borderId="0" xfId="6" applyNumberFormat="1" applyFont="1" applyAlignment="1">
      <alignment vertical="center"/>
    </xf>
    <xf numFmtId="10" fontId="16" fillId="0" borderId="0" xfId="7" applyNumberFormat="1" applyFont="1"/>
    <xf numFmtId="165" fontId="5" fillId="0" borderId="3" xfId="5" applyNumberFormat="1" applyFont="1" applyBorder="1"/>
    <xf numFmtId="165" fontId="5" fillId="0" borderId="2" xfId="5" applyNumberFormat="1" applyFont="1" applyBorder="1"/>
    <xf numFmtId="165" fontId="5" fillId="0" borderId="4" xfId="5" applyNumberFormat="1" applyFont="1" applyBorder="1"/>
    <xf numFmtId="165" fontId="6" fillId="0" borderId="9" xfId="5" applyNumberFormat="1" applyFont="1" applyBorder="1" applyAlignment="1">
      <alignment horizontal="centerContinuous"/>
    </xf>
    <xf numFmtId="165" fontId="9" fillId="0" borderId="0" xfId="5" applyNumberFormat="1" applyFont="1" applyAlignment="1">
      <alignment horizontal="centerContinuous"/>
    </xf>
    <xf numFmtId="165" fontId="5" fillId="0" borderId="10" xfId="5" applyNumberFormat="1" applyFont="1" applyBorder="1"/>
    <xf numFmtId="165" fontId="7" fillId="0" borderId="9" xfId="5" applyNumberFormat="1" applyFont="1" applyBorder="1" applyAlignment="1">
      <alignment horizontal="centerContinuous"/>
    </xf>
    <xf numFmtId="165" fontId="11" fillId="0" borderId="0" xfId="5" applyNumberFormat="1" applyFont="1" applyAlignment="1">
      <alignment horizontal="centerContinuous"/>
    </xf>
    <xf numFmtId="165" fontId="16" fillId="0" borderId="9" xfId="5" applyNumberFormat="1" applyFont="1" applyBorder="1" applyAlignment="1">
      <alignment horizontal="centerContinuous"/>
    </xf>
    <xf numFmtId="165" fontId="5" fillId="0" borderId="0" xfId="5" applyNumberFormat="1" applyFont="1" applyAlignment="1">
      <alignment horizontal="centerContinuous"/>
    </xf>
    <xf numFmtId="165" fontId="5" fillId="0" borderId="9" xfId="5" applyNumberFormat="1" applyFont="1" applyBorder="1" applyAlignment="1">
      <alignment horizontal="centerContinuous"/>
    </xf>
    <xf numFmtId="165" fontId="5" fillId="0" borderId="8" xfId="5" applyNumberFormat="1" applyFont="1" applyBorder="1" applyAlignment="1">
      <alignment horizontal="left"/>
    </xf>
    <xf numFmtId="165" fontId="5" fillId="0" borderId="3" xfId="5" applyNumberFormat="1" applyFont="1" applyBorder="1" applyAlignment="1">
      <alignment horizontal="left"/>
    </xf>
    <xf numFmtId="165" fontId="5" fillId="0" borderId="11" xfId="5" applyNumberFormat="1" applyFont="1" applyBorder="1"/>
    <xf numFmtId="165" fontId="11" fillId="0" borderId="10" xfId="5" applyNumberFormat="1" applyFont="1" applyBorder="1" applyAlignment="1">
      <alignment horizontal="centerContinuous"/>
    </xf>
    <xf numFmtId="165" fontId="14" fillId="0" borderId="9" xfId="5" applyNumberFormat="1" applyFont="1" applyBorder="1" applyAlignment="1">
      <alignment horizontal="center" vertical="center"/>
    </xf>
    <xf numFmtId="165" fontId="14" fillId="0" borderId="0" xfId="5" applyNumberFormat="1" applyFont="1" applyAlignment="1">
      <alignment horizontal="center" vertical="center"/>
    </xf>
    <xf numFmtId="165" fontId="14" fillId="0" borderId="10" xfId="5" applyNumberFormat="1" applyFont="1" applyBorder="1" applyAlignment="1">
      <alignment horizontal="center" vertical="center"/>
    </xf>
    <xf numFmtId="165" fontId="5" fillId="0" borderId="0" xfId="5" applyNumberFormat="1" applyFont="1" applyAlignment="1">
      <alignment horizontal="center"/>
    </xf>
    <xf numFmtId="165" fontId="5" fillId="0" borderId="0" xfId="5" quotePrefix="1" applyNumberFormat="1" applyFont="1" applyAlignment="1">
      <alignment horizontal="left"/>
    </xf>
    <xf numFmtId="165" fontId="9" fillId="0" borderId="9" xfId="5" applyNumberFormat="1" applyFont="1" applyBorder="1" applyAlignment="1">
      <alignment horizontal="center"/>
    </xf>
    <xf numFmtId="165" fontId="9" fillId="0" borderId="7" xfId="5" applyNumberFormat="1" applyFont="1" applyBorder="1" applyAlignment="1">
      <alignment horizontal="right"/>
    </xf>
    <xf numFmtId="165" fontId="9" fillId="0" borderId="1" xfId="5" applyNumberFormat="1" applyFont="1" applyBorder="1" applyAlignment="1">
      <alignment horizontal="right"/>
    </xf>
    <xf numFmtId="165" fontId="5" fillId="0" borderId="6" xfId="5" applyNumberFormat="1" applyFont="1" applyBorder="1"/>
    <xf numFmtId="165" fontId="9" fillId="0" borderId="9" xfId="5" applyNumberFormat="1" applyFont="1" applyBorder="1" applyAlignment="1">
      <alignment horizontal="right"/>
    </xf>
    <xf numFmtId="165" fontId="9" fillId="0" borderId="0" xfId="5" applyNumberFormat="1" applyFont="1" applyAlignment="1">
      <alignment horizontal="right"/>
    </xf>
    <xf numFmtId="165" fontId="5" fillId="0" borderId="9" xfId="5" applyNumberFormat="1" applyFont="1" applyBorder="1"/>
    <xf numFmtId="165" fontId="9" fillId="0" borderId="0" xfId="5" applyNumberFormat="1" applyFont="1"/>
    <xf numFmtId="165" fontId="5" fillId="0" borderId="5" xfId="5" applyNumberFormat="1" applyFont="1" applyBorder="1" applyAlignment="1">
      <alignment horizontal="center"/>
    </xf>
    <xf numFmtId="165" fontId="5" fillId="0" borderId="1" xfId="5" applyNumberFormat="1" applyFont="1" applyBorder="1" applyAlignment="1">
      <alignment horizontal="center"/>
    </xf>
    <xf numFmtId="164" fontId="9" fillId="0" borderId="0" xfId="2" applyNumberFormat="1" applyFont="1"/>
    <xf numFmtId="164" fontId="5" fillId="0" borderId="9" xfId="2" quotePrefix="1" applyNumberFormat="1" applyFont="1" applyBorder="1" applyAlignment="1">
      <alignment horizontal="center"/>
    </xf>
    <xf numFmtId="164" fontId="5" fillId="0" borderId="10" xfId="2" quotePrefix="1" applyNumberFormat="1" applyFont="1" applyBorder="1" applyAlignment="1">
      <alignment horizontal="center"/>
    </xf>
    <xf numFmtId="3" fontId="17" fillId="0" borderId="9" xfId="0" applyNumberFormat="1" applyFont="1" applyBorder="1" applyAlignment="1">
      <alignment horizontal="centerContinuous" vertical="center"/>
    </xf>
    <xf numFmtId="0" fontId="4" fillId="0" borderId="0" xfId="0" applyFont="1"/>
    <xf numFmtId="164" fontId="5" fillId="0" borderId="0" xfId="6" applyNumberFormat="1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37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37" fontId="5" fillId="0" borderId="0" xfId="0" applyNumberFormat="1" applyFont="1"/>
    <xf numFmtId="37" fontId="5" fillId="0" borderId="1" xfId="0" applyNumberFormat="1" applyFont="1" applyBorder="1"/>
    <xf numFmtId="165" fontId="5" fillId="0" borderId="1" xfId="5" applyNumberFormat="1" applyFont="1" applyBorder="1"/>
    <xf numFmtId="0" fontId="9" fillId="0" borderId="0" xfId="0" applyFont="1" applyAlignment="1">
      <alignment horizontal="left"/>
    </xf>
    <xf numFmtId="0" fontId="5" fillId="0" borderId="1" xfId="0" applyFont="1" applyBorder="1"/>
    <xf numFmtId="43" fontId="5" fillId="0" borderId="1" xfId="5" applyFont="1" applyBorder="1"/>
    <xf numFmtId="165" fontId="5" fillId="0" borderId="0" xfId="5" applyNumberFormat="1" applyFont="1" applyBorder="1"/>
    <xf numFmtId="0" fontId="22" fillId="0" borderId="0" xfId="0" applyFont="1" applyAlignment="1">
      <alignment horizontal="centerContinuous"/>
    </xf>
    <xf numFmtId="165" fontId="9" fillId="0" borderId="0" xfId="1" applyNumberFormat="1" applyFont="1"/>
    <xf numFmtId="165" fontId="13" fillId="0" borderId="0" xfId="1" applyNumberFormat="1" applyFont="1"/>
    <xf numFmtId="165" fontId="11" fillId="0" borderId="0" xfId="5" applyNumberFormat="1" applyFont="1" applyBorder="1" applyAlignment="1">
      <alignment horizontal="center"/>
    </xf>
    <xf numFmtId="165" fontId="9" fillId="0" borderId="0" xfId="5" applyNumberFormat="1" applyFont="1" applyBorder="1" applyAlignment="1">
      <alignment horizontal="center"/>
    </xf>
    <xf numFmtId="165" fontId="11" fillId="0" borderId="0" xfId="5" applyNumberFormat="1" applyFont="1" applyBorder="1" applyAlignment="1">
      <alignment horizontal="centerContinuous"/>
    </xf>
    <xf numFmtId="170" fontId="5" fillId="0" borderId="0" xfId="5" applyNumberFormat="1" applyFont="1" applyBorder="1"/>
    <xf numFmtId="165" fontId="10" fillId="0" borderId="0" xfId="1" applyNumberFormat="1" applyFont="1" applyBorder="1" applyAlignment="1">
      <alignment horizontal="left" vertical="top"/>
    </xf>
    <xf numFmtId="170" fontId="11" fillId="0" borderId="0" xfId="5" applyNumberFormat="1" applyFont="1" applyBorder="1" applyAlignment="1">
      <alignment horizontal="centerContinuous"/>
    </xf>
    <xf numFmtId="165" fontId="11" fillId="0" borderId="9" xfId="5" applyNumberFormat="1" applyFont="1" applyBorder="1" applyAlignment="1">
      <alignment horizontal="center"/>
    </xf>
    <xf numFmtId="170" fontId="11" fillId="0" borderId="0" xfId="5" applyNumberFormat="1" applyFont="1" applyBorder="1" applyAlignment="1">
      <alignment horizontal="center"/>
    </xf>
    <xf numFmtId="165" fontId="25" fillId="0" borderId="9" xfId="1" applyNumberFormat="1" applyFont="1" applyBorder="1" applyAlignment="1">
      <alignment vertical="top"/>
    </xf>
    <xf numFmtId="175" fontId="10" fillId="0" borderId="0" xfId="1" applyNumberFormat="1" applyFont="1" applyBorder="1" applyAlignment="1">
      <alignment horizontal="center" vertical="top"/>
    </xf>
    <xf numFmtId="170" fontId="10" fillId="0" borderId="0" xfId="1" applyNumberFormat="1" applyFont="1" applyBorder="1" applyAlignment="1">
      <alignment horizontal="left" vertical="top"/>
    </xf>
    <xf numFmtId="165" fontId="10" fillId="0" borderId="9" xfId="1" applyNumberFormat="1" applyFont="1" applyBorder="1" applyAlignment="1">
      <alignment vertical="top"/>
    </xf>
    <xf numFmtId="165" fontId="25" fillId="0" borderId="0" xfId="1" applyNumberFormat="1" applyFont="1" applyBorder="1" applyAlignment="1">
      <alignment horizontal="left" vertical="top"/>
    </xf>
    <xf numFmtId="175" fontId="25" fillId="0" borderId="0" xfId="1" applyNumberFormat="1" applyFont="1" applyBorder="1" applyAlignment="1">
      <alignment horizontal="center" vertical="top"/>
    </xf>
    <xf numFmtId="170" fontId="25" fillId="0" borderId="0" xfId="1" applyNumberFormat="1" applyFont="1" applyBorder="1" applyAlignment="1">
      <alignment horizontal="left" vertical="top"/>
    </xf>
    <xf numFmtId="10" fontId="5" fillId="0" borderId="0" xfId="7" applyNumberFormat="1" applyFont="1"/>
    <xf numFmtId="4" fontId="5" fillId="0" borderId="0" xfId="0" applyNumberFormat="1" applyFont="1"/>
    <xf numFmtId="0" fontId="7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3" fontId="26" fillId="0" borderId="9" xfId="0" applyNumberFormat="1" applyFont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1" fillId="0" borderId="10" xfId="0" applyFont="1" applyBorder="1" applyAlignment="1">
      <alignment horizontal="center"/>
    </xf>
    <xf numFmtId="165" fontId="9" fillId="0" borderId="9" xfId="1" applyNumberFormat="1" applyFont="1" applyBorder="1"/>
    <xf numFmtId="165" fontId="9" fillId="0" borderId="10" xfId="1" applyNumberFormat="1" applyFont="1" applyBorder="1"/>
    <xf numFmtId="167" fontId="16" fillId="0" borderId="0" xfId="3" applyNumberFormat="1" applyFont="1"/>
    <xf numFmtId="165" fontId="16" fillId="0" borderId="0" xfId="1" applyNumberFormat="1" applyFont="1"/>
    <xf numFmtId="3" fontId="5" fillId="0" borderId="0" xfId="0" quotePrefix="1" applyNumberFormat="1" applyFont="1" applyAlignment="1">
      <alignment vertical="center"/>
    </xf>
    <xf numFmtId="43" fontId="5" fillId="0" borderId="0" xfId="0" applyNumberFormat="1" applyFont="1"/>
    <xf numFmtId="165" fontId="13" fillId="0" borderId="0" xfId="1" applyNumberFormat="1" applyFont="1" applyAlignment="1">
      <alignment horizontal="center"/>
    </xf>
    <xf numFmtId="43" fontId="5" fillId="0" borderId="0" xfId="1" applyFont="1" applyBorder="1" applyAlignment="1"/>
    <xf numFmtId="43" fontId="5" fillId="0" borderId="0" xfId="1" applyFont="1" applyAlignment="1"/>
    <xf numFmtId="3" fontId="17" fillId="0" borderId="0" xfId="0" applyNumberFormat="1" applyFont="1" applyAlignment="1">
      <alignment horizontal="centerContinuous" vertical="center"/>
    </xf>
    <xf numFmtId="43" fontId="5" fillId="0" borderId="9" xfId="1" applyFont="1" applyBorder="1"/>
    <xf numFmtId="43" fontId="5" fillId="0" borderId="10" xfId="1" applyFont="1" applyBorder="1" applyAlignment="1"/>
    <xf numFmtId="43" fontId="5" fillId="0" borderId="9" xfId="1" applyFont="1" applyBorder="1" applyAlignment="1"/>
    <xf numFmtId="43" fontId="13" fillId="0" borderId="0" xfId="1" applyFont="1" applyBorder="1" applyAlignment="1">
      <alignment horizontal="center"/>
    </xf>
    <xf numFmtId="43" fontId="5" fillId="0" borderId="5" xfId="1" applyFont="1" applyBorder="1" applyAlignment="1"/>
    <xf numFmtId="165" fontId="16" fillId="0" borderId="0" xfId="0" applyNumberFormat="1" applyFont="1"/>
    <xf numFmtId="166" fontId="5" fillId="0" borderId="6" xfId="1" applyNumberFormat="1" applyFont="1" applyBorder="1"/>
    <xf numFmtId="0" fontId="5" fillId="0" borderId="3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9" xfId="0" applyFont="1" applyBorder="1"/>
    <xf numFmtId="3" fontId="5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8" fillId="0" borderId="10" xfId="0" applyFont="1" applyBorder="1" applyAlignment="1">
      <alignment horizontal="center"/>
    </xf>
    <xf numFmtId="3" fontId="5" fillId="0" borderId="10" xfId="0" applyNumberFormat="1" applyFont="1" applyBorder="1"/>
    <xf numFmtId="176" fontId="5" fillId="0" borderId="0" xfId="0" applyNumberFormat="1" applyFont="1"/>
    <xf numFmtId="10" fontId="5" fillId="0" borderId="0" xfId="7" applyNumberFormat="1" applyFont="1" applyBorder="1"/>
    <xf numFmtId="168" fontId="5" fillId="0" borderId="0" xfId="0" applyNumberFormat="1" applyFont="1"/>
    <xf numFmtId="3" fontId="0" fillId="0" borderId="0" xfId="0" applyNumberFormat="1"/>
    <xf numFmtId="0" fontId="9" fillId="0" borderId="0" xfId="0" applyFont="1"/>
    <xf numFmtId="44" fontId="5" fillId="0" borderId="0" xfId="6" applyFont="1" applyBorder="1"/>
    <xf numFmtId="44" fontId="5" fillId="0" borderId="10" xfId="6" applyFont="1" applyBorder="1"/>
    <xf numFmtId="0" fontId="17" fillId="0" borderId="0" xfId="0" applyFont="1"/>
    <xf numFmtId="169" fontId="17" fillId="0" borderId="0" xfId="0" applyNumberFormat="1" applyFont="1"/>
    <xf numFmtId="4" fontId="5" fillId="0" borderId="10" xfId="0" applyNumberFormat="1" applyFont="1" applyBorder="1"/>
    <xf numFmtId="0" fontId="5" fillId="0" borderId="5" xfId="0" applyFont="1" applyBorder="1"/>
    <xf numFmtId="0" fontId="5" fillId="0" borderId="15" xfId="0" applyFont="1" applyBorder="1"/>
    <xf numFmtId="3" fontId="5" fillId="0" borderId="6" xfId="0" applyNumberFormat="1" applyFont="1" applyBorder="1"/>
    <xf numFmtId="165" fontId="9" fillId="0" borderId="9" xfId="5" applyNumberFormat="1" applyFont="1" applyBorder="1"/>
    <xf numFmtId="3" fontId="4" fillId="0" borderId="0" xfId="0" applyNumberFormat="1" applyFont="1" applyAlignment="1">
      <alignment horizontal="right"/>
    </xf>
    <xf numFmtId="164" fontId="4" fillId="0" borderId="0" xfId="6" applyNumberFormat="1" applyFont="1"/>
    <xf numFmtId="167" fontId="5" fillId="0" borderId="0" xfId="3" applyNumberFormat="1" applyFont="1"/>
    <xf numFmtId="165" fontId="11" fillId="0" borderId="9" xfId="5" applyNumberFormat="1" applyFont="1" applyBorder="1" applyAlignment="1">
      <alignment horizontal="centerContinuous"/>
    </xf>
    <xf numFmtId="165" fontId="14" fillId="0" borderId="0" xfId="5" applyNumberFormat="1" applyFont="1" applyBorder="1" applyAlignment="1">
      <alignment horizontal="center" vertical="center"/>
    </xf>
    <xf numFmtId="164" fontId="5" fillId="0" borderId="0" xfId="2" quotePrefix="1" applyNumberFormat="1" applyFont="1" applyBorder="1" applyAlignment="1">
      <alignment horizontal="center"/>
    </xf>
    <xf numFmtId="165" fontId="5" fillId="0" borderId="11" xfId="5" quotePrefix="1" applyNumberFormat="1" applyFont="1" applyBorder="1" applyAlignment="1">
      <alignment horizontal="center"/>
    </xf>
    <xf numFmtId="165" fontId="5" fillId="0" borderId="2" xfId="5" applyNumberFormat="1" applyFont="1" applyBorder="1" applyAlignment="1">
      <alignment horizontal="left"/>
    </xf>
    <xf numFmtId="165" fontId="5" fillId="0" borderId="4" xfId="5" applyNumberFormat="1" applyFont="1" applyBorder="1" applyAlignment="1">
      <alignment horizontal="left"/>
    </xf>
    <xf numFmtId="165" fontId="9" fillId="0" borderId="9" xfId="1" quotePrefix="1" applyNumberFormat="1" applyFont="1" applyBorder="1" applyAlignment="1">
      <alignment horizontal="left"/>
    </xf>
    <xf numFmtId="165" fontId="9" fillId="0" borderId="0" xfId="1" quotePrefix="1" applyNumberFormat="1" applyFont="1" applyAlignment="1">
      <alignment horizontal="left"/>
    </xf>
    <xf numFmtId="165" fontId="9" fillId="0" borderId="10" xfId="1" quotePrefix="1" applyNumberFormat="1" applyFont="1" applyBorder="1" applyAlignment="1">
      <alignment horizontal="left"/>
    </xf>
    <xf numFmtId="3" fontId="9" fillId="0" borderId="0" xfId="0" applyNumberFormat="1" applyFont="1" applyAlignment="1">
      <alignment horizontal="left" vertical="center"/>
    </xf>
    <xf numFmtId="3" fontId="11" fillId="0" borderId="0" xfId="0" applyNumberFormat="1" applyFont="1" applyAlignment="1">
      <alignment horizontal="left" vertical="center"/>
    </xf>
    <xf numFmtId="3" fontId="28" fillId="0" borderId="0" xfId="0" applyNumberFormat="1" applyFont="1"/>
    <xf numFmtId="167" fontId="5" fillId="0" borderId="0" xfId="7" applyNumberFormat="1" applyFont="1" applyAlignment="1">
      <alignment horizontal="right"/>
    </xf>
    <xf numFmtId="165" fontId="13" fillId="0" borderId="0" xfId="5" applyNumberFormat="1" applyFont="1"/>
    <xf numFmtId="174" fontId="8" fillId="0" borderId="0" xfId="7" applyNumberFormat="1" applyFont="1"/>
    <xf numFmtId="165" fontId="13" fillId="0" borderId="0" xfId="5" applyNumberFormat="1" applyFont="1" applyAlignment="1">
      <alignment horizontal="center"/>
    </xf>
    <xf numFmtId="0" fontId="9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5" fillId="0" borderId="12" xfId="0" applyFont="1" applyBorder="1"/>
    <xf numFmtId="0" fontId="5" fillId="0" borderId="13" xfId="0" applyFont="1" applyBorder="1" applyAlignment="1">
      <alignment horizontal="centerContinuous"/>
    </xf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5" fillId="0" borderId="13" xfId="0" applyFont="1" applyBorder="1"/>
    <xf numFmtId="165" fontId="5" fillId="0" borderId="0" xfId="5" applyNumberFormat="1" applyFont="1" applyBorder="1" applyAlignment="1"/>
    <xf numFmtId="43" fontId="5" fillId="0" borderId="0" xfId="5" applyFont="1" applyBorder="1" applyAlignment="1"/>
    <xf numFmtId="43" fontId="5" fillId="0" borderId="0" xfId="5" applyFont="1" applyBorder="1"/>
    <xf numFmtId="43" fontId="5" fillId="0" borderId="13" xfId="1" applyFont="1" applyBorder="1"/>
    <xf numFmtId="43" fontId="12" fillId="0" borderId="13" xfId="1" applyFont="1" applyBorder="1"/>
    <xf numFmtId="170" fontId="5" fillId="0" borderId="0" xfId="5" applyNumberFormat="1" applyFont="1" applyBorder="1" applyAlignment="1"/>
    <xf numFmtId="0" fontId="5" fillId="0" borderId="10" xfId="0" applyFont="1" applyBorder="1"/>
    <xf numFmtId="0" fontId="5" fillId="0" borderId="0" xfId="0" applyFont="1" applyAlignment="1">
      <alignment vertical="center"/>
    </xf>
    <xf numFmtId="10" fontId="5" fillId="0" borderId="0" xfId="0" applyNumberFormat="1" applyFont="1" applyAlignment="1">
      <alignment vertical="center"/>
    </xf>
    <xf numFmtId="171" fontId="5" fillId="0" borderId="1" xfId="0" applyNumberFormat="1" applyFont="1" applyBorder="1"/>
    <xf numFmtId="171" fontId="5" fillId="0" borderId="0" xfId="0" applyNumberFormat="1" applyFont="1"/>
    <xf numFmtId="0" fontId="5" fillId="0" borderId="0" xfId="0" quotePrefix="1" applyFont="1"/>
    <xf numFmtId="0" fontId="5" fillId="0" borderId="6" xfId="0" applyFont="1" applyBorder="1"/>
    <xf numFmtId="0" fontId="15" fillId="0" borderId="0" xfId="0" applyFont="1" applyAlignment="1">
      <alignment horizontal="centerContinuous"/>
    </xf>
    <xf numFmtId="165" fontId="17" fillId="0" borderId="0" xfId="1" applyNumberFormat="1" applyFont="1" applyAlignment="1">
      <alignment horizontal="center" vertical="center"/>
    </xf>
    <xf numFmtId="0" fontId="17" fillId="0" borderId="0" xfId="0" applyFont="1" applyAlignment="1">
      <alignment horizontal="centerContinuous"/>
    </xf>
    <xf numFmtId="0" fontId="16" fillId="0" borderId="12" xfId="0" applyFont="1" applyBorder="1"/>
    <xf numFmtId="0" fontId="18" fillId="0" borderId="0" xfId="0" applyFont="1" applyAlignment="1">
      <alignment horizontal="centerContinuous"/>
    </xf>
    <xf numFmtId="0" fontId="16" fillId="0" borderId="1" xfId="0" applyFont="1" applyBorder="1"/>
    <xf numFmtId="3" fontId="29" fillId="0" borderId="4" xfId="0" applyNumberFormat="1" applyFont="1" applyBorder="1" applyAlignment="1">
      <alignment horizontal="center"/>
    </xf>
    <xf numFmtId="3" fontId="29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2" fontId="5" fillId="0" borderId="0" xfId="5" applyNumberFormat="1" applyFont="1" applyBorder="1" applyAlignment="1">
      <alignment vertical="center"/>
    </xf>
    <xf numFmtId="43" fontId="5" fillId="0" borderId="0" xfId="5" applyFont="1" applyBorder="1" applyAlignment="1">
      <alignment vertical="center"/>
    </xf>
    <xf numFmtId="165" fontId="5" fillId="0" borderId="0" xfId="5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73" fontId="5" fillId="0" borderId="0" xfId="0" applyNumberFormat="1" applyFont="1" applyAlignment="1">
      <alignment horizontal="left" vertical="center"/>
    </xf>
    <xf numFmtId="173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vertical="center"/>
    </xf>
    <xf numFmtId="168" fontId="5" fillId="0" borderId="0" xfId="0" applyNumberFormat="1" applyFont="1" applyAlignment="1">
      <alignment vertical="center"/>
    </xf>
    <xf numFmtId="168" fontId="5" fillId="0" borderId="0" xfId="0" applyNumberFormat="1" applyFont="1" applyAlignment="1">
      <alignment horizontal="left" vertical="center"/>
    </xf>
    <xf numFmtId="172" fontId="30" fillId="0" borderId="0" xfId="5" applyNumberFormat="1" applyFont="1" applyBorder="1" applyAlignment="1">
      <alignment vertical="center"/>
    </xf>
    <xf numFmtId="173" fontId="5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72" fontId="9" fillId="0" borderId="0" xfId="5" applyNumberFormat="1" applyFont="1" applyBorder="1" applyAlignment="1">
      <alignment vertical="center"/>
    </xf>
    <xf numFmtId="172" fontId="5" fillId="0" borderId="0" xfId="5" applyNumberFormat="1" applyFont="1" applyBorder="1" applyAlignment="1"/>
    <xf numFmtId="0" fontId="5" fillId="0" borderId="0" xfId="0" quotePrefix="1" applyFont="1" applyAlignment="1">
      <alignment horizontal="left" vertical="center"/>
    </xf>
    <xf numFmtId="165" fontId="14" fillId="0" borderId="0" xfId="1" applyNumberFormat="1" applyFont="1" applyBorder="1" applyAlignment="1">
      <alignment horizontal="center"/>
    </xf>
    <xf numFmtId="165" fontId="5" fillId="0" borderId="9" xfId="1" applyNumberFormat="1" applyFont="1" applyBorder="1" applyAlignment="1">
      <alignment horizontal="left"/>
    </xf>
    <xf numFmtId="165" fontId="4" fillId="0" borderId="0" xfId="1" applyNumberFormat="1" applyFont="1" applyAlignment="1" applyProtection="1">
      <alignment horizontal="right"/>
    </xf>
    <xf numFmtId="165" fontId="31" fillId="0" borderId="0" xfId="1" applyNumberFormat="1" applyFont="1" applyAlignment="1" applyProtection="1">
      <alignment horizontal="right"/>
    </xf>
    <xf numFmtId="165" fontId="31" fillId="0" borderId="0" xfId="1" applyNumberFormat="1" applyFont="1"/>
    <xf numFmtId="165" fontId="13" fillId="0" borderId="0" xfId="0" applyNumberFormat="1" applyFont="1"/>
    <xf numFmtId="43" fontId="5" fillId="0" borderId="0" xfId="1" applyFont="1" applyAlignment="1">
      <alignment horizontal="right"/>
    </xf>
    <xf numFmtId="165" fontId="5" fillId="0" borderId="0" xfId="1" applyNumberFormat="1" applyFont="1" applyAlignment="1">
      <alignment horizontal="right"/>
    </xf>
    <xf numFmtId="165" fontId="5" fillId="0" borderId="0" xfId="5" applyNumberFormat="1" applyFont="1" applyAlignment="1">
      <alignment horizontal="right"/>
    </xf>
    <xf numFmtId="172" fontId="5" fillId="0" borderId="0" xfId="1" applyNumberFormat="1" applyFont="1"/>
    <xf numFmtId="165" fontId="32" fillId="0" borderId="0" xfId="1" applyNumberFormat="1" applyFont="1"/>
    <xf numFmtId="175" fontId="10" fillId="0" borderId="0" xfId="1" quotePrefix="1" applyNumberFormat="1" applyFont="1" applyBorder="1" applyAlignment="1">
      <alignment horizontal="center" vertical="top"/>
    </xf>
    <xf numFmtId="3" fontId="19" fillId="0" borderId="0" xfId="0" applyNumberFormat="1" applyFont="1" applyAlignment="1">
      <alignment horizontal="left"/>
    </xf>
    <xf numFmtId="164" fontId="5" fillId="0" borderId="0" xfId="6" applyNumberFormat="1" applyFont="1" applyBorder="1"/>
    <xf numFmtId="164" fontId="9" fillId="0" borderId="0" xfId="6" applyNumberFormat="1" applyFont="1" applyBorder="1"/>
    <xf numFmtId="167" fontId="5" fillId="0" borderId="0" xfId="0" applyNumberFormat="1" applyFont="1"/>
    <xf numFmtId="164" fontId="9" fillId="0" borderId="1" xfId="6" applyNumberFormat="1" applyFont="1" applyBorder="1"/>
    <xf numFmtId="164" fontId="5" fillId="0" borderId="0" xfId="2" applyNumberFormat="1" applyFont="1" applyBorder="1" applyAlignment="1"/>
    <xf numFmtId="3" fontId="11" fillId="0" borderId="0" xfId="0" applyNumberFormat="1" applyFont="1" applyAlignment="1">
      <alignment horizontal="center"/>
    </xf>
    <xf numFmtId="167" fontId="5" fillId="0" borderId="0" xfId="3" applyNumberFormat="1" applyFont="1" applyBorder="1" applyAlignment="1"/>
    <xf numFmtId="43" fontId="10" fillId="0" borderId="9" xfId="1" applyFont="1" applyBorder="1" applyAlignment="1">
      <alignment vertical="top"/>
    </xf>
    <xf numFmtId="43" fontId="5" fillId="0" borderId="9" xfId="1" applyFont="1" applyBorder="1" applyAlignment="1">
      <alignment horizontal="left"/>
    </xf>
    <xf numFmtId="43" fontId="9" fillId="0" borderId="9" xfId="1" applyFont="1" applyBorder="1"/>
    <xf numFmtId="3" fontId="5" fillId="0" borderId="9" xfId="0" applyNumberFormat="1" applyFont="1" applyBorder="1"/>
    <xf numFmtId="10" fontId="5" fillId="0" borderId="0" xfId="0" applyNumberFormat="1" applyFont="1"/>
    <xf numFmtId="43" fontId="9" fillId="0" borderId="5" xfId="1" applyFont="1" applyBorder="1" applyAlignment="1"/>
    <xf numFmtId="44" fontId="5" fillId="0" borderId="0" xfId="6" applyFont="1" applyBorder="1" applyAlignment="1"/>
    <xf numFmtId="165" fontId="5" fillId="0" borderId="1" xfId="5" applyNumberFormat="1" applyFont="1" applyBorder="1" applyAlignment="1"/>
    <xf numFmtId="0" fontId="16" fillId="0" borderId="3" xfId="0" applyFont="1" applyBorder="1"/>
    <xf numFmtId="0" fontId="16" fillId="0" borderId="2" xfId="0" applyFont="1" applyBorder="1"/>
    <xf numFmtId="0" fontId="16" fillId="0" borderId="4" xfId="0" applyFont="1" applyBorder="1"/>
    <xf numFmtId="0" fontId="16" fillId="0" borderId="9" xfId="0" applyFont="1" applyBorder="1"/>
    <xf numFmtId="0" fontId="16" fillId="0" borderId="10" xfId="0" applyFont="1" applyBorder="1"/>
    <xf numFmtId="0" fontId="16" fillId="0" borderId="5" xfId="0" applyFont="1" applyBorder="1"/>
    <xf numFmtId="0" fontId="16" fillId="0" borderId="6" xfId="0" applyFont="1" applyBorder="1"/>
    <xf numFmtId="165" fontId="13" fillId="0" borderId="0" xfId="5" applyNumberFormat="1" applyFont="1" applyBorder="1" applyAlignment="1">
      <alignment horizontal="center"/>
    </xf>
    <xf numFmtId="165" fontId="13" fillId="0" borderId="10" xfId="5" applyNumberFormat="1" applyFont="1" applyBorder="1" applyAlignment="1">
      <alignment horizontal="center"/>
    </xf>
    <xf numFmtId="167" fontId="5" fillId="0" borderId="0" xfId="7" applyNumberFormat="1" applyFont="1" applyBorder="1"/>
    <xf numFmtId="167" fontId="5" fillId="0" borderId="10" xfId="7" applyNumberFormat="1" applyFont="1" applyBorder="1"/>
    <xf numFmtId="165" fontId="5" fillId="2" borderId="0" xfId="5" applyNumberFormat="1" applyFont="1" applyFill="1" applyBorder="1"/>
    <xf numFmtId="43" fontId="5" fillId="2" borderId="0" xfId="5" applyFont="1" applyFill="1" applyBorder="1"/>
    <xf numFmtId="167" fontId="5" fillId="2" borderId="0" xfId="7" applyNumberFormat="1" applyFont="1" applyFill="1" applyBorder="1"/>
    <xf numFmtId="165" fontId="5" fillId="0" borderId="5" xfId="5" applyNumberFormat="1" applyFont="1" applyBorder="1"/>
    <xf numFmtId="0" fontId="5" fillId="0" borderId="0" xfId="0" applyFont="1" applyAlignment="1">
      <alignment horizontal="left"/>
    </xf>
    <xf numFmtId="165" fontId="5" fillId="0" borderId="0" xfId="5" applyNumberFormat="1" applyFont="1" applyBorder="1" applyAlignment="1">
      <alignment horizontal="right"/>
    </xf>
    <xf numFmtId="165" fontId="17" fillId="0" borderId="10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165" fontId="9" fillId="0" borderId="0" xfId="0" applyNumberFormat="1" applyFont="1"/>
    <xf numFmtId="165" fontId="5" fillId="0" borderId="0" xfId="5" quotePrefix="1" applyNumberFormat="1" applyFont="1"/>
    <xf numFmtId="165" fontId="0" fillId="0" borderId="0" xfId="1" applyNumberFormat="1" applyFont="1"/>
    <xf numFmtId="165" fontId="10" fillId="0" borderId="0" xfId="1" quotePrefix="1" applyNumberFormat="1" applyFont="1" applyBorder="1" applyAlignment="1">
      <alignment horizontal="left" vertical="top"/>
    </xf>
    <xf numFmtId="164" fontId="5" fillId="0" borderId="0" xfId="5" applyNumberFormat="1" applyFont="1" applyAlignment="1">
      <alignment vertical="center"/>
    </xf>
    <xf numFmtId="37" fontId="5" fillId="0" borderId="0" xfId="5" applyNumberFormat="1" applyFont="1" applyAlignment="1">
      <alignment vertical="center"/>
    </xf>
    <xf numFmtId="10" fontId="5" fillId="0" borderId="0" xfId="3" quotePrefix="1" applyNumberFormat="1" applyFont="1"/>
    <xf numFmtId="37" fontId="8" fillId="0" borderId="0" xfId="0" applyNumberFormat="1" applyFont="1" applyAlignment="1">
      <alignment horizontal="center"/>
    </xf>
    <xf numFmtId="166" fontId="5" fillId="0" borderId="0" xfId="6" applyNumberFormat="1" applyFont="1"/>
    <xf numFmtId="43" fontId="8" fillId="0" borderId="0" xfId="1" applyFont="1" applyAlignment="1">
      <alignment horizontal="center"/>
    </xf>
    <xf numFmtId="43" fontId="5" fillId="0" borderId="0" xfId="1" quotePrefix="1" applyFont="1"/>
    <xf numFmtId="165" fontId="14" fillId="0" borderId="9" xfId="5" applyNumberFormat="1" applyFont="1" applyBorder="1" applyAlignment="1">
      <alignment horizontal="center"/>
    </xf>
    <xf numFmtId="165" fontId="14" fillId="0" borderId="0" xfId="5" applyNumberFormat="1" applyFont="1" applyBorder="1" applyAlignment="1">
      <alignment horizontal="center"/>
    </xf>
    <xf numFmtId="165" fontId="14" fillId="0" borderId="0" xfId="5" quotePrefix="1" applyNumberFormat="1" applyFont="1" applyBorder="1" applyAlignment="1">
      <alignment horizontal="center"/>
    </xf>
    <xf numFmtId="165" fontId="14" fillId="0" borderId="0" xfId="5" applyNumberFormat="1" applyFont="1" applyAlignment="1">
      <alignment horizontal="center"/>
    </xf>
    <xf numFmtId="165" fontId="13" fillId="0" borderId="9" xfId="5" applyNumberFormat="1" applyFont="1" applyBorder="1"/>
    <xf numFmtId="165" fontId="5" fillId="2" borderId="3" xfId="5" applyNumberFormat="1" applyFont="1" applyFill="1" applyBorder="1"/>
    <xf numFmtId="165" fontId="5" fillId="2" borderId="2" xfId="5" applyNumberFormat="1" applyFont="1" applyFill="1" applyBorder="1"/>
    <xf numFmtId="165" fontId="14" fillId="2" borderId="2" xfId="5" applyNumberFormat="1" applyFont="1" applyFill="1" applyBorder="1" applyAlignment="1">
      <alignment horizontal="center"/>
    </xf>
    <xf numFmtId="165" fontId="14" fillId="2" borderId="2" xfId="5" quotePrefix="1" applyNumberFormat="1" applyFont="1" applyFill="1" applyBorder="1" applyAlignment="1">
      <alignment horizontal="center"/>
    </xf>
    <xf numFmtId="165" fontId="14" fillId="2" borderId="4" xfId="5" quotePrefix="1" applyNumberFormat="1" applyFont="1" applyFill="1" applyBorder="1" applyAlignment="1">
      <alignment horizontal="center"/>
    </xf>
    <xf numFmtId="165" fontId="5" fillId="2" borderId="9" xfId="5" applyNumberFormat="1" applyFont="1" applyFill="1" applyBorder="1"/>
    <xf numFmtId="165" fontId="5" fillId="2" borderId="0" xfId="5" quotePrefix="1" applyNumberFormat="1" applyFont="1" applyFill="1" applyBorder="1" applyAlignment="1">
      <alignment horizontal="right"/>
    </xf>
    <xf numFmtId="165" fontId="5" fillId="2" borderId="10" xfId="5" applyNumberFormat="1" applyFont="1" applyFill="1" applyBorder="1"/>
    <xf numFmtId="165" fontId="13" fillId="2" borderId="0" xfId="5" applyNumberFormat="1" applyFont="1" applyFill="1" applyBorder="1"/>
    <xf numFmtId="165" fontId="13" fillId="2" borderId="10" xfId="5" applyNumberFormat="1" applyFont="1" applyFill="1" applyBorder="1"/>
    <xf numFmtId="165" fontId="5" fillId="2" borderId="5" xfId="5" applyNumberFormat="1" applyFont="1" applyFill="1" applyBorder="1"/>
    <xf numFmtId="165" fontId="5" fillId="2" borderId="1" xfId="5" applyNumberFormat="1" applyFont="1" applyFill="1" applyBorder="1"/>
    <xf numFmtId="165" fontId="5" fillId="2" borderId="1" xfId="5" applyNumberFormat="1" applyFont="1" applyFill="1" applyBorder="1" applyAlignment="1">
      <alignment vertical="top"/>
    </xf>
    <xf numFmtId="165" fontId="5" fillId="2" borderId="6" xfId="5" applyNumberFormat="1" applyFont="1" applyFill="1" applyBorder="1" applyAlignment="1">
      <alignment vertical="top"/>
    </xf>
    <xf numFmtId="10" fontId="0" fillId="0" borderId="0" xfId="3" applyNumberFormat="1" applyFont="1"/>
    <xf numFmtId="1" fontId="5" fillId="0" borderId="0" xfId="1" applyNumberFormat="1" applyFont="1"/>
    <xf numFmtId="165" fontId="14" fillId="0" borderId="0" xfId="5" applyNumberFormat="1" applyFont="1" applyFill="1" applyBorder="1" applyAlignment="1">
      <alignment horizontal="center"/>
    </xf>
    <xf numFmtId="165" fontId="14" fillId="0" borderId="9" xfId="5" applyNumberFormat="1" applyFont="1" applyFill="1" applyBorder="1" applyAlignment="1">
      <alignment horizontal="center"/>
    </xf>
    <xf numFmtId="165" fontId="9" fillId="0" borderId="0" xfId="5" applyNumberFormat="1" applyFont="1" applyBorder="1" applyAlignment="1">
      <alignment horizontal="right"/>
    </xf>
    <xf numFmtId="165" fontId="9" fillId="0" borderId="11" xfId="5" applyNumberFormat="1" applyFont="1" applyBorder="1" applyAlignment="1">
      <alignment horizontal="left"/>
    </xf>
    <xf numFmtId="165" fontId="9" fillId="0" borderId="11" xfId="1" applyNumberFormat="1" applyFont="1" applyBorder="1" applyAlignment="1">
      <alignment horizontal="left"/>
    </xf>
    <xf numFmtId="165" fontId="5" fillId="0" borderId="0" xfId="5" applyNumberFormat="1" applyFont="1" applyBorder="1" applyAlignment="1">
      <alignment horizontal="center"/>
    </xf>
    <xf numFmtId="165" fontId="9" fillId="0" borderId="0" xfId="1" quotePrefix="1" applyNumberFormat="1" applyFont="1" applyBorder="1" applyAlignment="1">
      <alignment horizontal="left"/>
    </xf>
    <xf numFmtId="165" fontId="10" fillId="0" borderId="0" xfId="1" applyNumberFormat="1" applyFont="1" applyFill="1" applyBorder="1" applyAlignment="1">
      <alignment horizontal="left" vertical="top"/>
    </xf>
    <xf numFmtId="165" fontId="0" fillId="0" borderId="0" xfId="0" applyNumberFormat="1"/>
    <xf numFmtId="170" fontId="10" fillId="0" borderId="0" xfId="1" applyNumberFormat="1" applyFont="1" applyBorder="1" applyAlignment="1">
      <alignment horizontal="right" vertical="top"/>
    </xf>
    <xf numFmtId="165" fontId="1" fillId="0" borderId="0" xfId="1" applyNumberFormat="1" applyFont="1"/>
    <xf numFmtId="170" fontId="10" fillId="0" borderId="0" xfId="1" applyNumberFormat="1" applyFont="1" applyBorder="1" applyAlignment="1">
      <alignment vertical="top"/>
    </xf>
    <xf numFmtId="43" fontId="14" fillId="0" borderId="0" xfId="1" applyFont="1" applyBorder="1" applyAlignment="1">
      <alignment horizontal="center"/>
    </xf>
    <xf numFmtId="44" fontId="5" fillId="0" borderId="0" xfId="2" applyFont="1" applyBorder="1" applyAlignment="1">
      <alignment horizontal="center" vertical="center"/>
    </xf>
    <xf numFmtId="43" fontId="5" fillId="0" borderId="0" xfId="1" applyFont="1" applyBorder="1" applyAlignment="1">
      <alignment horizontal="center"/>
    </xf>
    <xf numFmtId="43" fontId="5" fillId="0" borderId="0" xfId="1" applyFont="1" applyBorder="1" applyAlignment="1">
      <alignment horizontal="center" vertical="center"/>
    </xf>
    <xf numFmtId="43" fontId="5" fillId="0" borderId="0" xfId="1" applyFont="1" applyFill="1" applyBorder="1" applyAlignment="1">
      <alignment horizontal="center" vertical="center"/>
    </xf>
    <xf numFmtId="43" fontId="5" fillId="0" borderId="0" xfId="1" applyFont="1" applyFill="1" applyBorder="1" applyAlignment="1">
      <alignment horizontal="center"/>
    </xf>
    <xf numFmtId="0" fontId="5" fillId="0" borderId="0" xfId="0" quotePrefix="1" applyFont="1" applyAlignment="1">
      <alignment horizontal="center"/>
    </xf>
    <xf numFmtId="43" fontId="13" fillId="0" borderId="0" xfId="1" applyFont="1" applyBorder="1" applyAlignment="1">
      <alignment horizontal="center" vertical="center"/>
    </xf>
    <xf numFmtId="165" fontId="8" fillId="0" borderId="0" xfId="1" applyNumberFormat="1" applyFont="1" applyAlignment="1">
      <alignment horizontal="center"/>
    </xf>
    <xf numFmtId="43" fontId="12" fillId="0" borderId="0" xfId="1" applyFont="1" applyFill="1" applyBorder="1" applyAlignment="1">
      <alignment horizontal="center"/>
    </xf>
    <xf numFmtId="43" fontId="12" fillId="0" borderId="0" xfId="1" applyFont="1" applyBorder="1" applyAlignment="1">
      <alignment horizontal="center"/>
    </xf>
    <xf numFmtId="43" fontId="13" fillId="0" borderId="0" xfId="0" applyNumberFormat="1" applyFont="1"/>
    <xf numFmtId="43" fontId="13" fillId="0" borderId="0" xfId="1" applyFont="1"/>
    <xf numFmtId="43" fontId="9" fillId="0" borderId="0" xfId="0" applyNumberFormat="1" applyFont="1"/>
    <xf numFmtId="0" fontId="5" fillId="0" borderId="0" xfId="0" quotePrefix="1" applyFont="1" applyAlignment="1">
      <alignment horizontal="right"/>
    </xf>
    <xf numFmtId="43" fontId="5" fillId="0" borderId="0" xfId="1" quotePrefix="1" applyFont="1" applyAlignment="1">
      <alignment horizontal="center"/>
    </xf>
    <xf numFmtId="9" fontId="8" fillId="0" borderId="0" xfId="3" applyFont="1"/>
    <xf numFmtId="165" fontId="5" fillId="0" borderId="0" xfId="3" applyNumberFormat="1" applyFont="1"/>
    <xf numFmtId="165" fontId="5" fillId="0" borderId="0" xfId="1" quotePrefix="1" applyNumberFormat="1" applyFont="1" applyAlignment="1">
      <alignment horizontal="center"/>
    </xf>
    <xf numFmtId="43" fontId="40" fillId="0" borderId="0" xfId="1" applyFont="1" applyBorder="1" applyAlignment="1">
      <alignment horizontal="center"/>
    </xf>
    <xf numFmtId="43" fontId="41" fillId="0" borderId="0" xfId="1" applyFont="1" applyBorder="1" applyAlignment="1">
      <alignment horizontal="left"/>
    </xf>
    <xf numFmtId="165" fontId="8" fillId="0" borderId="0" xfId="1" applyNumberFormat="1" applyFont="1"/>
    <xf numFmtId="43" fontId="9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165" fontId="17" fillId="0" borderId="0" xfId="1" applyNumberFormat="1" applyFont="1" applyBorder="1" applyAlignment="1">
      <alignment horizontal="center" vertical="center"/>
    </xf>
    <xf numFmtId="164" fontId="4" fillId="0" borderId="0" xfId="6" applyNumberFormat="1" applyFont="1" applyAlignment="1">
      <alignment horizontal="right"/>
    </xf>
    <xf numFmtId="165" fontId="5" fillId="0" borderId="9" xfId="5" quotePrefix="1" applyNumberFormat="1" applyFont="1" applyBorder="1" applyAlignment="1">
      <alignment horizontal="center"/>
    </xf>
    <xf numFmtId="164" fontId="9" fillId="0" borderId="9" xfId="2" quotePrefix="1" applyNumberFormat="1" applyFont="1" applyBorder="1" applyAlignment="1">
      <alignment horizontal="left"/>
    </xf>
    <xf numFmtId="43" fontId="13" fillId="0" borderId="0" xfId="5" applyFont="1" applyAlignment="1">
      <alignment horizontal="center"/>
    </xf>
    <xf numFmtId="9" fontId="5" fillId="0" borderId="0" xfId="7" applyFont="1"/>
    <xf numFmtId="43" fontId="13" fillId="0" borderId="0" xfId="5" applyFont="1"/>
    <xf numFmtId="43" fontId="5" fillId="0" borderId="0" xfId="5" applyFont="1" applyAlignment="1">
      <alignment horizontal="right"/>
    </xf>
    <xf numFmtId="43" fontId="9" fillId="0" borderId="0" xfId="5" applyFont="1"/>
    <xf numFmtId="43" fontId="9" fillId="0" borderId="0" xfId="5" applyFont="1" applyAlignment="1">
      <alignment horizontal="right"/>
    </xf>
    <xf numFmtId="3" fontId="32" fillId="0" borderId="0" xfId="0" applyNumberFormat="1" applyFont="1"/>
    <xf numFmtId="0" fontId="9" fillId="0" borderId="0" xfId="0" applyFont="1" applyAlignment="1">
      <alignment horizontal="right"/>
    </xf>
    <xf numFmtId="43" fontId="9" fillId="0" borderId="0" xfId="1" applyFont="1"/>
    <xf numFmtId="165" fontId="9" fillId="0" borderId="0" xfId="1" applyNumberFormat="1" applyFont="1" applyAlignment="1">
      <alignment horizontal="right"/>
    </xf>
    <xf numFmtId="176" fontId="0" fillId="0" borderId="0" xfId="0" applyNumberFormat="1"/>
    <xf numFmtId="3" fontId="43" fillId="0" borderId="0" xfId="0" applyNumberFormat="1" applyFont="1"/>
    <xf numFmtId="0" fontId="43" fillId="0" borderId="0" xfId="0" applyFont="1" applyAlignment="1">
      <alignment horizontal="right"/>
    </xf>
    <xf numFmtId="165" fontId="43" fillId="0" borderId="0" xfId="1" applyNumberFormat="1" applyFont="1"/>
    <xf numFmtId="169" fontId="5" fillId="0" borderId="0" xfId="1" applyNumberFormat="1" applyFont="1"/>
    <xf numFmtId="165" fontId="12" fillId="0" borderId="0" xfId="1" applyNumberFormat="1" applyFont="1" applyAlignment="1">
      <alignment horizontal="right"/>
    </xf>
    <xf numFmtId="165" fontId="8" fillId="0" borderId="0" xfId="1" applyNumberFormat="1" applyFont="1" applyAlignment="1">
      <alignment horizontal="right"/>
    </xf>
    <xf numFmtId="165" fontId="44" fillId="0" borderId="0" xfId="1" applyNumberFormat="1" applyFont="1" applyAlignment="1">
      <alignment horizontal="right"/>
    </xf>
    <xf numFmtId="165" fontId="17" fillId="0" borderId="1" xfId="1" applyNumberFormat="1" applyFont="1" applyBorder="1" applyAlignment="1">
      <alignment horizontal="center" vertical="center"/>
    </xf>
    <xf numFmtId="165" fontId="45" fillId="0" borderId="0" xfId="5" applyNumberFormat="1" applyFont="1"/>
    <xf numFmtId="165" fontId="45" fillId="0" borderId="3" xfId="5" applyNumberFormat="1" applyFont="1" applyBorder="1"/>
    <xf numFmtId="165" fontId="45" fillId="0" borderId="2" xfId="5" applyNumberFormat="1" applyFont="1" applyBorder="1"/>
    <xf numFmtId="165" fontId="45" fillId="0" borderId="4" xfId="5" applyNumberFormat="1" applyFont="1" applyBorder="1"/>
    <xf numFmtId="165" fontId="45" fillId="0" borderId="9" xfId="5" applyNumberFormat="1" applyFont="1" applyBorder="1"/>
    <xf numFmtId="165" fontId="17" fillId="0" borderId="10" xfId="5" applyNumberFormat="1" applyFont="1" applyBorder="1" applyAlignment="1">
      <alignment horizontal="center"/>
    </xf>
    <xf numFmtId="165" fontId="17" fillId="0" borderId="0" xfId="5" applyNumberFormat="1" applyFont="1" applyBorder="1" applyAlignment="1">
      <alignment horizontal="center"/>
    </xf>
    <xf numFmtId="165" fontId="45" fillId="0" borderId="5" xfId="5" applyNumberFormat="1" applyFont="1" applyBorder="1"/>
    <xf numFmtId="165" fontId="17" fillId="0" borderId="1" xfId="5" applyNumberFormat="1" applyFont="1" applyBorder="1" applyAlignment="1">
      <alignment horizontal="center"/>
    </xf>
    <xf numFmtId="165" fontId="17" fillId="0" borderId="6" xfId="5" applyNumberFormat="1" applyFont="1" applyBorder="1" applyAlignment="1">
      <alignment horizontal="center"/>
    </xf>
    <xf numFmtId="165" fontId="45" fillId="0" borderId="0" xfId="5" applyNumberFormat="1" applyFont="1" applyBorder="1"/>
    <xf numFmtId="165" fontId="45" fillId="0" borderId="10" xfId="5" applyNumberFormat="1" applyFont="1" applyBorder="1"/>
    <xf numFmtId="165" fontId="47" fillId="0" borderId="0" xfId="5" applyNumberFormat="1" applyFont="1" applyBorder="1" applyAlignment="1">
      <alignment horizontal="center"/>
    </xf>
    <xf numFmtId="165" fontId="48" fillId="0" borderId="0" xfId="5" applyNumberFormat="1" applyFont="1" applyBorder="1" applyAlignment="1">
      <alignment horizontal="center"/>
    </xf>
    <xf numFmtId="165" fontId="48" fillId="0" borderId="10" xfId="5" applyNumberFormat="1" applyFont="1" applyBorder="1" applyAlignment="1">
      <alignment horizontal="center"/>
    </xf>
    <xf numFmtId="165" fontId="48" fillId="0" borderId="0" xfId="5" applyNumberFormat="1" applyFont="1" applyAlignment="1">
      <alignment horizontal="center"/>
    </xf>
    <xf numFmtId="165" fontId="48" fillId="0" borderId="0" xfId="5" quotePrefix="1" applyNumberFormat="1" applyFont="1" applyBorder="1" applyAlignment="1">
      <alignment horizontal="center"/>
    </xf>
    <xf numFmtId="43" fontId="48" fillId="0" borderId="0" xfId="5" quotePrefix="1" applyFont="1" applyBorder="1" applyAlignment="1">
      <alignment horizontal="center"/>
    </xf>
    <xf numFmtId="165" fontId="48" fillId="0" borderId="10" xfId="5" quotePrefix="1" applyNumberFormat="1" applyFont="1" applyBorder="1" applyAlignment="1">
      <alignment horizontal="center"/>
    </xf>
    <xf numFmtId="165" fontId="48" fillId="0" borderId="0" xfId="5" quotePrefix="1" applyNumberFormat="1" applyFont="1" applyAlignment="1">
      <alignment horizontal="center"/>
    </xf>
    <xf numFmtId="165" fontId="45" fillId="0" borderId="0" xfId="5" quotePrefix="1" applyNumberFormat="1" applyFont="1" applyBorder="1" applyAlignment="1">
      <alignment horizontal="center"/>
    </xf>
    <xf numFmtId="165" fontId="45" fillId="0" borderId="0" xfId="5" applyNumberFormat="1" applyFont="1" applyBorder="1" applyAlignment="1">
      <alignment horizontal="center"/>
    </xf>
    <xf numFmtId="165" fontId="49" fillId="0" borderId="0" xfId="5" applyNumberFormat="1" applyFont="1" applyBorder="1"/>
    <xf numFmtId="165" fontId="47" fillId="0" borderId="0" xfId="5" applyNumberFormat="1" applyFont="1" applyBorder="1" applyAlignment="1">
      <alignment horizontal="right"/>
    </xf>
    <xf numFmtId="165" fontId="46" fillId="0" borderId="1" xfId="5" applyNumberFormat="1" applyFont="1" applyBorder="1"/>
    <xf numFmtId="165" fontId="45" fillId="0" borderId="1" xfId="5" applyNumberFormat="1" applyFont="1" applyBorder="1"/>
    <xf numFmtId="165" fontId="45" fillId="0" borderId="0" xfId="5" quotePrefix="1" applyNumberFormat="1" applyFont="1" applyBorder="1"/>
    <xf numFmtId="165" fontId="47" fillId="0" borderId="0" xfId="5" applyNumberFormat="1" applyFont="1" applyBorder="1"/>
    <xf numFmtId="165" fontId="45" fillId="0" borderId="0" xfId="5" quotePrefix="1" applyNumberFormat="1" applyFont="1" applyBorder="1" applyAlignment="1">
      <alignment horizontal="right"/>
    </xf>
    <xf numFmtId="43" fontId="45" fillId="0" borderId="0" xfId="5" applyFont="1" applyBorder="1"/>
    <xf numFmtId="165" fontId="45" fillId="0" borderId="0" xfId="5" applyNumberFormat="1" applyFont="1" applyBorder="1" applyAlignment="1">
      <alignment horizontal="right"/>
    </xf>
    <xf numFmtId="165" fontId="45" fillId="0" borderId="6" xfId="5" applyNumberFormat="1" applyFont="1" applyBorder="1"/>
    <xf numFmtId="165" fontId="17" fillId="0" borderId="0" xfId="5" applyNumberFormat="1" applyFont="1" applyBorder="1"/>
    <xf numFmtId="165" fontId="9" fillId="0" borderId="0" xfId="5" applyNumberFormat="1" applyFont="1" applyBorder="1"/>
    <xf numFmtId="166" fontId="9" fillId="0" borderId="0" xfId="5" applyNumberFormat="1" applyFont="1" applyBorder="1"/>
    <xf numFmtId="166" fontId="5" fillId="0" borderId="0" xfId="5" applyNumberFormat="1" applyFont="1" applyBorder="1"/>
    <xf numFmtId="166" fontId="5" fillId="0" borderId="0" xfId="6" applyNumberFormat="1" applyFont="1" applyBorder="1"/>
    <xf numFmtId="166" fontId="9" fillId="2" borderId="8" xfId="5" applyNumberFormat="1" applyFont="1" applyFill="1" applyBorder="1" applyAlignment="1">
      <alignment horizontal="center"/>
    </xf>
    <xf numFmtId="166" fontId="9" fillId="0" borderId="0" xfId="6" applyNumberFormat="1" applyFont="1" applyBorder="1" applyAlignment="1">
      <alignment horizontal="center"/>
    </xf>
    <xf numFmtId="166" fontId="9" fillId="0" borderId="0" xfId="5" applyNumberFormat="1" applyFont="1" applyBorder="1" applyAlignment="1">
      <alignment horizontal="center"/>
    </xf>
    <xf numFmtId="166" fontId="9" fillId="2" borderId="11" xfId="5" applyNumberFormat="1" applyFont="1" applyFill="1" applyBorder="1" applyAlignment="1">
      <alignment horizontal="center"/>
    </xf>
    <xf numFmtId="166" fontId="11" fillId="0" borderId="0" xfId="6" applyNumberFormat="1" applyFont="1" applyBorder="1" applyAlignment="1">
      <alignment horizontal="right"/>
    </xf>
    <xf numFmtId="165" fontId="14" fillId="2" borderId="11" xfId="5" applyNumberFormat="1" applyFont="1" applyFill="1" applyBorder="1" applyAlignment="1">
      <alignment horizontal="center"/>
    </xf>
    <xf numFmtId="43" fontId="5" fillId="2" borderId="11" xfId="5" applyFont="1" applyFill="1" applyBorder="1"/>
    <xf numFmtId="43" fontId="5" fillId="2" borderId="7" xfId="5" applyFont="1" applyFill="1" applyBorder="1"/>
    <xf numFmtId="167" fontId="5" fillId="0" borderId="0" xfId="3" applyNumberFormat="1" applyFont="1" applyBorder="1"/>
    <xf numFmtId="44" fontId="5" fillId="2" borderId="11" xfId="2" applyFont="1" applyFill="1" applyBorder="1"/>
    <xf numFmtId="165" fontId="6" fillId="0" borderId="1" xfId="1" applyNumberFormat="1" applyFont="1" applyBorder="1" applyAlignment="1">
      <alignment horizontal="center" vertical="center"/>
    </xf>
    <xf numFmtId="165" fontId="6" fillId="0" borderId="6" xfId="1" applyNumberFormat="1" applyFont="1" applyBorder="1" applyAlignment="1">
      <alignment horizontal="center" vertical="center"/>
    </xf>
    <xf numFmtId="165" fontId="5" fillId="0" borderId="2" xfId="1" applyNumberFormat="1" applyFont="1" applyBorder="1" applyAlignment="1">
      <alignment horizontal="center"/>
    </xf>
    <xf numFmtId="165" fontId="5" fillId="0" borderId="4" xfId="1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166" fontId="5" fillId="0" borderId="0" xfId="2" applyNumberFormat="1" applyFont="1" applyBorder="1"/>
    <xf numFmtId="165" fontId="17" fillId="2" borderId="16" xfId="5" applyNumberFormat="1" applyFont="1" applyFill="1" applyBorder="1"/>
    <xf numFmtId="166" fontId="5" fillId="2" borderId="17" xfId="2" applyNumberFormat="1" applyFont="1" applyFill="1" applyBorder="1"/>
    <xf numFmtId="0" fontId="11" fillId="0" borderId="0" xfId="0" quotePrefix="1" applyFont="1"/>
    <xf numFmtId="165" fontId="12" fillId="0" borderId="0" xfId="0" applyNumberFormat="1" applyFont="1"/>
    <xf numFmtId="0" fontId="12" fillId="0" borderId="0" xfId="0" applyFont="1"/>
    <xf numFmtId="0" fontId="5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65" fontId="27" fillId="0" borderId="0" xfId="5" applyNumberFormat="1" applyFont="1"/>
    <xf numFmtId="0" fontId="15" fillId="0" borderId="0" xfId="0" quotePrefix="1" applyFont="1"/>
    <xf numFmtId="0" fontId="15" fillId="0" borderId="0" xfId="0" applyFont="1"/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65" fontId="51" fillId="0" borderId="0" xfId="5" applyNumberFormat="1" applyFont="1" applyBorder="1" applyAlignment="1">
      <alignment horizontal="left" vertical="center"/>
    </xf>
    <xf numFmtId="165" fontId="4" fillId="0" borderId="0" xfId="1" applyNumberFormat="1" applyFont="1" applyAlignment="1" applyProtection="1">
      <alignment horizontal="right" vertical="center"/>
    </xf>
    <xf numFmtId="164" fontId="4" fillId="0" borderId="0" xfId="6" applyNumberFormat="1" applyFont="1" applyAlignment="1">
      <alignment horizontal="right" vertical="center"/>
    </xf>
    <xf numFmtId="165" fontId="31" fillId="0" borderId="0" xfId="1" applyNumberFormat="1" applyFont="1" applyAlignment="1" applyProtection="1">
      <alignment horizontal="right" vertical="center"/>
    </xf>
    <xf numFmtId="3" fontId="4" fillId="0" borderId="0" xfId="0" applyNumberFormat="1" applyFont="1" applyAlignment="1">
      <alignment horizontal="right" vertical="center"/>
    </xf>
    <xf numFmtId="10" fontId="5" fillId="0" borderId="0" xfId="3" applyNumberFormat="1" applyFont="1" applyAlignment="1">
      <alignment vertical="center"/>
    </xf>
    <xf numFmtId="43" fontId="51" fillId="0" borderId="0" xfId="1" quotePrefix="1" applyFont="1" applyAlignment="1">
      <alignment horizontal="center"/>
    </xf>
    <xf numFmtId="43" fontId="5" fillId="0" borderId="0" xfId="5" applyFont="1" applyFill="1" applyBorder="1"/>
    <xf numFmtId="43" fontId="5" fillId="0" borderId="5" xfId="5" applyFont="1" applyFill="1" applyBorder="1"/>
    <xf numFmtId="43" fontId="5" fillId="0" borderId="1" xfId="5" applyFont="1" applyFill="1" applyBorder="1"/>
    <xf numFmtId="167" fontId="5" fillId="0" borderId="1" xfId="7" applyNumberFormat="1" applyFont="1" applyBorder="1"/>
    <xf numFmtId="166" fontId="5" fillId="2" borderId="18" xfId="2" applyNumberFormat="1" applyFont="1" applyFill="1" applyBorder="1"/>
    <xf numFmtId="165" fontId="16" fillId="0" borderId="2" xfId="1" applyNumberFormat="1" applyFont="1" applyBorder="1"/>
    <xf numFmtId="3" fontId="6" fillId="0" borderId="9" xfId="0" applyNumberFormat="1" applyFont="1" applyBorder="1" applyAlignment="1">
      <alignment horizontal="centerContinuous" vertical="center"/>
    </xf>
    <xf numFmtId="3" fontId="16" fillId="0" borderId="0" xfId="0" applyNumberFormat="1" applyFont="1" applyAlignment="1">
      <alignment horizontal="centerContinuous" vertical="center"/>
    </xf>
    <xf numFmtId="165" fontId="16" fillId="0" borderId="0" xfId="1" applyNumberFormat="1" applyFont="1" applyBorder="1" applyAlignment="1">
      <alignment horizontal="centerContinuous" vertical="center"/>
    </xf>
    <xf numFmtId="3" fontId="16" fillId="0" borderId="10" xfId="0" applyNumberFormat="1" applyFont="1" applyBorder="1" applyAlignment="1">
      <alignment horizontal="centerContinuous" vertical="center"/>
    </xf>
    <xf numFmtId="3" fontId="18" fillId="0" borderId="0" xfId="0" applyNumberFormat="1" applyFont="1" applyAlignment="1">
      <alignment horizontal="centerContinuous" vertical="center"/>
    </xf>
    <xf numFmtId="165" fontId="27" fillId="0" borderId="9" xfId="1" applyNumberFormat="1" applyFont="1" applyBorder="1"/>
    <xf numFmtId="3" fontId="5" fillId="0" borderId="9" xfId="0" applyNumberFormat="1" applyFont="1" applyBorder="1" applyAlignment="1">
      <alignment vertical="center"/>
    </xf>
    <xf numFmtId="3" fontId="11" fillId="0" borderId="0" xfId="0" applyNumberFormat="1" applyFont="1" applyAlignment="1">
      <alignment horizontal="center" vertical="center"/>
    </xf>
    <xf numFmtId="165" fontId="11" fillId="0" borderId="0" xfId="1" applyNumberFormat="1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" fontId="35" fillId="0" borderId="0" xfId="0" applyNumberFormat="1" applyFont="1" applyAlignment="1">
      <alignment horizontal="center" vertical="center"/>
    </xf>
    <xf numFmtId="164" fontId="5" fillId="0" borderId="10" xfId="0" applyNumberFormat="1" applyFont="1" applyBorder="1" applyAlignment="1">
      <alignment vertical="center"/>
    </xf>
    <xf numFmtId="165" fontId="5" fillId="0" borderId="10" xfId="5" applyNumberFormat="1" applyFont="1" applyBorder="1" applyAlignment="1">
      <alignment vertical="center"/>
    </xf>
    <xf numFmtId="165" fontId="13" fillId="0" borderId="0" xfId="1" applyNumberFormat="1" applyFont="1" applyBorder="1" applyAlignment="1">
      <alignment vertical="center"/>
    </xf>
    <xf numFmtId="165" fontId="13" fillId="0" borderId="0" xfId="5" applyNumberFormat="1" applyFont="1" applyBorder="1" applyAlignment="1">
      <alignment vertical="center"/>
    </xf>
    <xf numFmtId="165" fontId="13" fillId="0" borderId="10" xfId="5" applyNumberFormat="1" applyFont="1" applyBorder="1" applyAlignment="1">
      <alignment vertical="center"/>
    </xf>
    <xf numFmtId="3" fontId="9" fillId="0" borderId="9" xfId="0" applyNumberFormat="1" applyFont="1" applyBorder="1" applyAlignment="1">
      <alignment vertical="center"/>
    </xf>
    <xf numFmtId="37" fontId="5" fillId="0" borderId="10" xfId="0" applyNumberFormat="1" applyFont="1" applyBorder="1" applyAlignment="1">
      <alignment vertical="center"/>
    </xf>
    <xf numFmtId="3" fontId="36" fillId="0" borderId="0" xfId="0" applyNumberFormat="1" applyFont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165" fontId="13" fillId="0" borderId="10" xfId="1" applyNumberFormat="1" applyFont="1" applyBorder="1" applyAlignment="1">
      <alignment vertical="center"/>
    </xf>
    <xf numFmtId="3" fontId="37" fillId="0" borderId="0" xfId="0" applyNumberFormat="1" applyFont="1" applyAlignment="1">
      <alignment horizontal="center" vertical="center"/>
    </xf>
    <xf numFmtId="3" fontId="34" fillId="0" borderId="0" xfId="0" applyNumberFormat="1" applyFont="1" applyAlignment="1">
      <alignment horizontal="center" vertical="center"/>
    </xf>
    <xf numFmtId="165" fontId="8" fillId="0" borderId="0" xfId="1" applyNumberFormat="1" applyFont="1" applyBorder="1" applyAlignment="1">
      <alignment vertical="center"/>
    </xf>
    <xf numFmtId="165" fontId="53" fillId="0" borderId="10" xfId="1" applyNumberFormat="1" applyFont="1" applyBorder="1" applyAlignment="1">
      <alignment vertical="center"/>
    </xf>
    <xf numFmtId="167" fontId="5" fillId="0" borderId="0" xfId="0" applyNumberFormat="1" applyFont="1" applyAlignment="1">
      <alignment vertical="center"/>
    </xf>
    <xf numFmtId="167" fontId="5" fillId="0" borderId="10" xfId="0" applyNumberFormat="1" applyFont="1" applyBorder="1" applyAlignment="1">
      <alignment vertical="center"/>
    </xf>
    <xf numFmtId="3" fontId="5" fillId="0" borderId="5" xfId="0" applyNumberFormat="1" applyFont="1" applyBorder="1"/>
    <xf numFmtId="3" fontId="5" fillId="0" borderId="3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37" fontId="5" fillId="0" borderId="2" xfId="0" applyNumberFormat="1" applyFont="1" applyBorder="1" applyAlignment="1">
      <alignment vertical="center"/>
    </xf>
    <xf numFmtId="165" fontId="5" fillId="0" borderId="2" xfId="1" applyNumberFormat="1" applyFont="1" applyBorder="1" applyAlignment="1">
      <alignment vertical="center"/>
    </xf>
    <xf numFmtId="3" fontId="5" fillId="0" borderId="2" xfId="0" applyNumberFormat="1" applyFont="1" applyBorder="1" applyAlignment="1">
      <alignment horizontal="center" vertical="center"/>
    </xf>
    <xf numFmtId="37" fontId="5" fillId="0" borderId="4" xfId="0" applyNumberFormat="1" applyFont="1" applyBorder="1" applyAlignment="1">
      <alignment vertical="center"/>
    </xf>
    <xf numFmtId="3" fontId="17" fillId="0" borderId="5" xfId="0" applyNumberFormat="1" applyFont="1" applyBorder="1" applyAlignment="1">
      <alignment horizontal="centerContinuous" vertical="center"/>
    </xf>
    <xf numFmtId="3" fontId="18" fillId="0" borderId="1" xfId="0" applyNumberFormat="1" applyFont="1" applyBorder="1" applyAlignment="1">
      <alignment horizontal="centerContinuous" vertical="center"/>
    </xf>
    <xf numFmtId="3" fontId="16" fillId="0" borderId="1" xfId="0" applyNumberFormat="1" applyFont="1" applyBorder="1" applyAlignment="1">
      <alignment horizontal="centerContinuous" vertical="center"/>
    </xf>
    <xf numFmtId="165" fontId="16" fillId="0" borderId="1" xfId="1" applyNumberFormat="1" applyFont="1" applyBorder="1" applyAlignment="1">
      <alignment horizontal="centerContinuous" vertical="center"/>
    </xf>
    <xf numFmtId="3" fontId="16" fillId="0" borderId="6" xfId="0" applyNumberFormat="1" applyFont="1" applyBorder="1" applyAlignment="1">
      <alignment horizontal="centerContinuous" vertical="center"/>
    </xf>
    <xf numFmtId="165" fontId="8" fillId="0" borderId="0" xfId="5" applyNumberFormat="1" applyFont="1" applyBorder="1" applyAlignment="1">
      <alignment vertical="center"/>
    </xf>
    <xf numFmtId="165" fontId="7" fillId="0" borderId="5" xfId="5" applyNumberFormat="1" applyFont="1" applyBorder="1" applyAlignment="1">
      <alignment horizontal="center"/>
    </xf>
    <xf numFmtId="165" fontId="7" fillId="0" borderId="1" xfId="5" applyNumberFormat="1" applyFont="1" applyBorder="1" applyAlignment="1">
      <alignment horizontal="center"/>
    </xf>
    <xf numFmtId="165" fontId="7" fillId="0" borderId="6" xfId="5" applyNumberFormat="1" applyFont="1" applyBorder="1" applyAlignment="1">
      <alignment horizontal="center"/>
    </xf>
    <xf numFmtId="165" fontId="17" fillId="0" borderId="6" xfId="1" applyNumberFormat="1" applyFont="1" applyBorder="1" applyAlignment="1">
      <alignment horizontal="center" vertical="center"/>
    </xf>
    <xf numFmtId="0" fontId="0" fillId="0" borderId="9" xfId="0" applyBorder="1"/>
    <xf numFmtId="0" fontId="15" fillId="3" borderId="0" xfId="0" applyFont="1" applyFill="1" applyAlignment="1">
      <alignment horizontal="center"/>
    </xf>
    <xf numFmtId="0" fontId="23" fillId="3" borderId="0" xfId="0" applyFont="1" applyFill="1"/>
    <xf numFmtId="3" fontId="11" fillId="3" borderId="0" xfId="0" applyNumberFormat="1" applyFont="1" applyFill="1" applyAlignment="1">
      <alignment horizontal="center"/>
    </xf>
    <xf numFmtId="3" fontId="8" fillId="3" borderId="0" xfId="0" applyNumberFormat="1" applyFont="1" applyFill="1" applyAlignment="1">
      <alignment horizontal="left"/>
    </xf>
    <xf numFmtId="3" fontId="8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3" fontId="5" fillId="3" borderId="0" xfId="0" applyNumberFormat="1" applyFont="1" applyFill="1" applyAlignment="1">
      <alignment horizontal="right"/>
    </xf>
    <xf numFmtId="165" fontId="5" fillId="3" borderId="0" xfId="5" applyNumberFormat="1" applyFont="1" applyFill="1" applyAlignment="1"/>
    <xf numFmtId="166" fontId="5" fillId="3" borderId="0" xfId="6" applyNumberFormat="1" applyFont="1" applyFill="1" applyAlignment="1">
      <alignment horizontal="right"/>
    </xf>
    <xf numFmtId="166" fontId="5" fillId="3" borderId="0" xfId="6" applyNumberFormat="1" applyFont="1" applyFill="1"/>
    <xf numFmtId="10" fontId="5" fillId="3" borderId="0" xfId="7" applyNumberFormat="1" applyFont="1" applyFill="1"/>
    <xf numFmtId="2" fontId="5" fillId="3" borderId="0" xfId="5" applyNumberFormat="1" applyFont="1" applyFill="1" applyAlignment="1">
      <alignment horizontal="right"/>
    </xf>
    <xf numFmtId="0" fontId="5" fillId="3" borderId="0" xfId="0" applyFont="1" applyFill="1" applyAlignment="1">
      <alignment horizontal="center"/>
    </xf>
    <xf numFmtId="43" fontId="13" fillId="3" borderId="0" xfId="1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2" fontId="5" fillId="3" borderId="0" xfId="6" applyNumberFormat="1" applyFont="1" applyFill="1" applyAlignment="1">
      <alignment horizontal="right"/>
    </xf>
    <xf numFmtId="2" fontId="5" fillId="3" borderId="0" xfId="6" applyNumberFormat="1" applyFont="1" applyFill="1"/>
    <xf numFmtId="43" fontId="13" fillId="3" borderId="0" xfId="5" applyFont="1" applyFill="1" applyAlignment="1">
      <alignment horizontal="center"/>
    </xf>
    <xf numFmtId="43" fontId="5" fillId="3" borderId="0" xfId="5" applyFont="1" applyFill="1" applyBorder="1" applyAlignment="1">
      <alignment horizontal="right"/>
    </xf>
    <xf numFmtId="43" fontId="13" fillId="3" borderId="0" xfId="1" applyFont="1" applyFill="1" applyAlignment="1">
      <alignment horizontal="center" vertical="center"/>
    </xf>
    <xf numFmtId="3" fontId="24" fillId="3" borderId="0" xfId="0" applyNumberFormat="1" applyFont="1" applyFill="1"/>
    <xf numFmtId="43" fontId="13" fillId="3" borderId="0" xfId="1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166" fontId="5" fillId="3" borderId="0" xfId="5" applyNumberFormat="1" applyFont="1" applyFill="1"/>
    <xf numFmtId="167" fontId="5" fillId="3" borderId="0" xfId="7" applyNumberFormat="1" applyFont="1" applyFill="1"/>
    <xf numFmtId="0" fontId="15" fillId="0" borderId="9" xfId="2" applyNumberFormat="1" applyFont="1" applyBorder="1" applyAlignment="1">
      <alignment horizontal="center" vertical="center"/>
    </xf>
    <xf numFmtId="0" fontId="15" fillId="0" borderId="0" xfId="2" applyNumberFormat="1" applyFont="1" applyBorder="1" applyAlignment="1">
      <alignment horizontal="center" vertical="center"/>
    </xf>
    <xf numFmtId="165" fontId="14" fillId="0" borderId="9" xfId="5" applyNumberFormat="1" applyFont="1" applyBorder="1" applyAlignment="1">
      <alignment horizontal="center"/>
    </xf>
    <xf numFmtId="165" fontId="14" fillId="0" borderId="0" xfId="5" applyNumberFormat="1" applyFont="1" applyBorder="1" applyAlignment="1">
      <alignment horizontal="center"/>
    </xf>
    <xf numFmtId="165" fontId="11" fillId="0" borderId="0" xfId="5" applyNumberFormat="1" applyFont="1" applyBorder="1" applyAlignment="1">
      <alignment horizontal="center"/>
    </xf>
    <xf numFmtId="165" fontId="6" fillId="0" borderId="9" xfId="5" applyNumberFormat="1" applyFont="1" applyBorder="1" applyAlignment="1">
      <alignment horizontal="center"/>
    </xf>
    <xf numFmtId="165" fontId="6" fillId="0" borderId="0" xfId="5" applyNumberFormat="1" applyFont="1" applyBorder="1" applyAlignment="1">
      <alignment horizontal="center"/>
    </xf>
    <xf numFmtId="165" fontId="6" fillId="0" borderId="10" xfId="5" applyNumberFormat="1" applyFont="1" applyBorder="1" applyAlignment="1">
      <alignment horizontal="center"/>
    </xf>
    <xf numFmtId="165" fontId="7" fillId="0" borderId="9" xfId="5" applyNumberFormat="1" applyFont="1" applyBorder="1" applyAlignment="1">
      <alignment horizontal="center"/>
    </xf>
    <xf numFmtId="165" fontId="7" fillId="0" borderId="0" xfId="5" applyNumberFormat="1" applyFont="1" applyBorder="1" applyAlignment="1">
      <alignment horizontal="center"/>
    </xf>
    <xf numFmtId="165" fontId="7" fillId="0" borderId="10" xfId="5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165" fontId="17" fillId="0" borderId="0" xfId="1" applyNumberFormat="1" applyFont="1" applyAlignment="1">
      <alignment horizontal="center" vertical="center"/>
    </xf>
    <xf numFmtId="3" fontId="29" fillId="0" borderId="2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165" fontId="17" fillId="0" borderId="9" xfId="1" applyNumberFormat="1" applyFont="1" applyBorder="1" applyAlignment="1">
      <alignment horizontal="center" vertical="center"/>
    </xf>
    <xf numFmtId="165" fontId="17" fillId="0" borderId="0" xfId="1" applyNumberFormat="1" applyFont="1" applyBorder="1" applyAlignment="1">
      <alignment horizontal="center" vertical="center"/>
    </xf>
    <xf numFmtId="165" fontId="17" fillId="0" borderId="10" xfId="1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43" fontId="13" fillId="0" borderId="0" xfId="1" applyFont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165" fontId="48" fillId="0" borderId="0" xfId="5" applyNumberFormat="1" applyFont="1" applyBorder="1" applyAlignment="1">
      <alignment horizontal="center"/>
    </xf>
    <xf numFmtId="43" fontId="50" fillId="0" borderId="0" xfId="1" applyFont="1" applyBorder="1" applyAlignment="1">
      <alignment horizontal="left"/>
    </xf>
    <xf numFmtId="165" fontId="51" fillId="0" borderId="0" xfId="5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0" xfId="0" applyFont="1" applyBorder="1" applyAlignment="1">
      <alignment horizontal="center"/>
    </xf>
    <xf numFmtId="43" fontId="51" fillId="0" borderId="0" xfId="1" quotePrefix="1" applyFont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0" fontId="42" fillId="0" borderId="1" xfId="0" applyFont="1" applyBorder="1" applyAlignment="1">
      <alignment horizontal="center"/>
    </xf>
    <xf numFmtId="165" fontId="14" fillId="0" borderId="9" xfId="5" quotePrefix="1" applyNumberFormat="1" applyFont="1" applyBorder="1" applyAlignment="1">
      <alignment horizontal="center"/>
    </xf>
    <xf numFmtId="165" fontId="14" fillId="0" borderId="0" xfId="5" quotePrefix="1" applyNumberFormat="1" applyFont="1" applyBorder="1" applyAlignment="1">
      <alignment horizontal="center"/>
    </xf>
    <xf numFmtId="165" fontId="13" fillId="0" borderId="0" xfId="5" applyNumberFormat="1" applyFont="1" applyAlignment="1">
      <alignment horizontal="center"/>
    </xf>
    <xf numFmtId="165" fontId="14" fillId="0" borderId="0" xfId="5" quotePrefix="1" applyNumberFormat="1" applyFont="1" applyAlignment="1">
      <alignment horizontal="center"/>
    </xf>
    <xf numFmtId="43" fontId="8" fillId="0" borderId="0" xfId="1" applyFont="1" applyAlignment="1">
      <alignment horizontal="center"/>
    </xf>
    <xf numFmtId="0" fontId="15" fillId="3" borderId="0" xfId="0" applyFont="1" applyFill="1" applyAlignment="1">
      <alignment horizontal="center"/>
    </xf>
    <xf numFmtId="3" fontId="15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3" fontId="11" fillId="3" borderId="0" xfId="0" applyNumberFormat="1" applyFont="1" applyFill="1" applyAlignment="1">
      <alignment horizontal="center"/>
    </xf>
    <xf numFmtId="43" fontId="13" fillId="3" borderId="0" xfId="1" applyFont="1" applyFill="1" applyAlignment="1">
      <alignment horizontal="center" vertical="center"/>
    </xf>
    <xf numFmtId="43" fontId="13" fillId="3" borderId="0" xfId="5" applyFont="1" applyFill="1" applyAlignment="1">
      <alignment horizontal="center"/>
    </xf>
    <xf numFmtId="3" fontId="8" fillId="3" borderId="0" xfId="0" applyNumberFormat="1" applyFont="1" applyFill="1" applyAlignment="1">
      <alignment horizontal="center"/>
    </xf>
  </cellXfs>
  <cellStyles count="8">
    <cellStyle name="Comma" xfId="1" builtinId="3"/>
    <cellStyle name="Comma 2" xfId="5" xr:uid="{00000000-0005-0000-0000-000001000000}"/>
    <cellStyle name="Currency" xfId="2" builtinId="4"/>
    <cellStyle name="Currency 2" xfId="6" xr:uid="{00000000-0005-0000-0000-000003000000}"/>
    <cellStyle name="Normal" xfId="0" builtinId="0"/>
    <cellStyle name="Normal 2" xfId="4" xr:uid="{00000000-0005-0000-0000-000005000000}"/>
    <cellStyle name="Percent" xfId="3" builtinId="5"/>
    <cellStyle name="Percent 2" xfId="7" xr:uid="{00000000-0005-0000-0000-000007000000}"/>
  </cellStyles>
  <dxfs count="0"/>
  <tableStyles count="0" defaultTableStyle="TableStyleMedium9" defaultPivotStyle="PivotStyleLight16"/>
  <colors>
    <mruColors>
      <color rgb="FFFFFFCC"/>
      <color rgb="FFA0FE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Cumulative Billed Usage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Usage!$AB$5:$AB$27</c:f>
              <c:numCache>
                <c:formatCode>_(* #,##0_);_(* \(#,##0\);_(* "-"??_);_(@_)</c:formatCode>
                <c:ptCount val="23"/>
                <c:pt idx="0" formatCode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  <c:pt idx="19">
                  <c:v>95000</c:v>
                </c:pt>
                <c:pt idx="20">
                  <c:v>100000</c:v>
                </c:pt>
                <c:pt idx="21">
                  <c:v>105000</c:v>
                </c:pt>
                <c:pt idx="22">
                  <c:v>110000</c:v>
                </c:pt>
              </c:numCache>
            </c:numRef>
          </c:cat>
          <c:val>
            <c:numRef>
              <c:f>Usage!$AC$5:$AC$27</c:f>
              <c:numCache>
                <c:formatCode>_(* #,##0_);_(* \(#,##0\);_(* "-"??_);_(@_)</c:formatCode>
                <c:ptCount val="23"/>
                <c:pt idx="0" formatCode="0">
                  <c:v>0</c:v>
                </c:pt>
                <c:pt idx="1">
                  <c:v>189568700</c:v>
                </c:pt>
                <c:pt idx="2">
                  <c:v>293488000</c:v>
                </c:pt>
                <c:pt idx="3">
                  <c:v>329939000</c:v>
                </c:pt>
                <c:pt idx="4">
                  <c:v>348168400</c:v>
                </c:pt>
                <c:pt idx="5">
                  <c:v>359690200</c:v>
                </c:pt>
                <c:pt idx="6">
                  <c:v>368152900</c:v>
                </c:pt>
                <c:pt idx="7">
                  <c:v>374138200</c:v>
                </c:pt>
                <c:pt idx="8">
                  <c:v>378281900</c:v>
                </c:pt>
                <c:pt idx="9">
                  <c:v>382250600</c:v>
                </c:pt>
                <c:pt idx="10">
                  <c:v>385682700</c:v>
                </c:pt>
                <c:pt idx="11">
                  <c:v>388816500</c:v>
                </c:pt>
                <c:pt idx="12">
                  <c:v>390843300</c:v>
                </c:pt>
                <c:pt idx="13">
                  <c:v>393839400</c:v>
                </c:pt>
                <c:pt idx="14">
                  <c:v>396063700</c:v>
                </c:pt>
                <c:pt idx="15">
                  <c:v>398016000</c:v>
                </c:pt>
                <c:pt idx="16">
                  <c:v>399712900</c:v>
                </c:pt>
                <c:pt idx="17">
                  <c:v>401277300</c:v>
                </c:pt>
                <c:pt idx="18">
                  <c:v>403630100</c:v>
                </c:pt>
                <c:pt idx="19">
                  <c:v>405475900</c:v>
                </c:pt>
                <c:pt idx="20">
                  <c:v>406549500</c:v>
                </c:pt>
                <c:pt idx="21">
                  <c:v>407685300</c:v>
                </c:pt>
                <c:pt idx="22">
                  <c:v>408656600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14-4862-A9E8-47237E8E4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1361664"/>
        <c:axId val="701355008"/>
      </c:lineChart>
      <c:catAx>
        <c:axId val="701361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355008"/>
        <c:crosses val="autoZero"/>
        <c:auto val="1"/>
        <c:lblAlgn val="ctr"/>
        <c:lblOffset val="100"/>
        <c:noMultiLvlLbl val="0"/>
      </c:catAx>
      <c:valAx>
        <c:axId val="70135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36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381000</xdr:colOff>
      <xdr:row>6</xdr:row>
      <xdr:rowOff>147637</xdr:rowOff>
    </xdr:from>
    <xdr:to>
      <xdr:col>36</xdr:col>
      <xdr:colOff>647700</xdr:colOff>
      <xdr:row>27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90A893-AFE6-4C26-8223-4ECBF6E51A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93"/>
  <sheetViews>
    <sheetView tabSelected="1" topLeftCell="B29" workbookViewId="0">
      <selection activeCell="H59" sqref="H59"/>
    </sheetView>
  </sheetViews>
  <sheetFormatPr defaultColWidth="8.77734375" defaultRowHeight="15.75" x14ac:dyDescent="0.5"/>
  <cols>
    <col min="1" max="1" width="3.5546875" style="51" customWidth="1"/>
    <col min="2" max="2" width="3.6640625" style="51" customWidth="1"/>
    <col min="3" max="3" width="2.6640625" style="51" customWidth="1"/>
    <col min="4" max="4" width="29.44140625" style="51" customWidth="1"/>
    <col min="5" max="5" width="10.33203125" style="51" customWidth="1"/>
    <col min="6" max="6" width="11.109375" style="159" customWidth="1"/>
    <col min="7" max="7" width="4.77734375" style="51" customWidth="1"/>
    <col min="8" max="8" width="10.5546875" style="51" customWidth="1"/>
    <col min="9" max="9" width="1.21875" style="51" customWidth="1"/>
    <col min="10" max="10" width="9.6640625" style="51" customWidth="1"/>
    <col min="11" max="13" width="11.33203125" style="51" customWidth="1"/>
    <col min="14" max="14" width="10.88671875" style="51" customWidth="1"/>
    <col min="15" max="16384" width="8.77734375" style="51"/>
  </cols>
  <sheetData>
    <row r="2" spans="2:14" ht="9" customHeight="1" x14ac:dyDescent="0.5">
      <c r="B2" s="290"/>
      <c r="C2" s="291"/>
      <c r="D2" s="291"/>
      <c r="E2" s="291"/>
      <c r="F2" s="480"/>
      <c r="G2" s="291"/>
      <c r="H2" s="291"/>
      <c r="I2" s="292"/>
    </row>
    <row r="3" spans="2:14" ht="18" x14ac:dyDescent="0.5">
      <c r="B3" s="481" t="s">
        <v>124</v>
      </c>
      <c r="C3" s="482"/>
      <c r="D3" s="482"/>
      <c r="E3" s="482"/>
      <c r="F3" s="483"/>
      <c r="G3" s="482"/>
      <c r="H3" s="482"/>
      <c r="I3" s="484"/>
      <c r="J3" s="72"/>
      <c r="K3" s="72"/>
      <c r="L3" s="72"/>
      <c r="M3" s="72"/>
    </row>
    <row r="4" spans="2:14" ht="18" x14ac:dyDescent="0.5">
      <c r="B4" s="117" t="s">
        <v>207</v>
      </c>
      <c r="C4" s="485"/>
      <c r="D4" s="482"/>
      <c r="E4" s="482"/>
      <c r="F4" s="483"/>
      <c r="G4" s="482"/>
      <c r="H4" s="482"/>
      <c r="I4" s="484"/>
      <c r="J4" s="72"/>
      <c r="K4" s="72"/>
      <c r="L4" s="72"/>
      <c r="M4" s="72"/>
    </row>
    <row r="5" spans="2:14" ht="9" customHeight="1" x14ac:dyDescent="0.5">
      <c r="B5" s="520"/>
      <c r="C5" s="521"/>
      <c r="D5" s="522"/>
      <c r="E5" s="522"/>
      <c r="F5" s="523"/>
      <c r="G5" s="522"/>
      <c r="H5" s="522"/>
      <c r="I5" s="524"/>
      <c r="J5" s="72"/>
      <c r="K5" s="72"/>
      <c r="L5" s="72"/>
      <c r="M5" s="72"/>
    </row>
    <row r="6" spans="2:14" ht="6.95" customHeight="1" x14ac:dyDescent="0.55000000000000004">
      <c r="B6" s="486"/>
      <c r="C6" s="485"/>
      <c r="D6" s="482"/>
      <c r="E6" s="482"/>
      <c r="F6" s="483"/>
      <c r="G6" s="482"/>
      <c r="H6" s="482"/>
      <c r="I6" s="484"/>
      <c r="J6" s="72"/>
      <c r="K6" s="72"/>
      <c r="L6" s="72"/>
      <c r="M6" s="72"/>
    </row>
    <row r="7" spans="2:14" x14ac:dyDescent="0.5">
      <c r="B7" s="487"/>
      <c r="C7" s="73"/>
      <c r="D7" s="73"/>
      <c r="E7" s="488" t="s">
        <v>125</v>
      </c>
      <c r="F7" s="489" t="s">
        <v>126</v>
      </c>
      <c r="G7" s="488" t="s">
        <v>127</v>
      </c>
      <c r="H7" s="488" t="s">
        <v>128</v>
      </c>
      <c r="I7" s="490"/>
      <c r="J7" s="64"/>
      <c r="K7" s="64"/>
      <c r="L7" s="64"/>
      <c r="M7" s="64"/>
    </row>
    <row r="8" spans="2:14" x14ac:dyDescent="0.5">
      <c r="B8" s="491" t="s">
        <v>545</v>
      </c>
      <c r="C8" s="73"/>
      <c r="D8" s="73"/>
      <c r="E8" s="73"/>
      <c r="F8" s="492"/>
      <c r="G8" s="73"/>
      <c r="H8" s="73"/>
      <c r="I8" s="493"/>
      <c r="J8" s="64"/>
      <c r="K8" s="64"/>
      <c r="L8" s="64"/>
      <c r="M8" s="64"/>
    </row>
    <row r="9" spans="2:14" x14ac:dyDescent="0.5">
      <c r="B9" s="487"/>
      <c r="C9" s="73" t="s">
        <v>155</v>
      </c>
      <c r="D9" s="73"/>
      <c r="E9" s="74">
        <v>3934832</v>
      </c>
      <c r="F9" s="492">
        <f>H9-E9</f>
        <v>65282.021999999415</v>
      </c>
      <c r="G9" s="494" t="s">
        <v>281</v>
      </c>
      <c r="H9" s="74">
        <f>ExBA!F8</f>
        <v>4000114.0219999994</v>
      </c>
      <c r="I9" s="495"/>
      <c r="J9" s="76" t="s">
        <v>463</v>
      </c>
      <c r="K9" s="473">
        <f>F9/E9</f>
        <v>1.6590802860198203E-2</v>
      </c>
      <c r="L9" s="64"/>
      <c r="M9" s="64"/>
    </row>
    <row r="10" spans="2:14" x14ac:dyDescent="0.5">
      <c r="B10" s="487"/>
      <c r="C10" s="73" t="s">
        <v>20</v>
      </c>
      <c r="D10" s="73"/>
      <c r="E10" s="492">
        <v>102205</v>
      </c>
      <c r="F10" s="492">
        <f>H10-E10</f>
        <v>2</v>
      </c>
      <c r="G10" s="494" t="s">
        <v>281</v>
      </c>
      <c r="H10" s="247">
        <f>ExBA!E28</f>
        <v>102207</v>
      </c>
      <c r="I10" s="496"/>
      <c r="J10" s="76"/>
      <c r="K10" s="64"/>
      <c r="L10" s="64"/>
      <c r="M10" s="64"/>
      <c r="N10" s="158"/>
    </row>
    <row r="11" spans="2:14" x14ac:dyDescent="0.5">
      <c r="B11" s="487"/>
      <c r="C11" s="73" t="s">
        <v>21</v>
      </c>
      <c r="D11" s="73"/>
      <c r="E11" s="492"/>
      <c r="F11" s="492"/>
      <c r="G11" s="494"/>
      <c r="H11" s="247"/>
      <c r="I11" s="496"/>
      <c r="J11" s="64"/>
      <c r="K11" s="64"/>
      <c r="L11" s="64"/>
      <c r="M11" s="64"/>
    </row>
    <row r="12" spans="2:14" x14ac:dyDescent="0.5">
      <c r="B12" s="487"/>
      <c r="C12" s="73"/>
      <c r="D12" s="73" t="s">
        <v>154</v>
      </c>
      <c r="E12" s="492">
        <v>59316</v>
      </c>
      <c r="F12" s="492"/>
      <c r="G12" s="494"/>
      <c r="H12" s="247">
        <f>E12+F12</f>
        <v>59316</v>
      </c>
      <c r="I12" s="496"/>
      <c r="J12" s="76"/>
      <c r="K12" s="64"/>
      <c r="L12" s="64"/>
      <c r="M12" s="64"/>
    </row>
    <row r="13" spans="2:14" ht="16.5" x14ac:dyDescent="0.5">
      <c r="B13" s="487"/>
      <c r="C13" s="73"/>
      <c r="D13" s="73" t="s">
        <v>22</v>
      </c>
      <c r="E13" s="497">
        <v>15616</v>
      </c>
      <c r="F13" s="492"/>
      <c r="G13" s="494"/>
      <c r="H13" s="498">
        <f>E13+F13</f>
        <v>15616</v>
      </c>
      <c r="I13" s="499"/>
      <c r="J13" s="76"/>
      <c r="K13" s="64"/>
      <c r="L13" s="64"/>
      <c r="M13" s="64"/>
    </row>
    <row r="14" spans="2:14" x14ac:dyDescent="0.5">
      <c r="B14" s="500" t="s">
        <v>557</v>
      </c>
      <c r="C14" s="73"/>
      <c r="D14" s="73"/>
      <c r="E14" s="74">
        <f>SUM(E9:E13)</f>
        <v>4111969</v>
      </c>
      <c r="F14" s="492"/>
      <c r="G14" s="494"/>
      <c r="H14" s="74">
        <f>SUM(H9:H13)</f>
        <v>4177253.0219999994</v>
      </c>
      <c r="I14" s="495"/>
      <c r="J14" s="64"/>
      <c r="L14" s="64"/>
      <c r="M14" s="64"/>
    </row>
    <row r="15" spans="2:14" ht="6.95" customHeight="1" x14ac:dyDescent="0.5">
      <c r="B15" s="487"/>
      <c r="C15" s="73"/>
      <c r="D15" s="73"/>
      <c r="E15" s="77"/>
      <c r="F15" s="492"/>
      <c r="G15" s="494"/>
      <c r="H15" s="77"/>
      <c r="I15" s="501"/>
      <c r="J15" s="64"/>
      <c r="K15" s="64"/>
      <c r="L15" s="64"/>
      <c r="M15" s="64"/>
    </row>
    <row r="16" spans="2:14" x14ac:dyDescent="0.5">
      <c r="B16" s="491" t="s">
        <v>546</v>
      </c>
      <c r="C16" s="73"/>
      <c r="D16" s="73"/>
      <c r="E16" s="77"/>
      <c r="F16" s="492"/>
      <c r="G16" s="494"/>
      <c r="H16" s="77"/>
      <c r="I16" s="501"/>
      <c r="J16" s="64"/>
      <c r="K16" s="64"/>
      <c r="L16" s="64"/>
      <c r="M16" s="64"/>
    </row>
    <row r="17" spans="2:13" x14ac:dyDescent="0.5">
      <c r="B17" s="487"/>
      <c r="C17" s="73" t="s">
        <v>129</v>
      </c>
      <c r="D17" s="73"/>
      <c r="E17" s="492"/>
      <c r="F17" s="492"/>
      <c r="G17" s="494"/>
      <c r="H17" s="77"/>
      <c r="I17" s="501"/>
      <c r="J17" s="64"/>
      <c r="K17" s="64"/>
      <c r="L17" s="64"/>
      <c r="M17" s="64"/>
    </row>
    <row r="18" spans="2:13" x14ac:dyDescent="0.5">
      <c r="B18" s="487"/>
      <c r="C18" s="73"/>
      <c r="D18" s="73" t="s">
        <v>2</v>
      </c>
      <c r="E18" s="492">
        <v>1409099</v>
      </c>
      <c r="F18" s="492">
        <f>Adj!L8</f>
        <v>302693.7458500003</v>
      </c>
      <c r="G18" s="494" t="s">
        <v>345</v>
      </c>
      <c r="H18" s="247">
        <f>E18+F18</f>
        <v>1711792.7458500003</v>
      </c>
      <c r="I18" s="496"/>
      <c r="J18" s="76" t="s">
        <v>321</v>
      </c>
      <c r="K18" s="64"/>
      <c r="L18" s="64"/>
      <c r="M18" s="64"/>
    </row>
    <row r="19" spans="2:13" x14ac:dyDescent="0.5">
      <c r="B19" s="487"/>
      <c r="C19" s="73"/>
      <c r="D19" s="73" t="s">
        <v>3</v>
      </c>
      <c r="E19" s="492">
        <v>27500</v>
      </c>
      <c r="F19" s="492">
        <v>2500</v>
      </c>
      <c r="G19" s="494" t="s">
        <v>346</v>
      </c>
      <c r="H19" s="247">
        <f t="shared" ref="H19:H33" si="0">E19+F19</f>
        <v>30000</v>
      </c>
      <c r="I19" s="496"/>
      <c r="J19" s="76" t="s">
        <v>277</v>
      </c>
      <c r="K19" s="75"/>
      <c r="L19" s="75">
        <f>E19+E18</f>
        <v>1436599</v>
      </c>
      <c r="M19" s="75"/>
    </row>
    <row r="20" spans="2:13" x14ac:dyDescent="0.5">
      <c r="B20" s="487"/>
      <c r="C20" s="73"/>
      <c r="D20" s="73" t="s">
        <v>4</v>
      </c>
      <c r="E20" s="492">
        <v>342170</v>
      </c>
      <c r="F20" s="492">
        <f>Adj!K15</f>
        <v>38088.415999999983</v>
      </c>
      <c r="G20" s="494" t="s">
        <v>345</v>
      </c>
      <c r="H20" s="247"/>
      <c r="I20" s="496"/>
      <c r="J20" s="76" t="s">
        <v>485</v>
      </c>
      <c r="K20" s="64"/>
      <c r="L20" s="64">
        <f>L19*0.0765</f>
        <v>109899.8235</v>
      </c>
      <c r="M20" s="64"/>
    </row>
    <row r="21" spans="2:13" x14ac:dyDescent="0.5">
      <c r="B21" s="487"/>
      <c r="C21" s="73"/>
      <c r="D21" s="73"/>
      <c r="E21" s="492"/>
      <c r="F21" s="492">
        <f>Adj!S14</f>
        <v>7499.5439999999944</v>
      </c>
      <c r="G21" s="494" t="s">
        <v>347</v>
      </c>
      <c r="H21" s="247"/>
      <c r="I21" s="496"/>
      <c r="J21" s="76" t="s">
        <v>322</v>
      </c>
      <c r="K21" s="64"/>
      <c r="L21" s="64"/>
      <c r="M21" s="64"/>
    </row>
    <row r="22" spans="2:13" x14ac:dyDescent="0.5">
      <c r="B22" s="487"/>
      <c r="C22" s="73"/>
      <c r="D22" s="73"/>
      <c r="E22" s="492"/>
      <c r="F22" s="492">
        <f>Adj!R22</f>
        <v>11435</v>
      </c>
      <c r="G22" s="494" t="s">
        <v>348</v>
      </c>
      <c r="H22" s="247">
        <f>E20+F20+F21+F22</f>
        <v>399192.95999999996</v>
      </c>
      <c r="I22" s="496"/>
      <c r="J22" s="76" t="s">
        <v>484</v>
      </c>
      <c r="K22" s="64"/>
      <c r="L22" s="64"/>
      <c r="M22" s="64"/>
    </row>
    <row r="23" spans="2:13" x14ac:dyDescent="0.5">
      <c r="B23" s="487"/>
      <c r="C23" s="73"/>
      <c r="D23" s="73" t="s">
        <v>384</v>
      </c>
      <c r="E23" s="492">
        <v>4978</v>
      </c>
      <c r="F23" s="492">
        <f>-E23*Adj!$E$18</f>
        <v>-849.89470817730148</v>
      </c>
      <c r="G23" s="494" t="s">
        <v>349</v>
      </c>
      <c r="H23" s="247">
        <f t="shared" si="0"/>
        <v>4128.1052918226987</v>
      </c>
      <c r="I23" s="496"/>
      <c r="J23" s="274" t="s">
        <v>323</v>
      </c>
      <c r="K23" s="64"/>
      <c r="L23" s="64"/>
      <c r="M23" s="64"/>
    </row>
    <row r="24" spans="2:13" x14ac:dyDescent="0.5">
      <c r="B24" s="487"/>
      <c r="C24" s="73"/>
      <c r="D24" s="73" t="s">
        <v>5</v>
      </c>
      <c r="E24" s="492">
        <v>307539</v>
      </c>
      <c r="F24" s="492">
        <f>-E24*Adj!$E$18</f>
        <v>-52506.180927709749</v>
      </c>
      <c r="G24" s="494" t="s">
        <v>349</v>
      </c>
      <c r="H24" s="247">
        <f t="shared" si="0"/>
        <v>255032.81907229027</v>
      </c>
      <c r="I24" s="496"/>
      <c r="J24" s="274" t="s">
        <v>323</v>
      </c>
      <c r="K24" s="64"/>
      <c r="L24" s="64"/>
      <c r="M24" s="64"/>
    </row>
    <row r="25" spans="2:13" x14ac:dyDescent="0.5">
      <c r="B25" s="487"/>
      <c r="C25" s="73"/>
      <c r="D25" s="73" t="s">
        <v>33</v>
      </c>
      <c r="E25" s="492">
        <v>140507</v>
      </c>
      <c r="F25" s="492">
        <f>-E25*Adj!$E$18</f>
        <v>-23988.781792259564</v>
      </c>
      <c r="G25" s="494" t="s">
        <v>349</v>
      </c>
      <c r="H25" s="247">
        <f t="shared" si="0"/>
        <v>116518.21820774043</v>
      </c>
      <c r="I25" s="496"/>
      <c r="J25" s="274" t="s">
        <v>323</v>
      </c>
      <c r="K25" s="64"/>
      <c r="L25" s="64"/>
      <c r="M25" s="64"/>
    </row>
    <row r="26" spans="2:13" x14ac:dyDescent="0.5">
      <c r="B26" s="487"/>
      <c r="C26" s="73"/>
      <c r="D26" s="73" t="s">
        <v>6</v>
      </c>
      <c r="E26" s="492">
        <v>204331</v>
      </c>
      <c r="F26" s="492"/>
      <c r="G26" s="502"/>
      <c r="H26" s="247">
        <f t="shared" si="0"/>
        <v>204331</v>
      </c>
      <c r="I26" s="496"/>
      <c r="J26" s="76"/>
      <c r="K26" s="64"/>
      <c r="L26" s="64"/>
      <c r="M26" s="64"/>
    </row>
    <row r="27" spans="2:13" x14ac:dyDescent="0.5">
      <c r="B27" s="487"/>
      <c r="C27" s="73"/>
      <c r="D27" s="73" t="s">
        <v>7</v>
      </c>
      <c r="E27" s="492">
        <f>4750+18000+6000+31190+330999</f>
        <v>390939</v>
      </c>
      <c r="F27" s="492"/>
      <c r="G27" s="502"/>
      <c r="H27" s="247">
        <f t="shared" si="0"/>
        <v>390939</v>
      </c>
      <c r="I27" s="496"/>
      <c r="J27" s="76"/>
      <c r="K27" s="64"/>
      <c r="L27" s="64"/>
      <c r="M27" s="64"/>
    </row>
    <row r="28" spans="2:13" x14ac:dyDescent="0.5">
      <c r="B28" s="487"/>
      <c r="C28" s="73"/>
      <c r="D28" s="73" t="s">
        <v>385</v>
      </c>
      <c r="E28" s="492">
        <v>9008</v>
      </c>
      <c r="F28" s="492"/>
      <c r="G28" s="502"/>
      <c r="H28" s="247">
        <f t="shared" si="0"/>
        <v>9008</v>
      </c>
      <c r="I28" s="496"/>
      <c r="J28" s="76"/>
      <c r="K28" s="64"/>
      <c r="L28" s="64"/>
      <c r="M28" s="64"/>
    </row>
    <row r="29" spans="2:13" x14ac:dyDescent="0.5">
      <c r="B29" s="487"/>
      <c r="C29" s="73"/>
      <c r="D29" s="73" t="s">
        <v>9</v>
      </c>
      <c r="E29" s="492">
        <v>102586</v>
      </c>
      <c r="F29" s="492"/>
      <c r="G29" s="502"/>
      <c r="H29" s="247">
        <f t="shared" si="0"/>
        <v>102586</v>
      </c>
      <c r="I29" s="496"/>
      <c r="J29" s="64"/>
      <c r="K29" s="64"/>
      <c r="L29" s="64"/>
      <c r="M29" s="64"/>
    </row>
    <row r="30" spans="2:13" x14ac:dyDescent="0.5">
      <c r="B30" s="487"/>
      <c r="C30" s="73"/>
      <c r="D30" s="73" t="s">
        <v>130</v>
      </c>
      <c r="E30" s="492">
        <f>50210+11516</f>
        <v>61726</v>
      </c>
      <c r="F30" s="492">
        <f>79401-63842</f>
        <v>15559</v>
      </c>
      <c r="G30" s="494" t="s">
        <v>350</v>
      </c>
      <c r="H30" s="247">
        <f t="shared" si="0"/>
        <v>77285</v>
      </c>
      <c r="I30" s="496"/>
      <c r="J30" s="76" t="s">
        <v>536</v>
      </c>
      <c r="K30" s="64"/>
      <c r="L30" s="64"/>
      <c r="M30" s="64"/>
    </row>
    <row r="31" spans="2:13" x14ac:dyDescent="0.5">
      <c r="B31" s="487"/>
      <c r="C31" s="73"/>
      <c r="D31" s="73" t="s">
        <v>208</v>
      </c>
      <c r="E31" s="492">
        <v>2603</v>
      </c>
      <c r="F31" s="492"/>
      <c r="G31" s="502"/>
      <c r="H31" s="247">
        <f t="shared" si="0"/>
        <v>2603</v>
      </c>
      <c r="I31" s="496"/>
      <c r="J31" s="64"/>
      <c r="K31" s="64"/>
      <c r="L31" s="64"/>
      <c r="M31" s="64"/>
    </row>
    <row r="32" spans="2:13" x14ac:dyDescent="0.5">
      <c r="B32" s="487"/>
      <c r="C32" s="73"/>
      <c r="D32" s="73" t="s">
        <v>209</v>
      </c>
      <c r="E32" s="492">
        <v>9311</v>
      </c>
      <c r="F32" s="492"/>
      <c r="G32" s="502"/>
      <c r="H32" s="247">
        <f t="shared" si="0"/>
        <v>9311</v>
      </c>
      <c r="I32" s="496"/>
      <c r="J32" s="64"/>
      <c r="K32" s="64"/>
      <c r="L32" s="64"/>
      <c r="M32" s="64"/>
    </row>
    <row r="33" spans="2:14" x14ac:dyDescent="0.5">
      <c r="B33" s="487"/>
      <c r="C33" s="73"/>
      <c r="D33" s="73" t="s">
        <v>8</v>
      </c>
      <c r="E33" s="509">
        <v>63070</v>
      </c>
      <c r="F33" s="492"/>
      <c r="G33" s="502"/>
      <c r="H33" s="525">
        <f t="shared" si="0"/>
        <v>63070</v>
      </c>
      <c r="I33" s="496"/>
      <c r="J33" s="64"/>
      <c r="K33" s="64"/>
      <c r="L33" s="64"/>
      <c r="M33" s="64"/>
    </row>
    <row r="34" spans="2:14" x14ac:dyDescent="0.5">
      <c r="B34" s="487"/>
      <c r="C34" s="73" t="s">
        <v>131</v>
      </c>
      <c r="D34" s="73"/>
      <c r="E34" s="492">
        <f>SUM(E18:E33)</f>
        <v>3075367</v>
      </c>
      <c r="F34" s="492"/>
      <c r="G34" s="502"/>
      <c r="H34" s="77">
        <f>SUM(H18:H33)</f>
        <v>3375797.848421854</v>
      </c>
      <c r="I34" s="501"/>
      <c r="J34" s="64"/>
      <c r="K34" s="64">
        <f>H34+H37</f>
        <v>3515573.993479379</v>
      </c>
      <c r="L34" s="64"/>
      <c r="M34" s="64"/>
    </row>
    <row r="35" spans="2:14" ht="3.95" customHeight="1" x14ac:dyDescent="0.5">
      <c r="B35" s="487"/>
      <c r="C35" s="73"/>
      <c r="D35" s="73"/>
      <c r="E35" s="492"/>
      <c r="F35" s="492"/>
      <c r="G35" s="503"/>
      <c r="H35" s="77"/>
      <c r="I35" s="501"/>
      <c r="J35" s="64"/>
      <c r="K35" s="64"/>
      <c r="L35" s="64"/>
      <c r="M35" s="64"/>
    </row>
    <row r="36" spans="2:14" x14ac:dyDescent="0.5">
      <c r="B36" s="487"/>
      <c r="C36" s="73" t="s">
        <v>23</v>
      </c>
      <c r="D36" s="73"/>
      <c r="E36" s="492">
        <v>856606</v>
      </c>
      <c r="F36" s="492">
        <f>Depr!J55</f>
        <v>63376.372897546913</v>
      </c>
      <c r="G36" s="494" t="s">
        <v>351</v>
      </c>
      <c r="H36" s="77">
        <f>E36+F36</f>
        <v>919982.37289754697</v>
      </c>
      <c r="I36" s="501"/>
      <c r="J36" s="76" t="s">
        <v>324</v>
      </c>
      <c r="K36" s="64"/>
      <c r="L36" s="64"/>
    </row>
    <row r="37" spans="2:14" ht="16.5" x14ac:dyDescent="0.5">
      <c r="B37" s="487"/>
      <c r="C37" s="73" t="s">
        <v>1</v>
      </c>
      <c r="D37" s="73"/>
      <c r="E37" s="509">
        <v>118108</v>
      </c>
      <c r="F37" s="492">
        <f>Adj!L23</f>
        <v>21668.14505752502</v>
      </c>
      <c r="G37" s="494" t="s">
        <v>345</v>
      </c>
      <c r="H37" s="497">
        <f>E37+F37</f>
        <v>139776.14505752502</v>
      </c>
      <c r="I37" s="501"/>
      <c r="J37" s="76" t="s">
        <v>321</v>
      </c>
      <c r="K37" s="64"/>
      <c r="L37" s="64"/>
      <c r="M37" s="64"/>
    </row>
    <row r="38" spans="2:14" x14ac:dyDescent="0.5">
      <c r="B38" s="500" t="s">
        <v>547</v>
      </c>
      <c r="C38" s="73"/>
      <c r="D38" s="73"/>
      <c r="E38" s="74">
        <f>SUM(E34:E37)</f>
        <v>4050081</v>
      </c>
      <c r="F38" s="492"/>
      <c r="G38" s="502"/>
      <c r="H38" s="74">
        <f>SUM(H34:H37)</f>
        <v>4435556.3663769253</v>
      </c>
      <c r="I38" s="495"/>
      <c r="J38" s="64"/>
      <c r="K38" s="64">
        <f>E38+F38</f>
        <v>4050081</v>
      </c>
      <c r="L38" s="64"/>
      <c r="M38" s="64"/>
    </row>
    <row r="39" spans="2:14" ht="3.95" customHeight="1" x14ac:dyDescent="0.5">
      <c r="B39" s="500"/>
      <c r="C39" s="73"/>
      <c r="D39" s="73"/>
      <c r="E39" s="77"/>
      <c r="F39" s="492"/>
      <c r="G39" s="504"/>
      <c r="H39" s="77"/>
      <c r="I39" s="501"/>
      <c r="J39" s="64"/>
      <c r="K39" s="64"/>
      <c r="L39" s="64"/>
      <c r="M39" s="64"/>
    </row>
    <row r="40" spans="2:14" x14ac:dyDescent="0.5">
      <c r="B40" s="500" t="s">
        <v>548</v>
      </c>
      <c r="C40" s="73"/>
      <c r="D40" s="73"/>
      <c r="E40" s="74">
        <f>E14-E38</f>
        <v>61888</v>
      </c>
      <c r="F40" s="492"/>
      <c r="G40" s="504"/>
      <c r="H40" s="74">
        <f>H14-H38</f>
        <v>-258303.34437692584</v>
      </c>
      <c r="I40" s="495"/>
      <c r="J40" s="64"/>
      <c r="K40" s="64"/>
      <c r="M40" s="64"/>
      <c r="N40" s="171"/>
    </row>
    <row r="41" spans="2:14" ht="8.1" customHeight="1" x14ac:dyDescent="0.5">
      <c r="B41" s="500"/>
      <c r="C41" s="73"/>
      <c r="D41" s="73"/>
      <c r="E41" s="74"/>
      <c r="F41" s="492"/>
      <c r="G41" s="504"/>
      <c r="H41" s="74"/>
      <c r="I41" s="495"/>
      <c r="J41" s="64"/>
      <c r="K41" s="64"/>
      <c r="M41" s="64"/>
      <c r="N41" s="171"/>
    </row>
    <row r="42" spans="2:14" ht="8.1" customHeight="1" x14ac:dyDescent="0.5">
      <c r="B42" s="514"/>
      <c r="C42" s="515"/>
      <c r="D42" s="515"/>
      <c r="E42" s="516"/>
      <c r="F42" s="517"/>
      <c r="G42" s="518"/>
      <c r="H42" s="516"/>
      <c r="I42" s="519"/>
      <c r="J42" s="64"/>
      <c r="K42" s="64"/>
      <c r="L42" s="64"/>
      <c r="M42" s="64"/>
    </row>
    <row r="43" spans="2:14" x14ac:dyDescent="0.5">
      <c r="B43" s="556" t="s">
        <v>24</v>
      </c>
      <c r="C43" s="557"/>
      <c r="D43" s="557"/>
      <c r="E43" s="557"/>
      <c r="F43" s="557"/>
      <c r="G43" s="557"/>
      <c r="H43" s="557"/>
      <c r="I43" s="505"/>
      <c r="J43" s="64"/>
      <c r="K43" s="64"/>
      <c r="L43" s="64"/>
      <c r="M43" s="64"/>
    </row>
    <row r="44" spans="2:14" ht="6.95" customHeight="1" x14ac:dyDescent="0.5">
      <c r="B44" s="487"/>
      <c r="C44" s="73"/>
      <c r="D44" s="73"/>
      <c r="E44" s="77"/>
      <c r="F44" s="489"/>
      <c r="G44" s="488"/>
      <c r="H44" s="77"/>
      <c r="I44" s="501"/>
      <c r="J44" s="64"/>
      <c r="K44" s="64"/>
      <c r="L44" s="64"/>
      <c r="M44" s="64"/>
    </row>
    <row r="45" spans="2:14" x14ac:dyDescent="0.5">
      <c r="B45" s="500" t="s">
        <v>549</v>
      </c>
      <c r="C45" s="73"/>
      <c r="D45" s="73"/>
      <c r="E45" s="8"/>
      <c r="F45" s="492"/>
      <c r="G45" s="504"/>
      <c r="H45" s="74">
        <f>H38</f>
        <v>4435556.3663769253</v>
      </c>
      <c r="I45" s="495"/>
      <c r="J45" s="64"/>
      <c r="K45" s="64"/>
      <c r="L45" s="64"/>
      <c r="M45" s="314"/>
    </row>
    <row r="46" spans="2:14" x14ac:dyDescent="0.5">
      <c r="B46" s="487" t="s">
        <v>550</v>
      </c>
      <c r="C46" s="73"/>
      <c r="D46" s="73" t="s">
        <v>132</v>
      </c>
      <c r="E46" s="8"/>
      <c r="F46" s="492"/>
      <c r="G46" s="494" t="s">
        <v>352</v>
      </c>
      <c r="H46" s="77">
        <f>Debt!I24</f>
        <v>828850.20000000007</v>
      </c>
      <c r="I46" s="501"/>
      <c r="J46" s="64"/>
      <c r="K46" s="75"/>
      <c r="L46" s="64"/>
      <c r="M46" s="315"/>
    </row>
    <row r="47" spans="2:14" x14ac:dyDescent="0.5">
      <c r="B47" s="487"/>
      <c r="C47" s="73"/>
      <c r="D47" s="73" t="s">
        <v>133</v>
      </c>
      <c r="E47" s="8"/>
      <c r="F47" s="492"/>
      <c r="G47" s="494" t="s">
        <v>353</v>
      </c>
      <c r="H47" s="77">
        <f>Debt!I26</f>
        <v>165770.04000000004</v>
      </c>
      <c r="I47" s="501"/>
      <c r="J47" s="64"/>
      <c r="K47" s="75"/>
      <c r="L47" s="72"/>
      <c r="M47" s="77"/>
    </row>
    <row r="48" spans="2:14" ht="16.5" x14ac:dyDescent="0.5">
      <c r="B48" s="487"/>
      <c r="C48" s="73"/>
      <c r="D48" s="73" t="s">
        <v>222</v>
      </c>
      <c r="E48" s="8"/>
      <c r="F48" s="492"/>
      <c r="G48" s="494"/>
      <c r="H48" s="497">
        <v>-2100</v>
      </c>
      <c r="I48" s="506"/>
      <c r="J48" s="64"/>
      <c r="K48" s="75"/>
      <c r="L48" s="72"/>
      <c r="M48" s="77"/>
    </row>
    <row r="49" spans="2:17" x14ac:dyDescent="0.5">
      <c r="B49" s="500" t="s">
        <v>551</v>
      </c>
      <c r="C49" s="73"/>
      <c r="D49" s="73"/>
      <c r="E49" s="8"/>
      <c r="F49" s="492"/>
      <c r="G49" s="507"/>
      <c r="H49" s="77">
        <f>SUM(H45:H48)</f>
        <v>5428076.6063769255</v>
      </c>
      <c r="I49" s="501"/>
      <c r="J49" s="64"/>
      <c r="K49" s="72"/>
      <c r="L49" s="72"/>
      <c r="M49" s="77"/>
    </row>
    <row r="50" spans="2:17" x14ac:dyDescent="0.5">
      <c r="B50" s="487" t="s">
        <v>552</v>
      </c>
      <c r="C50" s="73"/>
      <c r="D50" s="73" t="s">
        <v>27</v>
      </c>
      <c r="E50" s="8"/>
      <c r="F50" s="492"/>
      <c r="G50" s="507"/>
      <c r="H50" s="77">
        <f>SUM(H12:H13)</f>
        <v>74932</v>
      </c>
      <c r="I50" s="501"/>
      <c r="J50" s="64"/>
      <c r="M50" s="77"/>
      <c r="N50" s="160"/>
      <c r="O50" s="72"/>
    </row>
    <row r="51" spans="2:17" x14ac:dyDescent="0.5">
      <c r="B51" s="487"/>
      <c r="C51" s="73"/>
      <c r="D51" s="73" t="s">
        <v>325</v>
      </c>
      <c r="E51" s="130"/>
      <c r="F51" s="492"/>
      <c r="G51" s="494"/>
      <c r="H51" s="77">
        <v>30973</v>
      </c>
      <c r="I51" s="501"/>
      <c r="J51" s="76"/>
      <c r="M51" s="77"/>
      <c r="N51" s="72"/>
      <c r="O51" s="72"/>
    </row>
    <row r="52" spans="2:17" x14ac:dyDescent="0.5">
      <c r="B52" s="487"/>
      <c r="C52" s="73"/>
      <c r="D52" s="73" t="s">
        <v>12</v>
      </c>
      <c r="E52" s="130"/>
      <c r="F52" s="492"/>
      <c r="G52" s="508"/>
      <c r="H52" s="77">
        <v>174587</v>
      </c>
      <c r="I52" s="501"/>
      <c r="J52" s="76"/>
      <c r="M52" s="77"/>
      <c r="N52" s="78"/>
      <c r="O52" s="78"/>
    </row>
    <row r="53" spans="2:17" x14ac:dyDescent="0.5">
      <c r="B53" s="487"/>
      <c r="C53" s="73"/>
      <c r="D53" s="73" t="s">
        <v>134</v>
      </c>
      <c r="E53" s="130"/>
      <c r="F53" s="492"/>
      <c r="G53" s="508"/>
      <c r="H53" s="509">
        <f>Whol!J82</f>
        <v>110119.79999999999</v>
      </c>
      <c r="I53" s="510"/>
      <c r="J53" s="76"/>
      <c r="K53" s="317" t="s">
        <v>357</v>
      </c>
      <c r="M53" s="77"/>
      <c r="N53" s="78"/>
      <c r="O53" s="78"/>
      <c r="Q53" s="75"/>
    </row>
    <row r="54" spans="2:17" x14ac:dyDescent="0.5">
      <c r="B54" s="500" t="s">
        <v>553</v>
      </c>
      <c r="C54" s="73"/>
      <c r="D54" s="73"/>
      <c r="E54" s="8"/>
      <c r="F54" s="492"/>
      <c r="G54" s="508"/>
      <c r="H54" s="77">
        <f>H49-H50-H51-H52-H53</f>
        <v>5037464.8063769257</v>
      </c>
      <c r="I54" s="501"/>
      <c r="J54" s="64"/>
      <c r="K54" s="124">
        <f>H54+H53</f>
        <v>5147584.6063769255</v>
      </c>
      <c r="M54" s="77"/>
      <c r="N54" s="72"/>
      <c r="O54" s="72"/>
    </row>
    <row r="55" spans="2:17" x14ac:dyDescent="0.5">
      <c r="B55" s="487" t="s">
        <v>552</v>
      </c>
      <c r="C55" s="73"/>
      <c r="D55" s="73" t="s">
        <v>135</v>
      </c>
      <c r="E55" s="8"/>
      <c r="F55" s="492"/>
      <c r="G55" s="508"/>
      <c r="H55" s="509">
        <f>H9</f>
        <v>4000114.0219999994</v>
      </c>
      <c r="I55" s="501"/>
      <c r="J55" s="64"/>
      <c r="K55" s="23">
        <f>H55+H10</f>
        <v>4102321.0219999994</v>
      </c>
      <c r="M55" s="315"/>
      <c r="N55" s="80"/>
      <c r="O55" s="77"/>
    </row>
    <row r="56" spans="2:17" ht="3.95" customHeight="1" x14ac:dyDescent="0.5">
      <c r="B56" s="487"/>
      <c r="C56" s="73"/>
      <c r="D56" s="73"/>
      <c r="E56" s="8"/>
      <c r="F56" s="492"/>
      <c r="G56" s="504"/>
      <c r="H56" s="77"/>
      <c r="I56" s="501"/>
      <c r="J56" s="64"/>
      <c r="K56" s="23"/>
      <c r="M56" s="77"/>
      <c r="N56" s="77"/>
      <c r="O56" s="77"/>
    </row>
    <row r="57" spans="2:17" x14ac:dyDescent="0.5">
      <c r="B57" s="500" t="s">
        <v>554</v>
      </c>
      <c r="C57" s="73"/>
      <c r="D57" s="73"/>
      <c r="E57" s="8"/>
      <c r="F57" s="492"/>
      <c r="G57" s="504"/>
      <c r="H57" s="74">
        <f>H54-H55</f>
        <v>1037350.7843769263</v>
      </c>
      <c r="I57" s="495"/>
      <c r="J57" s="64"/>
      <c r="K57" s="23">
        <f>K54-K55</f>
        <v>1045263.5843769261</v>
      </c>
      <c r="M57" s="314"/>
      <c r="N57" s="74"/>
      <c r="O57" s="74"/>
    </row>
    <row r="58" spans="2:17" ht="3.95" customHeight="1" x14ac:dyDescent="0.5">
      <c r="B58" s="487"/>
      <c r="C58" s="73"/>
      <c r="D58" s="73"/>
      <c r="E58" s="8"/>
      <c r="F58" s="492"/>
      <c r="G58" s="504"/>
      <c r="H58" s="73"/>
      <c r="I58" s="493"/>
      <c r="J58" s="72"/>
      <c r="K58" s="159"/>
      <c r="M58" s="73"/>
      <c r="N58" s="73"/>
      <c r="O58" s="73"/>
    </row>
    <row r="59" spans="2:17" x14ac:dyDescent="0.5">
      <c r="B59" s="500" t="s">
        <v>555</v>
      </c>
      <c r="C59" s="73"/>
      <c r="D59" s="73"/>
      <c r="E59" s="8"/>
      <c r="F59" s="492"/>
      <c r="G59" s="504"/>
      <c r="H59" s="511">
        <f>ROUND(H57/H55,3)</f>
        <v>0.25900000000000001</v>
      </c>
      <c r="I59" s="512"/>
      <c r="J59" s="72"/>
      <c r="K59" s="158">
        <f>K57/K55</f>
        <v>0.25479809570517958</v>
      </c>
      <c r="M59" s="81"/>
      <c r="N59" s="82"/>
      <c r="O59" s="79"/>
    </row>
    <row r="60" spans="2:17" ht="8.1" customHeight="1" x14ac:dyDescent="0.5">
      <c r="B60" s="513"/>
      <c r="C60" s="67"/>
      <c r="D60" s="67"/>
      <c r="E60" s="67"/>
      <c r="F60" s="19"/>
      <c r="G60" s="67"/>
      <c r="H60" s="67"/>
      <c r="I60" s="193"/>
      <c r="J60" s="75"/>
    </row>
    <row r="61" spans="2:17" x14ac:dyDescent="0.5">
      <c r="B61" s="8"/>
      <c r="C61" s="8"/>
      <c r="D61" s="8"/>
      <c r="E61" s="8"/>
      <c r="F61" s="23"/>
      <c r="G61" s="8"/>
      <c r="H61" s="8"/>
      <c r="I61" s="8"/>
      <c r="J61" s="75"/>
    </row>
    <row r="62" spans="2:17" x14ac:dyDescent="0.5">
      <c r="B62" s="8"/>
      <c r="C62" s="8"/>
      <c r="D62" s="8"/>
      <c r="E62" s="8"/>
      <c r="F62" s="23"/>
      <c r="G62" s="8"/>
      <c r="H62" s="8"/>
      <c r="I62" s="8"/>
      <c r="J62" s="75"/>
    </row>
    <row r="63" spans="2:17" x14ac:dyDescent="0.5">
      <c r="B63" s="8"/>
      <c r="C63" s="8"/>
      <c r="D63" s="8"/>
      <c r="E63" s="8"/>
      <c r="F63" s="23"/>
      <c r="G63" s="8"/>
      <c r="H63" s="8"/>
      <c r="I63" s="8"/>
      <c r="J63" s="75"/>
    </row>
    <row r="64" spans="2:17" x14ac:dyDescent="0.5">
      <c r="B64" s="8"/>
      <c r="C64" s="8"/>
      <c r="D64" s="8"/>
      <c r="E64" s="8"/>
      <c r="F64" s="23"/>
      <c r="G64" s="8"/>
      <c r="H64" s="8"/>
      <c r="I64" s="8"/>
      <c r="J64" s="75"/>
    </row>
    <row r="65" spans="2:13" x14ac:dyDescent="0.5">
      <c r="B65" s="8"/>
      <c r="C65" s="8"/>
      <c r="D65" s="8"/>
      <c r="E65" s="8"/>
      <c r="F65" s="23"/>
      <c r="G65" s="8"/>
      <c r="H65" s="8"/>
      <c r="I65" s="8"/>
      <c r="J65" s="75"/>
    </row>
    <row r="66" spans="2:13" x14ac:dyDescent="0.5">
      <c r="B66" s="8"/>
      <c r="C66" s="8"/>
      <c r="D66" s="8"/>
      <c r="E66" s="8"/>
      <c r="F66" s="23"/>
      <c r="G66" s="8"/>
      <c r="H66" s="8"/>
      <c r="I66" s="8"/>
      <c r="J66" s="75"/>
    </row>
    <row r="67" spans="2:13" x14ac:dyDescent="0.5">
      <c r="B67" s="8"/>
      <c r="C67" s="8"/>
      <c r="D67" s="8"/>
      <c r="E67" s="8"/>
      <c r="F67" s="23"/>
      <c r="G67" s="8"/>
      <c r="H67" s="8"/>
      <c r="I67" s="8"/>
      <c r="J67" s="75"/>
    </row>
    <row r="68" spans="2:13" x14ac:dyDescent="0.5">
      <c r="B68" s="75"/>
      <c r="C68" s="75"/>
      <c r="D68" s="75"/>
      <c r="E68" s="75"/>
      <c r="G68" s="75"/>
      <c r="M68" s="75"/>
    </row>
    <row r="69" spans="2:13" x14ac:dyDescent="0.5">
      <c r="B69" s="75"/>
      <c r="C69" s="75"/>
      <c r="D69" s="75"/>
      <c r="E69" s="75"/>
      <c r="G69" s="75"/>
      <c r="H69" s="75"/>
      <c r="I69" s="75"/>
      <c r="J69" s="75"/>
      <c r="K69" s="75"/>
      <c r="L69" s="75"/>
      <c r="M69" s="75"/>
    </row>
    <row r="70" spans="2:13" x14ac:dyDescent="0.5">
      <c r="B70" s="75"/>
      <c r="C70" s="75"/>
      <c r="D70" s="75"/>
      <c r="E70" s="75"/>
      <c r="G70" s="75"/>
      <c r="H70" s="75"/>
      <c r="I70" s="75"/>
      <c r="J70" s="83"/>
      <c r="K70" s="75"/>
      <c r="L70" s="75">
        <v>182000</v>
      </c>
      <c r="M70" s="75"/>
    </row>
    <row r="71" spans="2:13" x14ac:dyDescent="0.5">
      <c r="B71" s="75"/>
      <c r="C71" s="75"/>
      <c r="D71" s="75"/>
      <c r="E71" s="75"/>
      <c r="G71" s="75"/>
      <c r="H71" s="75"/>
      <c r="I71" s="75"/>
      <c r="J71" s="83"/>
      <c r="K71" s="75"/>
      <c r="L71" s="75">
        <v>199605.559745534</v>
      </c>
      <c r="M71" s="75"/>
    </row>
    <row r="72" spans="2:13" x14ac:dyDescent="0.5">
      <c r="B72" s="75"/>
      <c r="C72" s="75"/>
      <c r="D72" s="75"/>
      <c r="E72" s="75"/>
      <c r="G72" s="75"/>
      <c r="H72" s="75"/>
      <c r="I72" s="75"/>
      <c r="J72" s="83"/>
      <c r="K72" s="75"/>
      <c r="L72" s="75">
        <v>217211.559745534</v>
      </c>
      <c r="M72" s="75"/>
    </row>
    <row r="73" spans="2:13" x14ac:dyDescent="0.5">
      <c r="B73" s="75"/>
      <c r="C73" s="75"/>
      <c r="D73" s="75"/>
      <c r="E73" s="75"/>
      <c r="G73" s="75"/>
      <c r="H73" s="75"/>
      <c r="I73" s="75"/>
      <c r="J73" s="75"/>
      <c r="K73" s="75"/>
      <c r="L73" s="75"/>
      <c r="M73" s="75"/>
    </row>
    <row r="74" spans="2:13" x14ac:dyDescent="0.5">
      <c r="B74" s="75"/>
      <c r="C74" s="75"/>
      <c r="D74" s="75"/>
      <c r="E74" s="75"/>
      <c r="G74" s="75"/>
      <c r="H74" s="75"/>
      <c r="I74" s="75"/>
      <c r="J74" s="75"/>
      <c r="K74" s="75"/>
      <c r="L74" s="75"/>
      <c r="M74" s="75"/>
    </row>
    <row r="75" spans="2:13" x14ac:dyDescent="0.5">
      <c r="B75" s="75"/>
      <c r="C75" s="75"/>
      <c r="D75" s="75"/>
      <c r="E75" s="75"/>
      <c r="G75" s="75"/>
      <c r="H75" s="75"/>
      <c r="I75" s="75"/>
      <c r="J75" s="75"/>
      <c r="K75" s="75"/>
      <c r="L75" s="75"/>
      <c r="M75" s="75"/>
    </row>
    <row r="76" spans="2:13" x14ac:dyDescent="0.5">
      <c r="B76" s="75"/>
      <c r="C76" s="75"/>
      <c r="D76" s="75"/>
      <c r="E76" s="75"/>
      <c r="G76" s="75"/>
      <c r="H76" s="75"/>
      <c r="I76" s="75"/>
      <c r="J76" s="75"/>
      <c r="K76" s="75"/>
      <c r="L76" s="75"/>
      <c r="M76" s="75"/>
    </row>
    <row r="77" spans="2:13" x14ac:dyDescent="0.5">
      <c r="B77" s="75"/>
      <c r="C77" s="75"/>
      <c r="D77" s="75"/>
      <c r="E77" s="75"/>
      <c r="G77" s="75"/>
      <c r="H77" s="75"/>
      <c r="I77" s="75"/>
      <c r="J77" s="75"/>
      <c r="K77" s="75"/>
      <c r="L77" s="75"/>
      <c r="M77" s="75"/>
    </row>
    <row r="78" spans="2:13" x14ac:dyDescent="0.5">
      <c r="B78" s="75"/>
      <c r="C78" s="75"/>
      <c r="D78" s="75"/>
      <c r="E78" s="75"/>
      <c r="G78" s="75"/>
      <c r="H78" s="75"/>
      <c r="I78" s="75"/>
      <c r="J78" s="75"/>
      <c r="K78" s="75"/>
      <c r="L78" s="75"/>
      <c r="M78" s="75"/>
    </row>
    <row r="79" spans="2:13" x14ac:dyDescent="0.5">
      <c r="B79" s="75"/>
      <c r="C79" s="75"/>
      <c r="D79" s="75"/>
      <c r="E79" s="75"/>
      <c r="G79" s="75"/>
      <c r="H79" s="75"/>
      <c r="I79" s="75"/>
      <c r="J79" s="75"/>
      <c r="K79" s="75"/>
      <c r="L79" s="75"/>
      <c r="M79" s="75"/>
    </row>
    <row r="80" spans="2:13" x14ac:dyDescent="0.5">
      <c r="B80" s="75"/>
      <c r="C80" s="75"/>
      <c r="D80" s="75"/>
      <c r="E80" s="75"/>
      <c r="G80" s="75"/>
      <c r="H80" s="75"/>
      <c r="I80" s="75"/>
      <c r="J80" s="75"/>
      <c r="K80" s="75"/>
      <c r="L80" s="75"/>
      <c r="M80" s="75"/>
    </row>
    <row r="81" spans="2:13" x14ac:dyDescent="0.5">
      <c r="B81" s="75"/>
      <c r="C81" s="75"/>
      <c r="D81" s="75"/>
      <c r="E81" s="75"/>
      <c r="G81" s="75"/>
      <c r="H81" s="75"/>
      <c r="I81" s="75"/>
      <c r="J81" s="75"/>
      <c r="K81" s="75"/>
      <c r="L81" s="75"/>
      <c r="M81" s="75"/>
    </row>
    <row r="82" spans="2:13" x14ac:dyDescent="0.5">
      <c r="B82" s="75"/>
      <c r="C82" s="75"/>
      <c r="D82" s="75"/>
      <c r="E82" s="75"/>
      <c r="G82" s="75"/>
      <c r="H82" s="75"/>
      <c r="I82" s="75"/>
      <c r="J82" s="75"/>
      <c r="K82" s="75"/>
      <c r="L82" s="75"/>
      <c r="M82" s="75"/>
    </row>
    <row r="83" spans="2:13" x14ac:dyDescent="0.5">
      <c r="B83" s="75"/>
      <c r="C83" s="75"/>
      <c r="D83" s="75"/>
      <c r="E83" s="75"/>
      <c r="G83" s="75"/>
      <c r="H83" s="75"/>
      <c r="I83" s="75"/>
      <c r="J83" s="75"/>
      <c r="K83" s="75"/>
      <c r="L83" s="75"/>
      <c r="M83" s="75"/>
    </row>
    <row r="84" spans="2:13" x14ac:dyDescent="0.5">
      <c r="B84" s="75"/>
      <c r="C84" s="75"/>
      <c r="D84" s="75"/>
      <c r="E84" s="75"/>
      <c r="G84" s="75"/>
      <c r="H84" s="75"/>
      <c r="I84" s="75"/>
      <c r="J84" s="75"/>
      <c r="K84" s="75"/>
      <c r="L84" s="75"/>
      <c r="M84" s="75"/>
    </row>
    <row r="85" spans="2:13" x14ac:dyDescent="0.5">
      <c r="B85" s="75"/>
      <c r="C85" s="75"/>
      <c r="D85" s="75"/>
      <c r="E85" s="75"/>
      <c r="G85" s="75"/>
      <c r="H85" s="75"/>
      <c r="I85" s="75"/>
      <c r="J85" s="75"/>
      <c r="K85" s="75"/>
      <c r="L85" s="75"/>
      <c r="M85" s="75"/>
    </row>
    <row r="86" spans="2:13" x14ac:dyDescent="0.5">
      <c r="B86" s="75"/>
      <c r="C86" s="75"/>
      <c r="D86" s="75"/>
      <c r="E86" s="75"/>
      <c r="G86" s="75"/>
      <c r="H86" s="75"/>
      <c r="I86" s="75"/>
      <c r="J86" s="75"/>
      <c r="K86" s="75"/>
      <c r="L86" s="75"/>
      <c r="M86" s="75"/>
    </row>
    <row r="87" spans="2:13" x14ac:dyDescent="0.5">
      <c r="B87" s="75"/>
      <c r="C87" s="75"/>
      <c r="D87" s="75"/>
      <c r="E87" s="75"/>
      <c r="G87" s="75"/>
      <c r="H87" s="75"/>
      <c r="I87" s="75"/>
      <c r="J87" s="75"/>
      <c r="K87" s="75"/>
      <c r="L87" s="75"/>
      <c r="M87" s="75"/>
    </row>
    <row r="88" spans="2:13" x14ac:dyDescent="0.5">
      <c r="B88" s="75"/>
      <c r="C88" s="75"/>
      <c r="D88" s="75"/>
      <c r="E88" s="75"/>
      <c r="G88" s="75"/>
      <c r="H88" s="75"/>
      <c r="I88" s="75"/>
      <c r="J88" s="75"/>
      <c r="K88" s="75"/>
      <c r="L88" s="75"/>
      <c r="M88" s="75"/>
    </row>
    <row r="89" spans="2:13" x14ac:dyDescent="0.5">
      <c r="B89" s="75"/>
      <c r="C89" s="75"/>
      <c r="D89" s="75"/>
      <c r="E89" s="75"/>
      <c r="G89" s="75"/>
      <c r="H89" s="75"/>
      <c r="I89" s="75"/>
      <c r="J89" s="75"/>
      <c r="K89" s="75"/>
      <c r="L89" s="75"/>
      <c r="M89" s="75"/>
    </row>
    <row r="90" spans="2:13" x14ac:dyDescent="0.5">
      <c r="B90" s="75"/>
      <c r="C90" s="75"/>
      <c r="D90" s="75"/>
      <c r="E90" s="75"/>
      <c r="G90" s="75"/>
      <c r="H90" s="75"/>
      <c r="I90" s="75"/>
      <c r="J90" s="75"/>
      <c r="K90" s="75"/>
      <c r="L90" s="75"/>
      <c r="M90" s="75"/>
    </row>
    <row r="91" spans="2:13" x14ac:dyDescent="0.5">
      <c r="B91" s="75"/>
      <c r="C91" s="75"/>
      <c r="D91" s="75"/>
      <c r="E91" s="75"/>
      <c r="G91" s="75"/>
      <c r="H91" s="75"/>
      <c r="I91" s="75"/>
      <c r="J91" s="75"/>
      <c r="K91" s="75"/>
      <c r="L91" s="75"/>
      <c r="M91" s="75"/>
    </row>
    <row r="92" spans="2:13" x14ac:dyDescent="0.5">
      <c r="B92" s="75"/>
      <c r="C92" s="75"/>
      <c r="D92" s="75"/>
      <c r="E92" s="75"/>
      <c r="G92" s="75"/>
      <c r="H92" s="75"/>
      <c r="I92" s="75"/>
      <c r="J92" s="75"/>
      <c r="K92" s="75"/>
      <c r="L92" s="75"/>
      <c r="M92" s="75"/>
    </row>
    <row r="93" spans="2:13" x14ac:dyDescent="0.5">
      <c r="B93" s="75"/>
      <c r="C93" s="75"/>
      <c r="D93" s="75"/>
      <c r="E93" s="75"/>
      <c r="G93" s="75"/>
      <c r="H93" s="75"/>
      <c r="I93" s="75"/>
      <c r="J93" s="75"/>
      <c r="K93" s="75"/>
      <c r="L93" s="75"/>
      <c r="M93" s="75"/>
    </row>
  </sheetData>
  <mergeCells count="1">
    <mergeCell ref="B43:H43"/>
  </mergeCells>
  <printOptions horizontalCentered="1"/>
  <pageMargins left="0.45" right="0.25" top="0.6" bottom="0.5" header="0.3" footer="0.3"/>
  <pageSetup scale="8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Q93"/>
  <sheetViews>
    <sheetView topLeftCell="A67" workbookViewId="0"/>
  </sheetViews>
  <sheetFormatPr defaultColWidth="8.88671875" defaultRowHeight="14.25" x14ac:dyDescent="0.45"/>
  <cols>
    <col min="1" max="1" width="8.88671875" style="1"/>
    <col min="2" max="2" width="1.77734375" style="1" customWidth="1"/>
    <col min="3" max="3" width="4.6640625" style="1" customWidth="1"/>
    <col min="4" max="4" width="18.33203125" style="1" customWidth="1"/>
    <col min="5" max="5" width="10.21875" style="1" hidden="1" customWidth="1"/>
    <col min="6" max="6" width="9.109375" style="1" hidden="1" customWidth="1"/>
    <col min="7" max="7" width="9.77734375" style="1" hidden="1" customWidth="1"/>
    <col min="8" max="11" width="10.77734375" style="1" customWidth="1"/>
    <col min="12" max="12" width="1.77734375" style="1" customWidth="1"/>
    <col min="13" max="13" width="9.77734375" style="1" customWidth="1"/>
    <col min="14" max="14" width="10.6640625" style="269" customWidth="1"/>
    <col min="15" max="15" width="10.6640625" style="1" customWidth="1"/>
    <col min="16" max="16384" width="8.88671875" style="1"/>
  </cols>
  <sheetData>
    <row r="2" spans="2:15" ht="3.95" customHeight="1" x14ac:dyDescent="0.45">
      <c r="B2" s="173"/>
      <c r="C2" s="174"/>
      <c r="D2" s="174"/>
      <c r="E2" s="174"/>
      <c r="F2" s="174"/>
      <c r="G2" s="174"/>
      <c r="H2" s="174"/>
      <c r="I2" s="174"/>
      <c r="J2" s="174"/>
      <c r="K2" s="174"/>
      <c r="L2" s="175"/>
    </row>
    <row r="3" spans="2:15" ht="20.25" customHeight="1" x14ac:dyDescent="0.55000000000000004">
      <c r="B3" s="176"/>
      <c r="C3" s="567" t="s">
        <v>123</v>
      </c>
      <c r="D3" s="567"/>
      <c r="E3" s="567"/>
      <c r="F3" s="567"/>
      <c r="G3" s="567"/>
      <c r="H3" s="567"/>
      <c r="I3" s="567"/>
      <c r="J3" s="567"/>
      <c r="K3" s="567"/>
      <c r="L3" s="39"/>
      <c r="M3" s="18"/>
    </row>
    <row r="4" spans="2:15" ht="18" x14ac:dyDescent="0.55000000000000004">
      <c r="B4" s="575" t="s">
        <v>34</v>
      </c>
      <c r="C4" s="576"/>
      <c r="D4" s="576"/>
      <c r="E4" s="576"/>
      <c r="F4" s="576"/>
      <c r="G4" s="576"/>
      <c r="H4" s="576"/>
      <c r="I4" s="576"/>
      <c r="J4" s="576"/>
      <c r="K4" s="576"/>
      <c r="L4" s="577"/>
      <c r="M4" s="5"/>
      <c r="O4" s="8"/>
    </row>
    <row r="5" spans="2:15" ht="15.75" x14ac:dyDescent="0.45">
      <c r="B5" s="572" t="s">
        <v>207</v>
      </c>
      <c r="C5" s="573"/>
      <c r="D5" s="573"/>
      <c r="E5" s="573"/>
      <c r="F5" s="573"/>
      <c r="G5" s="573"/>
      <c r="H5" s="573"/>
      <c r="I5" s="573"/>
      <c r="J5" s="573"/>
      <c r="K5" s="573"/>
      <c r="L5" s="574"/>
      <c r="M5" s="379"/>
      <c r="O5" s="8"/>
    </row>
    <row r="6" spans="2:15" ht="8.1" customHeight="1" x14ac:dyDescent="0.45">
      <c r="B6" s="191"/>
      <c r="C6" s="401"/>
      <c r="D6" s="401"/>
      <c r="E6" s="401"/>
      <c r="F6" s="401"/>
      <c r="G6" s="401"/>
      <c r="H6" s="401"/>
      <c r="I6" s="401"/>
      <c r="J6" s="401"/>
      <c r="K6" s="401"/>
      <c r="L6" s="529"/>
      <c r="M6" s="379"/>
      <c r="O6" s="8"/>
    </row>
    <row r="7" spans="2:15" ht="6.95" customHeight="1" x14ac:dyDescent="0.45">
      <c r="B7" s="176"/>
      <c r="C7" s="165"/>
      <c r="D7" s="5"/>
      <c r="E7" s="5"/>
      <c r="F7" s="5"/>
      <c r="G7" s="5"/>
      <c r="H7" s="5"/>
      <c r="I7" s="5"/>
      <c r="J7" s="5"/>
      <c r="K7" s="5"/>
      <c r="L7" s="152"/>
      <c r="M7" s="5"/>
      <c r="O7" s="8"/>
    </row>
    <row r="8" spans="2:15" ht="15" customHeight="1" x14ac:dyDescent="0.45">
      <c r="B8" s="176"/>
      <c r="D8" s="8"/>
      <c r="E8" s="177"/>
      <c r="F8" s="177"/>
      <c r="G8" s="178" t="s">
        <v>128</v>
      </c>
      <c r="H8" s="65" t="s">
        <v>128</v>
      </c>
      <c r="I8" s="65" t="s">
        <v>35</v>
      </c>
      <c r="J8" s="65" t="s">
        <v>36</v>
      </c>
      <c r="K8" s="65" t="s">
        <v>38</v>
      </c>
      <c r="L8" s="179"/>
      <c r="M8" s="65"/>
      <c r="N8" s="399"/>
      <c r="O8" s="65"/>
    </row>
    <row r="9" spans="2:15" x14ac:dyDescent="0.45">
      <c r="B9" s="176"/>
      <c r="D9" s="8"/>
      <c r="E9" s="178" t="s">
        <v>184</v>
      </c>
      <c r="F9" s="177"/>
      <c r="G9" s="65" t="s">
        <v>18</v>
      </c>
      <c r="H9" s="65" t="s">
        <v>205</v>
      </c>
      <c r="I9" s="65" t="s">
        <v>37</v>
      </c>
      <c r="J9" s="65" t="s">
        <v>35</v>
      </c>
      <c r="K9" s="65" t="s">
        <v>35</v>
      </c>
      <c r="L9" s="179"/>
      <c r="M9" s="65"/>
      <c r="N9" s="399"/>
      <c r="O9" s="65"/>
    </row>
    <row r="10" spans="2:15" ht="15.4" x14ac:dyDescent="0.45">
      <c r="B10" s="176"/>
      <c r="C10" s="1" t="s">
        <v>39</v>
      </c>
      <c r="D10" s="8"/>
      <c r="E10" s="8">
        <v>1409099</v>
      </c>
      <c r="F10" s="393"/>
      <c r="G10" s="8">
        <f>SAO!H18</f>
        <v>1711792.7458500003</v>
      </c>
      <c r="H10" s="8"/>
      <c r="I10" s="8"/>
      <c r="J10" s="8"/>
      <c r="K10" s="8"/>
      <c r="L10" s="180"/>
      <c r="M10" s="8">
        <f>SUM(H11:H14)</f>
        <v>1711792.7458500005</v>
      </c>
      <c r="O10" s="8"/>
    </row>
    <row r="11" spans="2:15" x14ac:dyDescent="0.45">
      <c r="B11" s="176"/>
      <c r="D11" s="8" t="s">
        <v>178</v>
      </c>
      <c r="E11" s="8">
        <v>391891</v>
      </c>
      <c r="F11" s="181">
        <f>E11/E10</f>
        <v>0.27811459663231614</v>
      </c>
      <c r="G11" s="182"/>
      <c r="H11" s="8">
        <f>G10*F11</f>
        <v>476074.54903019767</v>
      </c>
      <c r="I11" s="183">
        <f>Fac!$H$35</f>
        <v>4.833238113734336E-2</v>
      </c>
      <c r="J11" s="8">
        <f>H11*I11</f>
        <v>23009.816553516372</v>
      </c>
      <c r="K11" s="8">
        <f>H11-J11</f>
        <v>453064.7324766813</v>
      </c>
      <c r="L11" s="180"/>
      <c r="M11" s="8"/>
      <c r="N11" s="398"/>
      <c r="O11" s="8"/>
    </row>
    <row r="12" spans="2:15" x14ac:dyDescent="0.45">
      <c r="B12" s="176"/>
      <c r="D12" s="8" t="s">
        <v>41</v>
      </c>
      <c r="E12" s="8">
        <f>408882+184331</f>
        <v>593213</v>
      </c>
      <c r="F12" s="181">
        <f>E12/E10</f>
        <v>0.42098745368494334</v>
      </c>
      <c r="G12" s="182"/>
      <c r="H12" s="8">
        <f>G10*F12</f>
        <v>720643.26931174903</v>
      </c>
      <c r="I12" s="183">
        <f>Fac!$H$39</f>
        <v>8.142866043973282E-4</v>
      </c>
      <c r="J12" s="8">
        <f>H12*I12</f>
        <v>586.81016074965339</v>
      </c>
      <c r="K12" s="8">
        <f>H12-J12</f>
        <v>720056.45915099932</v>
      </c>
      <c r="L12" s="180"/>
      <c r="M12" s="8"/>
      <c r="N12" s="398"/>
      <c r="O12" s="8"/>
    </row>
    <row r="13" spans="2:15" x14ac:dyDescent="0.45">
      <c r="B13" s="176"/>
      <c r="D13" s="8" t="s">
        <v>40</v>
      </c>
      <c r="E13" s="8">
        <v>227963</v>
      </c>
      <c r="F13" s="181">
        <f>E13/E10</f>
        <v>0.16177926462228701</v>
      </c>
      <c r="G13" s="182"/>
      <c r="H13" s="8">
        <f>G10*F13</f>
        <v>276932.5716093785</v>
      </c>
      <c r="I13" s="8"/>
      <c r="J13" s="8">
        <f>H13*I13</f>
        <v>0</v>
      </c>
      <c r="K13" s="8">
        <f>H13-J13</f>
        <v>276932.5716093785</v>
      </c>
      <c r="L13" s="180"/>
      <c r="M13" s="8"/>
      <c r="N13" s="398"/>
      <c r="O13" s="8"/>
    </row>
    <row r="14" spans="2:15" x14ac:dyDescent="0.45">
      <c r="B14" s="176"/>
      <c r="D14" s="8" t="s">
        <v>42</v>
      </c>
      <c r="E14" s="8">
        <v>196032</v>
      </c>
      <c r="F14" s="181">
        <f>E14/E10</f>
        <v>0.13911868506045352</v>
      </c>
      <c r="G14" s="182"/>
      <c r="H14" s="8">
        <f>G10*F14</f>
        <v>238142.35589867516</v>
      </c>
      <c r="I14" s="183">
        <f>Fac!$H$35</f>
        <v>4.833238113734336E-2</v>
      </c>
      <c r="J14" s="8">
        <f>H14*I14</f>
        <v>11509.987110239636</v>
      </c>
      <c r="K14" s="8">
        <f>H14-J14</f>
        <v>226632.36878843553</v>
      </c>
      <c r="L14" s="180"/>
      <c r="N14" s="398">
        <f>SUM(K11:K14)</f>
        <v>1676686.1320254947</v>
      </c>
      <c r="O14" s="8"/>
    </row>
    <row r="15" spans="2:15" ht="15.4" x14ac:dyDescent="0.45">
      <c r="B15" s="176"/>
      <c r="C15" s="1" t="s">
        <v>43</v>
      </c>
      <c r="D15" s="8"/>
      <c r="E15" s="8"/>
      <c r="F15" s="184"/>
      <c r="G15" s="8">
        <f>SAO!H22+SAO!H37</f>
        <v>538969.10505752498</v>
      </c>
      <c r="H15" s="8"/>
      <c r="I15" s="8"/>
      <c r="J15" s="8"/>
      <c r="K15" s="8"/>
      <c r="L15" s="180"/>
      <c r="M15" s="8">
        <f>SUM(H16:H19)</f>
        <v>538969.10505752498</v>
      </c>
      <c r="N15" s="398"/>
      <c r="O15" s="8"/>
    </row>
    <row r="16" spans="2:15" x14ac:dyDescent="0.45">
      <c r="B16" s="176"/>
      <c r="D16" s="8" t="s">
        <v>178</v>
      </c>
      <c r="E16" s="8"/>
      <c r="F16" s="181"/>
      <c r="G16" s="182"/>
      <c r="H16" s="8">
        <f>$G$15*F11</f>
        <v>149895.17525035399</v>
      </c>
      <c r="I16" s="183">
        <f>Fac!$H$35</f>
        <v>4.833238113734336E-2</v>
      </c>
      <c r="J16" s="8">
        <f t="shared" ref="J16:J20" si="0">H16*I16</f>
        <v>7244.7907408489864</v>
      </c>
      <c r="K16" s="8">
        <f t="shared" ref="K16:K20" si="1">H16-J16</f>
        <v>142650.38450950501</v>
      </c>
      <c r="L16" s="180"/>
      <c r="M16" s="8"/>
      <c r="N16" s="398"/>
      <c r="O16" s="8"/>
    </row>
    <row r="17" spans="2:15" x14ac:dyDescent="0.45">
      <c r="B17" s="176"/>
      <c r="D17" s="8" t="s">
        <v>41</v>
      </c>
      <c r="E17" s="8"/>
      <c r="F17" s="181"/>
      <c r="G17" s="182"/>
      <c r="H17" s="8">
        <f t="shared" ref="H17:H19" si="2">$G$15*F12</f>
        <v>226899.23115302017</v>
      </c>
      <c r="I17" s="183">
        <f>Fac!$H$39</f>
        <v>8.142866043973282E-4</v>
      </c>
      <c r="J17" s="8">
        <f t="shared" si="0"/>
        <v>184.76100447595726</v>
      </c>
      <c r="K17" s="8">
        <f t="shared" si="1"/>
        <v>226714.47014854421</v>
      </c>
      <c r="L17" s="180"/>
      <c r="M17" s="8"/>
      <c r="N17" s="398"/>
      <c r="O17" s="8"/>
    </row>
    <row r="18" spans="2:15" x14ac:dyDescent="0.45">
      <c r="B18" s="176"/>
      <c r="D18" s="8" t="s">
        <v>40</v>
      </c>
      <c r="E18" s="8"/>
      <c r="F18" s="181"/>
      <c r="G18" s="182"/>
      <c r="H18" s="8">
        <f t="shared" si="2"/>
        <v>87194.025470338544</v>
      </c>
      <c r="I18" s="8"/>
      <c r="J18" s="8">
        <f>H18*I18</f>
        <v>0</v>
      </c>
      <c r="K18" s="8">
        <f>H18-J18</f>
        <v>87194.025470338544</v>
      </c>
      <c r="L18" s="180"/>
      <c r="M18" s="8"/>
      <c r="N18" s="398"/>
      <c r="O18" s="8"/>
    </row>
    <row r="19" spans="2:15" x14ac:dyDescent="0.45">
      <c r="B19" s="176"/>
      <c r="D19" s="8" t="s">
        <v>42</v>
      </c>
      <c r="E19" s="8"/>
      <c r="F19" s="181"/>
      <c r="G19" s="182"/>
      <c r="H19" s="8">
        <f t="shared" si="2"/>
        <v>74980.673183812309</v>
      </c>
      <c r="I19" s="183">
        <f>Fac!$H$35</f>
        <v>4.833238113734336E-2</v>
      </c>
      <c r="J19" s="8">
        <f t="shared" si="0"/>
        <v>3623.9944742545972</v>
      </c>
      <c r="K19" s="8">
        <f t="shared" si="1"/>
        <v>71356.678709557717</v>
      </c>
      <c r="L19" s="180"/>
      <c r="M19" s="8"/>
      <c r="N19" s="398">
        <f>SUM(K16:K19)</f>
        <v>527915.55883794546</v>
      </c>
      <c r="O19" s="8"/>
    </row>
    <row r="20" spans="2:15" ht="15.4" x14ac:dyDescent="0.45">
      <c r="B20" s="176"/>
      <c r="C20" s="1" t="s">
        <v>179</v>
      </c>
      <c r="D20" s="8"/>
      <c r="E20" s="8"/>
      <c r="F20" s="184"/>
      <c r="G20" s="8"/>
      <c r="H20" s="8">
        <f>SAO!H19</f>
        <v>30000</v>
      </c>
      <c r="I20" s="183">
        <f>Fac!$H$35</f>
        <v>4.833238113734336E-2</v>
      </c>
      <c r="J20" s="8">
        <f t="shared" si="0"/>
        <v>1449.9714341203007</v>
      </c>
      <c r="K20" s="8">
        <f t="shared" si="1"/>
        <v>28550.0285658797</v>
      </c>
      <c r="L20" s="180"/>
      <c r="M20" s="8">
        <f>H20</f>
        <v>30000</v>
      </c>
      <c r="N20" s="398">
        <f>K20</f>
        <v>28550.0285658797</v>
      </c>
      <c r="O20" s="8"/>
    </row>
    <row r="21" spans="2:15" ht="15.4" x14ac:dyDescent="0.45">
      <c r="B21" s="176"/>
      <c r="C21" s="1" t="s">
        <v>384</v>
      </c>
      <c r="D21" s="8"/>
      <c r="E21" s="8"/>
      <c r="F21" s="184"/>
      <c r="G21" s="8"/>
      <c r="H21" s="8">
        <f>SAO!H23</f>
        <v>4128.1052918226987</v>
      </c>
      <c r="I21" s="183">
        <f>Fac!$H$35</f>
        <v>4.833238113734336E-2</v>
      </c>
      <c r="J21" s="8">
        <f t="shared" ref="J21" si="3">H21*I21</f>
        <v>199.52115833945871</v>
      </c>
      <c r="K21" s="8">
        <f t="shared" ref="K21" si="4">H21-J21</f>
        <v>3928.5841334832398</v>
      </c>
      <c r="L21" s="180"/>
      <c r="M21" s="8">
        <f>H21</f>
        <v>4128.1052918226987</v>
      </c>
      <c r="N21" s="398">
        <f>K21</f>
        <v>3928.5841334832398</v>
      </c>
      <c r="O21" s="8"/>
    </row>
    <row r="22" spans="2:15" ht="15.4" x14ac:dyDescent="0.45">
      <c r="B22" s="176"/>
      <c r="C22" s="1" t="s">
        <v>5</v>
      </c>
      <c r="D22" s="8"/>
      <c r="E22" s="8">
        <v>307539</v>
      </c>
      <c r="F22"/>
      <c r="G22" s="8">
        <f>SAO!H24</f>
        <v>255032.81907229027</v>
      </c>
      <c r="H22" s="8"/>
      <c r="I22" s="8"/>
      <c r="J22" s="8"/>
      <c r="K22" s="8"/>
      <c r="L22" s="180"/>
      <c r="M22" s="8">
        <f>SUM(H23:H25)</f>
        <v>255032.81907229027</v>
      </c>
      <c r="N22" s="398"/>
      <c r="O22" s="8"/>
    </row>
    <row r="23" spans="2:15" x14ac:dyDescent="0.45">
      <c r="B23" s="176"/>
      <c r="D23" s="8" t="s">
        <v>178</v>
      </c>
      <c r="E23" s="8">
        <v>187076</v>
      </c>
      <c r="F23" s="181">
        <f>E23/E22</f>
        <v>0.60830008551760917</v>
      </c>
      <c r="G23" s="182"/>
      <c r="H23" s="8">
        <f>G22*F23</f>
        <v>155136.48565147113</v>
      </c>
      <c r="I23" s="183">
        <f>Fac!$H$35</f>
        <v>4.833238113734336E-2</v>
      </c>
      <c r="J23" s="8">
        <f>H23*I23</f>
        <v>7498.1157528149015</v>
      </c>
      <c r="K23" s="8">
        <f>H23-J23</f>
        <v>147638.36989865624</v>
      </c>
      <c r="L23" s="180"/>
      <c r="M23" s="8"/>
      <c r="N23" s="398"/>
      <c r="O23" s="8"/>
    </row>
    <row r="24" spans="2:15" x14ac:dyDescent="0.45">
      <c r="B24" s="176"/>
      <c r="D24" s="8" t="s">
        <v>41</v>
      </c>
      <c r="E24" s="8">
        <v>115220</v>
      </c>
      <c r="F24" s="181">
        <f>E24/E22</f>
        <v>0.37465167019467449</v>
      </c>
      <c r="G24" s="182"/>
      <c r="H24" s="8">
        <f>G22*F24</f>
        <v>95548.47161988978</v>
      </c>
      <c r="I24" s="183">
        <f>Fac!$H$39</f>
        <v>8.142866043973282E-4</v>
      </c>
      <c r="J24" s="8">
        <f>H24*I24</f>
        <v>77.803840510714537</v>
      </c>
      <c r="K24" s="8">
        <f>H24-J24</f>
        <v>95470.667779379059</v>
      </c>
      <c r="L24" s="180"/>
      <c r="M24" s="8"/>
      <c r="N24" s="398"/>
      <c r="O24" s="8"/>
    </row>
    <row r="25" spans="2:15" x14ac:dyDescent="0.45">
      <c r="B25" s="176"/>
      <c r="D25" s="8" t="s">
        <v>42</v>
      </c>
      <c r="E25" s="8">
        <v>5243</v>
      </c>
      <c r="F25" s="181">
        <f>E25/E22</f>
        <v>1.7048244287716355E-2</v>
      </c>
      <c r="G25" s="182"/>
      <c r="H25" s="8">
        <f>G22*F25</f>
        <v>4347.8618009293714</v>
      </c>
      <c r="I25" s="183">
        <f>Fac!H39</f>
        <v>8.142866043973282E-4</v>
      </c>
      <c r="J25" s="8">
        <f>H25*I25</f>
        <v>3.5404056222676301</v>
      </c>
      <c r="K25" s="8">
        <f>H25-J25</f>
        <v>4344.3213953071036</v>
      </c>
      <c r="L25" s="180"/>
      <c r="M25" s="8"/>
      <c r="N25" s="398">
        <f>SUM(K23:K25)</f>
        <v>247453.35907334241</v>
      </c>
      <c r="O25" s="8"/>
    </row>
    <row r="26" spans="2:15" x14ac:dyDescent="0.45">
      <c r="B26" s="176"/>
      <c r="C26" s="1" t="s">
        <v>33</v>
      </c>
      <c r="D26" s="8"/>
      <c r="E26" s="8"/>
      <c r="F26" s="8"/>
      <c r="G26" s="182"/>
      <c r="H26" s="8"/>
      <c r="I26" s="183"/>
      <c r="J26" s="8"/>
      <c r="K26" s="8"/>
      <c r="L26" s="180"/>
      <c r="M26" s="8"/>
      <c r="N26" s="398"/>
      <c r="O26" s="8"/>
    </row>
    <row r="27" spans="2:15" x14ac:dyDescent="0.45">
      <c r="B27" s="176"/>
      <c r="D27" s="8" t="s">
        <v>178</v>
      </c>
      <c r="E27" s="8"/>
      <c r="F27" s="8"/>
      <c r="G27" s="182"/>
      <c r="H27" s="8">
        <f>SAO!H25</f>
        <v>116518.21820774043</v>
      </c>
      <c r="I27" s="183">
        <f>Fac!$H$35</f>
        <v>4.833238113734336E-2</v>
      </c>
      <c r="J27" s="8">
        <f>H27*I27</f>
        <v>5631.6029318606506</v>
      </c>
      <c r="K27" s="8">
        <f>H27-J27</f>
        <v>110886.61527587978</v>
      </c>
      <c r="L27" s="180"/>
      <c r="M27" s="8">
        <f>H27</f>
        <v>116518.21820774043</v>
      </c>
      <c r="N27" s="398">
        <f>K27</f>
        <v>110886.61527587978</v>
      </c>
      <c r="O27" s="8"/>
    </row>
    <row r="28" spans="2:15" ht="15.4" x14ac:dyDescent="0.45">
      <c r="B28" s="176"/>
      <c r="C28" s="1" t="s">
        <v>44</v>
      </c>
      <c r="D28" s="8"/>
      <c r="E28" s="8"/>
      <c r="F28"/>
      <c r="G28" s="8">
        <f>SAO!H26</f>
        <v>204331</v>
      </c>
      <c r="H28" s="8"/>
      <c r="I28" s="8"/>
      <c r="J28" s="8"/>
      <c r="K28" s="8"/>
      <c r="L28" s="180"/>
      <c r="M28" s="8">
        <f>SUM(H29:H32)</f>
        <v>204331</v>
      </c>
      <c r="N28" s="398"/>
      <c r="O28" s="8"/>
    </row>
    <row r="29" spans="2:15" x14ac:dyDescent="0.45">
      <c r="B29" s="176"/>
      <c r="D29" s="8" t="s">
        <v>178</v>
      </c>
      <c r="E29" s="8"/>
      <c r="F29" s="181"/>
      <c r="G29" s="182"/>
      <c r="H29" s="8">
        <v>32835</v>
      </c>
      <c r="I29" s="183">
        <f>Fac!$H$35</f>
        <v>4.833238113734336E-2</v>
      </c>
      <c r="J29" s="8">
        <f t="shared" ref="J29:J36" si="5">H29*I29</f>
        <v>1586.9937346446693</v>
      </c>
      <c r="K29" s="8">
        <f t="shared" ref="K29:K36" si="6">H29-J29</f>
        <v>31248.006265355332</v>
      </c>
      <c r="L29" s="180"/>
      <c r="M29" s="8"/>
      <c r="N29" s="398"/>
      <c r="O29" s="8"/>
    </row>
    <row r="30" spans="2:15" x14ac:dyDescent="0.45">
      <c r="B30" s="176"/>
      <c r="D30" s="8" t="s">
        <v>41</v>
      </c>
      <c r="E30" s="8"/>
      <c r="F30" s="181"/>
      <c r="G30" s="182"/>
      <c r="H30" s="8">
        <f>34512+52818</f>
        <v>87330</v>
      </c>
      <c r="I30" s="183">
        <f>Fac!$H$39</f>
        <v>8.142866043973282E-4</v>
      </c>
      <c r="J30" s="8">
        <f t="shared" si="5"/>
        <v>71.111649162018665</v>
      </c>
      <c r="K30" s="8">
        <f t="shared" si="6"/>
        <v>87258.88835083798</v>
      </c>
      <c r="L30" s="180"/>
      <c r="M30" s="8"/>
      <c r="N30" s="398"/>
      <c r="O30" s="8"/>
    </row>
    <row r="31" spans="2:15" x14ac:dyDescent="0.45">
      <c r="B31" s="176"/>
      <c r="D31" s="8" t="s">
        <v>40</v>
      </c>
      <c r="E31" s="8"/>
      <c r="F31" s="181"/>
      <c r="G31" s="182"/>
      <c r="H31" s="8">
        <v>47801</v>
      </c>
      <c r="I31" s="8"/>
      <c r="J31" s="8">
        <f t="shared" si="5"/>
        <v>0</v>
      </c>
      <c r="K31" s="8">
        <f t="shared" si="6"/>
        <v>47801</v>
      </c>
      <c r="L31" s="180"/>
      <c r="M31" s="8"/>
      <c r="N31" s="398"/>
      <c r="O31" s="8"/>
    </row>
    <row r="32" spans="2:15" x14ac:dyDescent="0.45">
      <c r="B32" s="176"/>
      <c r="D32" s="8" t="s">
        <v>42</v>
      </c>
      <c r="E32" s="8"/>
      <c r="F32" s="181"/>
      <c r="G32" s="182"/>
      <c r="H32" s="8">
        <v>36365</v>
      </c>
      <c r="I32" s="183">
        <f>Fac!$H$39</f>
        <v>8.142866043973282E-4</v>
      </c>
      <c r="J32" s="8">
        <f t="shared" si="5"/>
        <v>29.61153236890884</v>
      </c>
      <c r="K32" s="8">
        <f t="shared" si="6"/>
        <v>36335.388467631092</v>
      </c>
      <c r="L32" s="180"/>
      <c r="M32" s="8"/>
      <c r="N32" s="398">
        <f>SUM(K29:K32)</f>
        <v>202643.28308382441</v>
      </c>
      <c r="O32" s="8"/>
    </row>
    <row r="33" spans="2:15" x14ac:dyDescent="0.45">
      <c r="B33" s="176"/>
      <c r="C33" s="1" t="s">
        <v>53</v>
      </c>
      <c r="D33" s="8"/>
      <c r="E33" s="8"/>
      <c r="F33" s="8"/>
      <c r="G33" s="182"/>
      <c r="H33" s="8">
        <v>24000</v>
      </c>
      <c r="I33" s="183">
        <f>Fac!$H$35</f>
        <v>4.833238113734336E-2</v>
      </c>
      <c r="J33" s="8">
        <f t="shared" si="5"/>
        <v>1159.9771472962407</v>
      </c>
      <c r="K33" s="8">
        <f t="shared" si="6"/>
        <v>22840.022852703758</v>
      </c>
      <c r="L33" s="180"/>
      <c r="M33" s="8">
        <f>H33</f>
        <v>24000</v>
      </c>
      <c r="N33" s="398">
        <f>K33</f>
        <v>22840.022852703758</v>
      </c>
      <c r="O33" s="8"/>
    </row>
    <row r="34" spans="2:15" x14ac:dyDescent="0.45">
      <c r="B34" s="176"/>
      <c r="C34" s="1" t="s">
        <v>180</v>
      </c>
      <c r="D34" s="8"/>
      <c r="E34" s="8"/>
      <c r="F34" s="8"/>
      <c r="G34" s="8"/>
      <c r="H34" s="8"/>
      <c r="I34" s="183"/>
      <c r="J34" s="8"/>
      <c r="K34" s="8"/>
      <c r="L34" s="180"/>
      <c r="M34" s="8">
        <f>H35+H36</f>
        <v>31190</v>
      </c>
      <c r="N34" s="398"/>
      <c r="O34" s="8"/>
    </row>
    <row r="35" spans="2:15" x14ac:dyDescent="0.45">
      <c r="B35" s="176"/>
      <c r="D35" s="8" t="s">
        <v>178</v>
      </c>
      <c r="E35" s="8"/>
      <c r="F35" s="8"/>
      <c r="G35" s="8"/>
      <c r="H35" s="8">
        <v>12308</v>
      </c>
      <c r="I35" s="183">
        <f>Fac!H35</f>
        <v>4.833238113734336E-2</v>
      </c>
      <c r="J35" s="8">
        <f t="shared" si="5"/>
        <v>594.87494703842208</v>
      </c>
      <c r="K35" s="8">
        <f t="shared" si="6"/>
        <v>11713.125052961577</v>
      </c>
      <c r="L35" s="180"/>
      <c r="M35" s="8"/>
      <c r="N35" s="398"/>
      <c r="O35" s="8"/>
    </row>
    <row r="36" spans="2:15" x14ac:dyDescent="0.45">
      <c r="B36" s="176"/>
      <c r="D36" s="8" t="s">
        <v>41</v>
      </c>
      <c r="E36" s="8"/>
      <c r="F36" s="8"/>
      <c r="G36" s="8"/>
      <c r="H36" s="8">
        <v>18882</v>
      </c>
      <c r="I36" s="183">
        <f>Fac!H39</f>
        <v>8.142866043973282E-4</v>
      </c>
      <c r="J36" s="8">
        <f t="shared" si="5"/>
        <v>15.37535966423035</v>
      </c>
      <c r="K36" s="8">
        <f t="shared" si="6"/>
        <v>18866.624640335769</v>
      </c>
      <c r="L36" s="180"/>
      <c r="M36" s="8"/>
      <c r="N36" s="398">
        <f>SUM(K35:K36)</f>
        <v>30579.749693297344</v>
      </c>
      <c r="O36" s="8"/>
    </row>
    <row r="37" spans="2:15" x14ac:dyDescent="0.45">
      <c r="B37" s="176"/>
      <c r="C37" s="1" t="s">
        <v>45</v>
      </c>
      <c r="D37" s="8"/>
      <c r="E37" s="8"/>
      <c r="F37" s="8"/>
      <c r="G37" s="8"/>
      <c r="H37" s="8"/>
      <c r="I37" s="183"/>
      <c r="J37" s="8"/>
      <c r="K37" s="8"/>
      <c r="L37" s="180"/>
      <c r="M37" s="8">
        <f>SUM(H38:H41)</f>
        <v>335749</v>
      </c>
      <c r="N37" s="398"/>
      <c r="O37" s="8"/>
    </row>
    <row r="38" spans="2:15" x14ac:dyDescent="0.45">
      <c r="B38" s="176"/>
      <c r="D38" s="8" t="s">
        <v>178</v>
      </c>
      <c r="E38" s="8"/>
      <c r="F38" s="8"/>
      <c r="G38" s="8"/>
      <c r="H38" s="8">
        <f>91461+5415</f>
        <v>96876</v>
      </c>
      <c r="I38" s="183">
        <f>Fac!$H$35</f>
        <v>4.833238113734336E-2</v>
      </c>
      <c r="J38" s="8">
        <f>H38*I38</f>
        <v>4682.2477550612757</v>
      </c>
      <c r="K38" s="8">
        <f>H38-J38</f>
        <v>92193.752244938718</v>
      </c>
      <c r="L38" s="180"/>
      <c r="M38" s="8"/>
      <c r="N38" s="398"/>
      <c r="O38" s="8"/>
    </row>
    <row r="39" spans="2:15" x14ac:dyDescent="0.45">
      <c r="B39" s="176"/>
      <c r="D39" s="8" t="s">
        <v>41</v>
      </c>
      <c r="E39" s="8"/>
      <c r="F39" s="8"/>
      <c r="G39" s="8"/>
      <c r="H39" s="8">
        <v>156403</v>
      </c>
      <c r="I39" s="183">
        <f>Fac!$H$39</f>
        <v>8.142866043973282E-4</v>
      </c>
      <c r="J39" s="8">
        <f>H39*I39</f>
        <v>127.35686778755532</v>
      </c>
      <c r="K39" s="8">
        <f>H39-J39</f>
        <v>156275.64313221246</v>
      </c>
      <c r="L39" s="180"/>
      <c r="M39" s="8"/>
      <c r="N39" s="398"/>
      <c r="O39" s="8"/>
    </row>
    <row r="40" spans="2:15" x14ac:dyDescent="0.45">
      <c r="B40" s="176"/>
      <c r="D40" s="8" t="s">
        <v>40</v>
      </c>
      <c r="E40" s="8"/>
      <c r="F40" s="8"/>
      <c r="G40" s="8"/>
      <c r="H40" s="8">
        <v>10052</v>
      </c>
      <c r="I40" s="183"/>
      <c r="J40" s="8"/>
      <c r="K40" s="8">
        <f>H40</f>
        <v>10052</v>
      </c>
      <c r="L40" s="180"/>
      <c r="M40" s="8"/>
      <c r="N40" s="398"/>
      <c r="O40" s="8"/>
    </row>
    <row r="41" spans="2:15" x14ac:dyDescent="0.45">
      <c r="B41" s="176"/>
      <c r="D41" s="8" t="s">
        <v>42</v>
      </c>
      <c r="E41" s="8"/>
      <c r="F41" s="8"/>
      <c r="G41" s="8"/>
      <c r="H41" s="8">
        <f>67668+4750</f>
        <v>72418</v>
      </c>
      <c r="I41" s="183">
        <f>Fac!$H$39</f>
        <v>8.142866043973282E-4</v>
      </c>
      <c r="J41" s="8">
        <f>H41*I41</f>
        <v>58.969007317245712</v>
      </c>
      <c r="K41" s="8">
        <f>H41-J41</f>
        <v>72359.030992682761</v>
      </c>
      <c r="L41" s="180"/>
      <c r="M41" s="8"/>
      <c r="N41" s="398">
        <f>SUM(K38:K41)</f>
        <v>330880.42636983393</v>
      </c>
      <c r="O41" s="8"/>
    </row>
    <row r="42" spans="2:15" x14ac:dyDescent="0.45">
      <c r="B42" s="176"/>
      <c r="C42" s="1" t="s">
        <v>486</v>
      </c>
      <c r="D42" s="8"/>
      <c r="E42" s="8"/>
      <c r="F42" s="8"/>
      <c r="G42" s="8"/>
      <c r="H42" s="8"/>
      <c r="I42" s="183"/>
      <c r="J42" s="8"/>
      <c r="K42" s="8"/>
      <c r="L42" s="180"/>
      <c r="M42" s="8">
        <f>SUM(H43:H44)</f>
        <v>9008</v>
      </c>
      <c r="N42" s="398"/>
      <c r="O42" s="8"/>
    </row>
    <row r="43" spans="2:15" x14ac:dyDescent="0.45">
      <c r="B43" s="176"/>
      <c r="D43" s="8" t="s">
        <v>178</v>
      </c>
      <c r="E43" s="8"/>
      <c r="F43" s="8"/>
      <c r="G43" s="8"/>
      <c r="H43" s="8">
        <v>3054</v>
      </c>
      <c r="I43" s="183">
        <f>Fac!$H$35</f>
        <v>4.833238113734336E-2</v>
      </c>
      <c r="J43" s="8">
        <f>H43*I43</f>
        <v>147.60709199344663</v>
      </c>
      <c r="K43" s="8">
        <f>H43-J43</f>
        <v>2906.3929080065532</v>
      </c>
      <c r="L43" s="180"/>
      <c r="M43" s="8"/>
      <c r="N43" s="398"/>
      <c r="O43" s="8"/>
    </row>
    <row r="44" spans="2:15" x14ac:dyDescent="0.45">
      <c r="B44" s="176"/>
      <c r="D44" s="8" t="s">
        <v>41</v>
      </c>
      <c r="E44" s="8"/>
      <c r="F44" s="8"/>
      <c r="G44" s="8"/>
      <c r="H44" s="8">
        <v>5954</v>
      </c>
      <c r="I44" s="183">
        <f>Fac!$H$39</f>
        <v>8.142866043973282E-4</v>
      </c>
      <c r="J44" s="8">
        <f>H44*I44</f>
        <v>4.8482624425816923</v>
      </c>
      <c r="K44" s="8">
        <f>H44-J44</f>
        <v>5949.1517375574185</v>
      </c>
      <c r="L44" s="180"/>
      <c r="M44" s="8"/>
      <c r="N44" s="398">
        <f>SUM(K43:K44)</f>
        <v>8855.5446455639722</v>
      </c>
      <c r="O44" s="8"/>
    </row>
    <row r="45" spans="2:15" ht="15.4" x14ac:dyDescent="0.45">
      <c r="B45" s="176"/>
      <c r="C45" s="1" t="s">
        <v>46</v>
      </c>
      <c r="D45" s="8"/>
      <c r="E45" s="8"/>
      <c r="F45"/>
      <c r="G45" s="8"/>
      <c r="H45" s="8"/>
      <c r="I45" s="183"/>
      <c r="J45" s="8"/>
      <c r="K45" s="8"/>
      <c r="L45" s="180"/>
      <c r="M45" s="8">
        <f>SUM(H46:H48)</f>
        <v>102586</v>
      </c>
      <c r="N45" s="398"/>
      <c r="O45" s="8"/>
    </row>
    <row r="46" spans="2:15" ht="15.4" x14ac:dyDescent="0.45">
      <c r="B46" s="176"/>
      <c r="D46" s="8" t="s">
        <v>178</v>
      </c>
      <c r="E46" s="8"/>
      <c r="F46"/>
      <c r="G46" s="8"/>
      <c r="H46" s="8">
        <v>7877</v>
      </c>
      <c r="I46" s="183">
        <f>Fac!$H$35</f>
        <v>4.833238113734336E-2</v>
      </c>
      <c r="J46" s="8">
        <f t="shared" ref="J46:J48" si="7">H46*I46</f>
        <v>380.71416621885362</v>
      </c>
      <c r="K46" s="8">
        <f t="shared" ref="K46:K48" si="8">H46-J46</f>
        <v>7496.2858337811467</v>
      </c>
      <c r="L46" s="180"/>
      <c r="M46" s="8"/>
      <c r="N46" s="398"/>
      <c r="O46" s="8"/>
    </row>
    <row r="47" spans="2:15" ht="15.4" x14ac:dyDescent="0.45">
      <c r="B47" s="176"/>
      <c r="D47" s="8" t="s">
        <v>41</v>
      </c>
      <c r="E47" s="8"/>
      <c r="F47"/>
      <c r="G47" s="8"/>
      <c r="H47" s="8">
        <v>92827</v>
      </c>
      <c r="I47" s="183">
        <f>Fac!$H$39</f>
        <v>8.142866043973282E-4</v>
      </c>
      <c r="J47" s="8">
        <f t="shared" si="7"/>
        <v>75.587782626390791</v>
      </c>
      <c r="K47" s="8">
        <f t="shared" si="8"/>
        <v>92751.41221737361</v>
      </c>
      <c r="L47" s="180"/>
      <c r="M47" s="8"/>
      <c r="N47" s="398"/>
      <c r="O47" s="8"/>
    </row>
    <row r="48" spans="2:15" ht="15.4" x14ac:dyDescent="0.45">
      <c r="B48" s="176"/>
      <c r="D48" s="8" t="s">
        <v>42</v>
      </c>
      <c r="E48" s="8"/>
      <c r="F48"/>
      <c r="G48" s="8"/>
      <c r="H48" s="8">
        <v>1882</v>
      </c>
      <c r="I48" s="183">
        <f>Fac!$H$39</f>
        <v>8.142866043973282E-4</v>
      </c>
      <c r="J48" s="8">
        <f t="shared" si="7"/>
        <v>1.5324873894757716</v>
      </c>
      <c r="K48" s="8">
        <f t="shared" si="8"/>
        <v>1880.4675126105242</v>
      </c>
      <c r="L48" s="180"/>
      <c r="M48" s="8"/>
      <c r="N48" s="398">
        <f>SUM(K46:K48)</f>
        <v>102128.16556376529</v>
      </c>
      <c r="O48" s="8"/>
    </row>
    <row r="49" spans="2:15" ht="15.4" x14ac:dyDescent="0.45">
      <c r="B49" s="176"/>
      <c r="C49" s="1" t="s">
        <v>326</v>
      </c>
      <c r="D49" s="8"/>
      <c r="E49" s="8"/>
      <c r="F49" s="184"/>
      <c r="G49" s="8"/>
      <c r="H49" s="8">
        <v>50210</v>
      </c>
      <c r="I49" s="183">
        <f>Fac!H35</f>
        <v>4.833238113734336E-2</v>
      </c>
      <c r="J49" s="8">
        <f>H49*I49</f>
        <v>2426.7688569060101</v>
      </c>
      <c r="K49" s="8">
        <f>H49-J49</f>
        <v>47783.231143093988</v>
      </c>
      <c r="L49" s="180"/>
      <c r="M49" s="8">
        <f>H49</f>
        <v>50210</v>
      </c>
      <c r="N49" s="398">
        <f>K49</f>
        <v>47783.231143093988</v>
      </c>
      <c r="O49" s="8"/>
    </row>
    <row r="50" spans="2:15" ht="15.4" x14ac:dyDescent="0.45">
      <c r="B50" s="176"/>
      <c r="C50" s="1" t="s">
        <v>182</v>
      </c>
      <c r="D50" s="8"/>
      <c r="E50" s="8"/>
      <c r="F50"/>
      <c r="G50" s="8">
        <v>11516</v>
      </c>
      <c r="H50" s="8"/>
      <c r="I50" s="8"/>
      <c r="J50" s="8"/>
      <c r="K50" s="8"/>
      <c r="L50" s="180"/>
      <c r="M50" s="8">
        <f>SUM(H51:H54)</f>
        <v>11516</v>
      </c>
      <c r="N50" s="398"/>
      <c r="O50" s="8"/>
    </row>
    <row r="51" spans="2:15" x14ac:dyDescent="0.45">
      <c r="B51" s="176"/>
      <c r="D51" s="8" t="s">
        <v>178</v>
      </c>
      <c r="E51" s="8"/>
      <c r="F51" s="181">
        <f>F11</f>
        <v>0.27811459663231614</v>
      </c>
      <c r="G51" s="8"/>
      <c r="H51" s="8">
        <f>G50*F51</f>
        <v>3202.7676948177527</v>
      </c>
      <c r="I51" s="183">
        <f>Fac!$H$35</f>
        <v>4.833238113734336E-2</v>
      </c>
      <c r="J51" s="8">
        <f t="shared" ref="J51:J56" si="9">H51*I51</f>
        <v>154.79738892030224</v>
      </c>
      <c r="K51" s="8">
        <f t="shared" ref="K51:K56" si="10">H51-J51</f>
        <v>3047.9703058974505</v>
      </c>
      <c r="L51" s="180"/>
      <c r="M51" s="8"/>
      <c r="N51" s="398"/>
      <c r="O51" s="8"/>
    </row>
    <row r="52" spans="2:15" x14ac:dyDescent="0.45">
      <c r="B52" s="176"/>
      <c r="D52" s="8" t="s">
        <v>41</v>
      </c>
      <c r="E52" s="8"/>
      <c r="F52" s="181">
        <f t="shared" ref="F52:F54" si="11">F12</f>
        <v>0.42098745368494334</v>
      </c>
      <c r="G52" s="8"/>
      <c r="H52" s="8">
        <f>G50*F52</f>
        <v>4848.0915166358072</v>
      </c>
      <c r="I52" s="183">
        <f>Fac!$H$39</f>
        <v>8.142866043973282E-4</v>
      </c>
      <c r="J52" s="8">
        <f t="shared" si="9"/>
        <v>3.9477359788888644</v>
      </c>
      <c r="K52" s="8">
        <f t="shared" si="10"/>
        <v>4844.1437806569184</v>
      </c>
      <c r="L52" s="180"/>
      <c r="M52" s="8"/>
      <c r="N52" s="398"/>
      <c r="O52" s="8"/>
    </row>
    <row r="53" spans="2:15" x14ac:dyDescent="0.45">
      <c r="B53" s="176"/>
      <c r="D53" s="8" t="s">
        <v>40</v>
      </c>
      <c r="E53" s="8"/>
      <c r="F53" s="181">
        <f t="shared" si="11"/>
        <v>0.16177926462228701</v>
      </c>
      <c r="G53" s="8"/>
      <c r="H53" s="8">
        <f>G50*F53</f>
        <v>1863.0500113902572</v>
      </c>
      <c r="I53" s="8"/>
      <c r="J53" s="8">
        <f t="shared" si="9"/>
        <v>0</v>
      </c>
      <c r="K53" s="8">
        <f t="shared" si="10"/>
        <v>1863.0500113902572</v>
      </c>
      <c r="L53" s="180"/>
      <c r="M53" s="8"/>
      <c r="N53" s="398"/>
      <c r="O53" s="8"/>
    </row>
    <row r="54" spans="2:15" x14ac:dyDescent="0.45">
      <c r="B54" s="176"/>
      <c r="D54" s="8" t="s">
        <v>42</v>
      </c>
      <c r="E54" s="8"/>
      <c r="F54" s="181">
        <f t="shared" si="11"/>
        <v>0.13911868506045352</v>
      </c>
      <c r="G54" s="8"/>
      <c r="H54" s="8">
        <f>G50*F54</f>
        <v>1602.0907771561829</v>
      </c>
      <c r="I54" s="183">
        <f>Fac!$H$35</f>
        <v>4.833238113734336E-2</v>
      </c>
      <c r="J54" s="8">
        <f t="shared" si="9"/>
        <v>77.432862058135257</v>
      </c>
      <c r="K54" s="8">
        <f t="shared" si="10"/>
        <v>1524.6579150980476</v>
      </c>
      <c r="L54" s="180"/>
      <c r="M54" s="8"/>
      <c r="N54" s="398">
        <f>SUM(K51:K54)</f>
        <v>11279.822013042674</v>
      </c>
      <c r="O54" s="8"/>
    </row>
    <row r="55" spans="2:15" x14ac:dyDescent="0.45">
      <c r="B55" s="176"/>
      <c r="C55" s="1" t="s">
        <v>208</v>
      </c>
      <c r="D55" s="8"/>
      <c r="E55" s="8"/>
      <c r="F55" s="181"/>
      <c r="G55" s="8"/>
      <c r="H55" s="8">
        <v>2603</v>
      </c>
      <c r="I55" s="183">
        <f>Fac!$H$39</f>
        <v>8.142866043973282E-4</v>
      </c>
      <c r="J55" s="8">
        <f t="shared" si="9"/>
        <v>2.1195880312462454</v>
      </c>
      <c r="K55" s="8">
        <f t="shared" si="10"/>
        <v>2600.8804119687538</v>
      </c>
      <c r="L55" s="180"/>
      <c r="M55" s="8">
        <f>H55</f>
        <v>2603</v>
      </c>
      <c r="N55" s="398">
        <f>K55</f>
        <v>2600.8804119687538</v>
      </c>
      <c r="O55" s="8"/>
    </row>
    <row r="56" spans="2:15" x14ac:dyDescent="0.45">
      <c r="B56" s="176"/>
      <c r="C56" s="1" t="s">
        <v>209</v>
      </c>
      <c r="D56" s="8"/>
      <c r="E56" s="8"/>
      <c r="F56" s="181"/>
      <c r="G56" s="8"/>
      <c r="H56" s="8">
        <v>9311</v>
      </c>
      <c r="I56" s="183"/>
      <c r="J56" s="8">
        <f t="shared" si="9"/>
        <v>0</v>
      </c>
      <c r="K56" s="8">
        <f t="shared" si="10"/>
        <v>9311</v>
      </c>
      <c r="L56" s="180"/>
      <c r="M56" s="8">
        <f>H56</f>
        <v>9311</v>
      </c>
      <c r="N56" s="398">
        <f>K56</f>
        <v>9311</v>
      </c>
      <c r="O56" s="8"/>
    </row>
    <row r="57" spans="2:15" ht="15.4" x14ac:dyDescent="0.45">
      <c r="B57" s="176"/>
      <c r="C57" s="1" t="s">
        <v>183</v>
      </c>
      <c r="D57" s="8"/>
      <c r="E57" s="8"/>
      <c r="F57"/>
      <c r="G57" s="8"/>
      <c r="H57" s="8"/>
      <c r="I57" s="8"/>
      <c r="J57" s="8"/>
      <c r="K57" s="8"/>
      <c r="L57" s="180"/>
      <c r="M57" s="8">
        <f>SUM(H58:H61)</f>
        <v>63070</v>
      </c>
      <c r="N57" s="398"/>
      <c r="O57" s="8"/>
    </row>
    <row r="58" spans="2:15" x14ac:dyDescent="0.45">
      <c r="B58" s="176"/>
      <c r="D58" s="8" t="s">
        <v>178</v>
      </c>
      <c r="E58" s="8"/>
      <c r="F58" s="8"/>
      <c r="G58" s="182"/>
      <c r="H58" s="8">
        <v>12046</v>
      </c>
      <c r="I58" s="183">
        <f>Fac!$H$35</f>
        <v>4.833238113734336E-2</v>
      </c>
      <c r="J58" s="8">
        <f>H58*I58</f>
        <v>582.21186318043806</v>
      </c>
      <c r="K58" s="8">
        <f>H58-J58</f>
        <v>11463.788136819561</v>
      </c>
      <c r="L58" s="180"/>
      <c r="M58" s="8"/>
      <c r="N58" s="398"/>
      <c r="O58" s="8"/>
    </row>
    <row r="59" spans="2:15" x14ac:dyDescent="0.45">
      <c r="B59" s="176"/>
      <c r="D59" s="8" t="s">
        <v>41</v>
      </c>
      <c r="E59" s="8"/>
      <c r="F59" s="8"/>
      <c r="G59" s="182"/>
      <c r="H59" s="8">
        <v>14713</v>
      </c>
      <c r="I59" s="183">
        <f>Fac!$H$39</f>
        <v>8.142866043973282E-4</v>
      </c>
      <c r="J59" s="8">
        <f>H59*I59</f>
        <v>11.98059881049789</v>
      </c>
      <c r="K59" s="8">
        <f>H59-J59</f>
        <v>14701.019401189502</v>
      </c>
      <c r="L59" s="180"/>
      <c r="M59" s="8"/>
      <c r="N59" s="398"/>
      <c r="O59" s="8"/>
    </row>
    <row r="60" spans="2:15" x14ac:dyDescent="0.45">
      <c r="B60" s="176"/>
      <c r="D60" s="8" t="s">
        <v>40</v>
      </c>
      <c r="E60" s="8"/>
      <c r="F60" s="8"/>
      <c r="G60" s="182"/>
      <c r="H60" s="8">
        <v>12320</v>
      </c>
      <c r="I60" s="183"/>
      <c r="J60" s="8">
        <f>H60*I60</f>
        <v>0</v>
      </c>
      <c r="K60" s="8">
        <f>H60-J60</f>
        <v>12320</v>
      </c>
      <c r="L60" s="180"/>
      <c r="M60" s="8"/>
      <c r="N60" s="398"/>
      <c r="O60" s="8"/>
    </row>
    <row r="61" spans="2:15" ht="16.5" x14ac:dyDescent="0.75">
      <c r="B61" s="176"/>
      <c r="D61" s="8" t="s">
        <v>42</v>
      </c>
      <c r="E61" s="8"/>
      <c r="F61" s="8"/>
      <c r="G61" s="182"/>
      <c r="H61" s="8">
        <v>23991</v>
      </c>
      <c r="I61" s="183">
        <f>Fac!$H$39</f>
        <v>8.142866043973282E-4</v>
      </c>
      <c r="J61" s="8">
        <f>H61*I61</f>
        <v>19.535549926096301</v>
      </c>
      <c r="K61" s="8">
        <f>H61-J61</f>
        <v>23971.464450073905</v>
      </c>
      <c r="L61" s="180"/>
      <c r="M61" s="8"/>
      <c r="N61" s="400">
        <f>SUM(K58:K61)</f>
        <v>62456.271988082968</v>
      </c>
      <c r="O61" s="8"/>
    </row>
    <row r="62" spans="2:15" x14ac:dyDescent="0.45">
      <c r="B62" s="176"/>
      <c r="C62" s="185" t="s">
        <v>0</v>
      </c>
      <c r="D62" s="8"/>
      <c r="E62" s="8"/>
      <c r="F62" s="8"/>
      <c r="G62" s="8"/>
      <c r="H62" s="8">
        <f>SUM(H11:H61)</f>
        <v>3500014.9934793795</v>
      </c>
      <c r="I62" s="8"/>
      <c r="J62" s="8">
        <f>SUM(J11:J61)</f>
        <v>73236.317802176389</v>
      </c>
      <c r="K62" s="8">
        <f>SUM(K11:K61)</f>
        <v>3426778.6756772026</v>
      </c>
      <c r="L62" s="180"/>
      <c r="M62" s="8">
        <f>SUM(M10:M61)</f>
        <v>3500014.993479379</v>
      </c>
      <c r="N62" s="398">
        <f>SUM(N10:N61)</f>
        <v>3426778.6756772036</v>
      </c>
      <c r="O62" s="8">
        <f>K62+J62</f>
        <v>3500014.993479379</v>
      </c>
    </row>
    <row r="63" spans="2:15" x14ac:dyDescent="0.45">
      <c r="B63" s="176"/>
      <c r="C63" s="1" t="s">
        <v>23</v>
      </c>
      <c r="D63" s="8"/>
      <c r="E63" s="8"/>
      <c r="F63" s="8"/>
      <c r="G63" s="8"/>
      <c r="H63" s="8"/>
      <c r="I63" s="8"/>
      <c r="J63" s="8"/>
      <c r="K63" s="8"/>
      <c r="L63" s="180"/>
      <c r="M63" s="8"/>
      <c r="N63" s="398"/>
      <c r="O63" s="8"/>
    </row>
    <row r="64" spans="2:15" x14ac:dyDescent="0.45">
      <c r="B64" s="176"/>
      <c r="D64" s="8" t="s">
        <v>178</v>
      </c>
      <c r="E64" s="8"/>
      <c r="F64" s="8"/>
      <c r="G64" s="8"/>
      <c r="H64" s="8">
        <f>Al_DepW!D33</f>
        <v>148184.98897046491</v>
      </c>
      <c r="I64" s="183">
        <f>Fac!$H$35</f>
        <v>4.833238113734336E-2</v>
      </c>
      <c r="J64" s="8">
        <f>H64*I64</f>
        <v>7162.1333657535324</v>
      </c>
      <c r="K64" s="8">
        <f>H64-J64</f>
        <v>141022.85560471137</v>
      </c>
      <c r="L64" s="180"/>
      <c r="M64" s="8"/>
      <c r="N64" s="398"/>
      <c r="O64" s="8"/>
    </row>
    <row r="65" spans="2:17" x14ac:dyDescent="0.45">
      <c r="B65" s="176"/>
      <c r="D65" s="1" t="s">
        <v>48</v>
      </c>
      <c r="E65" s="8"/>
      <c r="H65" s="8">
        <f>Al_DepW!E33</f>
        <v>426676.84756975883</v>
      </c>
      <c r="I65" s="183">
        <f>Fac!$H$39</f>
        <v>8.142866043973282E-4</v>
      </c>
      <c r="J65" s="8">
        <f>H65*I65</f>
        <v>347.43724138253532</v>
      </c>
      <c r="K65" s="8">
        <f>H65-J65</f>
        <v>426329.41032837628</v>
      </c>
      <c r="L65" s="180"/>
      <c r="M65" s="8"/>
      <c r="N65" s="398"/>
      <c r="O65" s="8"/>
    </row>
    <row r="66" spans="2:17" x14ac:dyDescent="0.45">
      <c r="B66" s="176"/>
      <c r="D66" s="1" t="s">
        <v>191</v>
      </c>
      <c r="E66" s="8"/>
      <c r="H66" s="8">
        <f>Al_DepW!F33</f>
        <v>148204.09585698121</v>
      </c>
      <c r="I66" s="183">
        <f>Fac!$H$43</f>
        <v>7.142470293865967E-2</v>
      </c>
      <c r="J66" s="8">
        <f>H66*I66</f>
        <v>10585.433520877525</v>
      </c>
      <c r="K66" s="8">
        <f>H66-J66</f>
        <v>137618.66233610368</v>
      </c>
      <c r="L66" s="180"/>
      <c r="M66" s="8"/>
      <c r="N66" s="398"/>
      <c r="O66" s="8"/>
    </row>
    <row r="67" spans="2:17" x14ac:dyDescent="0.45">
      <c r="B67" s="176"/>
      <c r="D67" s="8" t="s">
        <v>42</v>
      </c>
      <c r="E67" s="8"/>
      <c r="F67" s="8"/>
      <c r="G67" s="8"/>
      <c r="H67" s="8">
        <f>Al_DepW!G33</f>
        <v>28058.759754948485</v>
      </c>
      <c r="I67" s="183">
        <f>Fac!$H$39</f>
        <v>8.142866043973282E-4</v>
      </c>
      <c r="J67" s="8">
        <f>H67*I67</f>
        <v>22.84787220445741</v>
      </c>
      <c r="K67" s="8">
        <f>H67-J67</f>
        <v>28035.911882744029</v>
      </c>
      <c r="L67" s="180"/>
      <c r="M67" s="8"/>
      <c r="N67" s="398"/>
      <c r="O67" s="8"/>
    </row>
    <row r="68" spans="2:17" x14ac:dyDescent="0.45">
      <c r="B68" s="176"/>
      <c r="D68" s="8" t="s">
        <v>29</v>
      </c>
      <c r="E68" s="8"/>
      <c r="F68" s="8"/>
      <c r="G68" s="8"/>
      <c r="H68" s="8">
        <f>Al_DepW!H33</f>
        <v>168856.97852317133</v>
      </c>
      <c r="I68" s="8"/>
      <c r="J68" s="8">
        <f>H68*I68</f>
        <v>0</v>
      </c>
      <c r="K68" s="8">
        <f>H68-J68</f>
        <v>168856.97852317133</v>
      </c>
      <c r="L68" s="180"/>
      <c r="M68" s="8"/>
      <c r="N68" s="398">
        <f>SUM(K64:K68)</f>
        <v>901863.81867510686</v>
      </c>
      <c r="O68" s="8">
        <f>SUM(H64:H68)</f>
        <v>919981.67067532474</v>
      </c>
      <c r="Q68" s="458">
        <f>N62+N68</f>
        <v>4328642.4943523109</v>
      </c>
    </row>
    <row r="69" spans="2:17" x14ac:dyDescent="0.45">
      <c r="B69" s="176"/>
      <c r="C69" s="1" t="s">
        <v>49</v>
      </c>
      <c r="D69" s="8"/>
      <c r="E69" s="8"/>
      <c r="F69" s="8"/>
      <c r="G69" s="8"/>
      <c r="H69" s="8"/>
      <c r="I69" s="8"/>
      <c r="J69" s="8"/>
      <c r="K69" s="8"/>
      <c r="L69" s="180"/>
      <c r="M69" s="8"/>
      <c r="N69" s="398"/>
      <c r="O69" s="8"/>
      <c r="Q69" s="459"/>
    </row>
    <row r="70" spans="2:17" x14ac:dyDescent="0.45">
      <c r="B70" s="176"/>
      <c r="D70" s="8" t="s">
        <v>178</v>
      </c>
      <c r="E70" s="8"/>
      <c r="F70" s="8"/>
      <c r="G70" s="8"/>
      <c r="H70" s="8">
        <f>Al_Plt!D38</f>
        <v>170528.89241892399</v>
      </c>
      <c r="I70" s="183">
        <f>Fac!$H$35</f>
        <v>4.833238113734336E-2</v>
      </c>
      <c r="J70" s="8">
        <f>H70*I70</f>
        <v>8242.0674233204572</v>
      </c>
      <c r="K70" s="8">
        <f>H70-J70</f>
        <v>162286.82499560353</v>
      </c>
      <c r="L70" s="180"/>
      <c r="M70" s="8"/>
      <c r="N70" s="398"/>
      <c r="O70" s="8"/>
      <c r="Q70" s="459"/>
    </row>
    <row r="71" spans="2:17" x14ac:dyDescent="0.45">
      <c r="B71" s="176"/>
      <c r="D71" s="1" t="s">
        <v>48</v>
      </c>
      <c r="E71" s="8"/>
      <c r="F71" s="8"/>
      <c r="G71" s="8"/>
      <c r="H71" s="8">
        <f>Al_Plt!E38</f>
        <v>538941.81587978953</v>
      </c>
      <c r="I71" s="183">
        <f>Fac!$H$39</f>
        <v>8.142866043973282E-4</v>
      </c>
      <c r="J71" s="8">
        <f t="shared" ref="J71:J74" si="12">H71*I71</f>
        <v>438.85310122048389</v>
      </c>
      <c r="K71" s="8">
        <f t="shared" ref="K71:K74" si="13">H71-J71</f>
        <v>538502.96277856908</v>
      </c>
      <c r="L71" s="180"/>
      <c r="M71" s="8"/>
      <c r="N71" s="398"/>
      <c r="O71" s="8"/>
      <c r="Q71" s="459"/>
    </row>
    <row r="72" spans="2:17" x14ac:dyDescent="0.45">
      <c r="B72" s="176"/>
      <c r="D72" s="1" t="s">
        <v>191</v>
      </c>
      <c r="E72" s="8"/>
      <c r="F72" s="8"/>
      <c r="G72" s="8"/>
      <c r="H72" s="8">
        <f>Al_Plt!F38</f>
        <v>140159.61182566659</v>
      </c>
      <c r="I72" s="183">
        <f>Fac!$H$43</f>
        <v>7.142470293865967E-2</v>
      </c>
      <c r="J72" s="8">
        <f t="shared" si="12"/>
        <v>10010.858638646088</v>
      </c>
      <c r="K72" s="8">
        <f t="shared" si="13"/>
        <v>130148.75318702051</v>
      </c>
      <c r="L72" s="180"/>
      <c r="M72" s="8"/>
      <c r="N72" s="398"/>
      <c r="O72" s="8"/>
      <c r="Q72" s="459"/>
    </row>
    <row r="73" spans="2:17" x14ac:dyDescent="0.45">
      <c r="B73" s="176"/>
      <c r="D73" s="8" t="s">
        <v>42</v>
      </c>
      <c r="E73" s="8"/>
      <c r="F73" s="8"/>
      <c r="G73" s="8"/>
      <c r="H73" s="8">
        <f>Al_Plt!G38</f>
        <v>24023.983862976736</v>
      </c>
      <c r="I73" s="183">
        <f>Fac!$H$39</f>
        <v>8.142866043973282E-4</v>
      </c>
      <c r="J73" s="8">
        <f t="shared" si="12"/>
        <v>19.562408243879535</v>
      </c>
      <c r="K73" s="8">
        <f t="shared" si="13"/>
        <v>24004.421454732856</v>
      </c>
      <c r="L73" s="180"/>
      <c r="M73" s="8">
        <f>SUM(K70:K74)</f>
        <v>973808.89842856932</v>
      </c>
      <c r="N73" s="398"/>
      <c r="O73" s="8"/>
      <c r="Q73" s="459"/>
    </row>
    <row r="74" spans="2:17" ht="16.5" x14ac:dyDescent="0.75">
      <c r="B74" s="176"/>
      <c r="D74" s="8" t="s">
        <v>29</v>
      </c>
      <c r="E74" s="8"/>
      <c r="F74" s="8"/>
      <c r="G74" s="8"/>
      <c r="H74" s="8">
        <f>Al_Plt!H38</f>
        <v>118865.93601264324</v>
      </c>
      <c r="I74" s="8"/>
      <c r="J74" s="8">
        <f t="shared" si="12"/>
        <v>0</v>
      </c>
      <c r="K74" s="8">
        <f t="shared" si="13"/>
        <v>118865.93601264324</v>
      </c>
      <c r="L74" s="180"/>
      <c r="M74" s="8"/>
      <c r="N74" s="400">
        <f>SUM(K70:K74)</f>
        <v>973808.89842856932</v>
      </c>
      <c r="O74" s="8">
        <f>SUM(H70:H74)</f>
        <v>992520.24000000022</v>
      </c>
      <c r="Q74" s="458">
        <f>Q68+N74</f>
        <v>5302451.3927808804</v>
      </c>
    </row>
    <row r="75" spans="2:17" x14ac:dyDescent="0.45">
      <c r="B75" s="176"/>
      <c r="C75" s="185" t="s">
        <v>181</v>
      </c>
      <c r="G75" s="185"/>
      <c r="H75" s="8">
        <f>SUM(H64:H74)+H62</f>
        <v>5412516.904154704</v>
      </c>
      <c r="I75" s="8"/>
      <c r="J75" s="8">
        <f>SUM(J64:J74)+J62</f>
        <v>110065.51137382534</v>
      </c>
      <c r="K75" s="8">
        <f>SUM(K64:K74)+K62</f>
        <v>5302451.3927808786</v>
      </c>
      <c r="L75" s="180"/>
      <c r="M75" s="8"/>
      <c r="N75" s="398">
        <f>SUM(N62:N74)</f>
        <v>5302451.3927808804</v>
      </c>
      <c r="O75" s="269">
        <f>J75+K75</f>
        <v>5412516.904154704</v>
      </c>
    </row>
    <row r="76" spans="2:17" x14ac:dyDescent="0.45">
      <c r="B76" s="176"/>
      <c r="D76" s="8" t="s">
        <v>50</v>
      </c>
      <c r="E76" s="8"/>
      <c r="F76" s="8"/>
      <c r="G76" s="8"/>
      <c r="H76" s="8"/>
      <c r="I76" s="8"/>
      <c r="J76" s="8">
        <f>ExBA!C28/1000</f>
        <v>32970</v>
      </c>
      <c r="K76" s="186"/>
      <c r="L76" s="187"/>
      <c r="M76" s="186"/>
      <c r="O76" s="8"/>
    </row>
    <row r="77" spans="2:17" ht="3.95" customHeight="1" x14ac:dyDescent="0.45">
      <c r="B77" s="176"/>
      <c r="D77" s="8"/>
      <c r="E77" s="8"/>
      <c r="F77" s="8"/>
      <c r="G77" s="8"/>
      <c r="H77" s="8"/>
      <c r="I77" s="8"/>
      <c r="J77" s="8"/>
      <c r="K77" s="8"/>
      <c r="L77" s="180"/>
      <c r="M77" s="8"/>
      <c r="O77" s="8"/>
    </row>
    <row r="78" spans="2:17" ht="16.149999999999999" thickBot="1" x14ac:dyDescent="0.55000000000000004">
      <c r="B78" s="176"/>
      <c r="C78" s="188" t="s">
        <v>51</v>
      </c>
      <c r="D78" s="75"/>
      <c r="E78" s="75"/>
      <c r="F78" s="75"/>
      <c r="G78" s="75"/>
      <c r="H78" s="75"/>
      <c r="I78" s="75"/>
      <c r="J78" s="189">
        <f>ROUND(J75/J76,2)</f>
        <v>3.34</v>
      </c>
      <c r="K78" s="150"/>
      <c r="L78" s="190"/>
      <c r="M78" s="150"/>
      <c r="N78" s="269">
        <f>(J78-3.13)/3.13</f>
        <v>6.7092651757188496E-2</v>
      </c>
      <c r="O78" s="150"/>
    </row>
    <row r="79" spans="2:17" ht="8.1" customHeight="1" thickTop="1" x14ac:dyDescent="0.45">
      <c r="B79" s="191"/>
      <c r="C79" s="128"/>
      <c r="D79" s="67"/>
      <c r="E79" s="67"/>
      <c r="F79" s="67"/>
      <c r="G79" s="67"/>
      <c r="H79" s="67"/>
      <c r="I79" s="67"/>
      <c r="J79" s="192"/>
      <c r="K79" s="67"/>
      <c r="L79" s="193"/>
      <c r="M79" s="8"/>
      <c r="O79" s="8"/>
    </row>
    <row r="81" spans="8:13" x14ac:dyDescent="0.45">
      <c r="H81" s="8"/>
      <c r="K81" s="8">
        <f>SUM(K64:K68)</f>
        <v>901863.81867510686</v>
      </c>
    </row>
    <row r="82" spans="8:13" ht="15.75" x14ac:dyDescent="0.5">
      <c r="H82" s="394"/>
      <c r="I82" s="395" t="s">
        <v>487</v>
      </c>
      <c r="J82" s="396">
        <f>J78*J76</f>
        <v>110119.79999999999</v>
      </c>
      <c r="K82" s="8">
        <f>K81+K62</f>
        <v>4328642.494352309</v>
      </c>
      <c r="L82" s="8"/>
      <c r="M82" s="8"/>
    </row>
    <row r="83" spans="8:13" x14ac:dyDescent="0.45">
      <c r="H83" s="197"/>
      <c r="J83" s="71"/>
    </row>
    <row r="84" spans="8:13" x14ac:dyDescent="0.45">
      <c r="I84" s="1" t="s">
        <v>488</v>
      </c>
      <c r="J84" s="37">
        <v>3.1</v>
      </c>
    </row>
    <row r="85" spans="8:13" x14ac:dyDescent="0.45">
      <c r="I85" s="1" t="s">
        <v>192</v>
      </c>
      <c r="J85" s="397">
        <f>J78-J84</f>
        <v>0.23999999999999977</v>
      </c>
    </row>
    <row r="86" spans="8:13" x14ac:dyDescent="0.45">
      <c r="I86" s="1" t="s">
        <v>489</v>
      </c>
      <c r="J86" s="36">
        <f>J85/J84</f>
        <v>7.7419354838709598E-2</v>
      </c>
    </row>
    <row r="90" spans="8:13" ht="9.9499999999999993" customHeight="1" x14ac:dyDescent="0.45"/>
    <row r="93" spans="8:13" ht="3" customHeight="1" x14ac:dyDescent="0.45"/>
  </sheetData>
  <mergeCells count="3">
    <mergeCell ref="C3:K3"/>
    <mergeCell ref="B4:L4"/>
    <mergeCell ref="B5:L5"/>
  </mergeCells>
  <printOptions horizontalCentered="1"/>
  <pageMargins left="0.45" right="0.45" top="1" bottom="1.25" header="0.3" footer="0.3"/>
  <pageSetup fitToHeight="2" orientation="portrait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K39"/>
  <sheetViews>
    <sheetView workbookViewId="0"/>
  </sheetViews>
  <sheetFormatPr defaultColWidth="8.88671875" defaultRowHeight="14.25" x14ac:dyDescent="0.45"/>
  <cols>
    <col min="1" max="1" width="8.88671875" style="23"/>
    <col min="2" max="2" width="1.77734375" style="23" customWidth="1"/>
    <col min="3" max="3" width="26.109375" style="23" customWidth="1"/>
    <col min="4" max="4" width="10.21875" style="23" bestFit="1" customWidth="1"/>
    <col min="5" max="5" width="8.88671875" style="23"/>
    <col min="6" max="6" width="9" style="23" bestFit="1" customWidth="1"/>
    <col min="7" max="7" width="9" style="23" customWidth="1"/>
    <col min="8" max="8" width="9" style="23" bestFit="1" customWidth="1"/>
    <col min="9" max="9" width="1.77734375" style="23" customWidth="1"/>
    <col min="10" max="16384" width="8.88671875" style="23"/>
  </cols>
  <sheetData>
    <row r="2" spans="2:11" ht="9.9499999999999993" customHeight="1" x14ac:dyDescent="0.45">
      <c r="B2" s="26"/>
      <c r="C2" s="27"/>
      <c r="D2" s="27"/>
      <c r="E2" s="27"/>
      <c r="F2" s="27"/>
      <c r="G2" s="27"/>
      <c r="H2" s="27"/>
      <c r="I2" s="28"/>
    </row>
    <row r="3" spans="2:11" ht="18.75" customHeight="1" x14ac:dyDescent="0.55000000000000004">
      <c r="B3" s="29"/>
      <c r="C3" s="567" t="s">
        <v>197</v>
      </c>
      <c r="D3" s="567"/>
      <c r="E3" s="567"/>
      <c r="F3" s="567"/>
      <c r="G3" s="567"/>
      <c r="H3" s="567"/>
      <c r="I3" s="30"/>
    </row>
    <row r="4" spans="2:11" ht="18.75" customHeight="1" x14ac:dyDescent="0.55000000000000004">
      <c r="B4" s="29"/>
      <c r="C4" s="576" t="s">
        <v>109</v>
      </c>
      <c r="D4" s="576"/>
      <c r="E4" s="576"/>
      <c r="F4" s="576"/>
      <c r="G4" s="576"/>
      <c r="H4" s="576"/>
      <c r="I4" s="30"/>
    </row>
    <row r="5" spans="2:11" ht="18.75" customHeight="1" x14ac:dyDescent="0.45">
      <c r="B5" s="29"/>
      <c r="C5" s="573" t="s">
        <v>207</v>
      </c>
      <c r="D5" s="573"/>
      <c r="E5" s="573"/>
      <c r="F5" s="573"/>
      <c r="G5" s="573"/>
      <c r="H5" s="573"/>
      <c r="I5" s="30"/>
    </row>
    <row r="6" spans="2:11" ht="9.9499999999999993" customHeight="1" x14ac:dyDescent="0.45">
      <c r="B6" s="33"/>
      <c r="C6" s="401"/>
      <c r="D6" s="401"/>
      <c r="E6" s="401"/>
      <c r="F6" s="401"/>
      <c r="G6" s="401"/>
      <c r="H6" s="401"/>
      <c r="I6" s="34"/>
    </row>
    <row r="7" spans="2:11" ht="6.95" customHeight="1" x14ac:dyDescent="0.45">
      <c r="B7" s="29"/>
      <c r="C7" s="236"/>
      <c r="D7" s="236"/>
      <c r="E7" s="236"/>
      <c r="F7" s="236"/>
      <c r="G7" s="236"/>
      <c r="H7" s="236"/>
      <c r="I7" s="30"/>
    </row>
    <row r="8" spans="2:11" ht="16.5" x14ac:dyDescent="0.75">
      <c r="B8" s="29"/>
      <c r="C8" s="20"/>
      <c r="D8" s="20"/>
      <c r="E8" s="20"/>
      <c r="F8" s="578" t="s">
        <v>29</v>
      </c>
      <c r="G8" s="578"/>
      <c r="H8" s="20"/>
      <c r="I8" s="30"/>
    </row>
    <row r="9" spans="2:11" x14ac:dyDescent="0.45">
      <c r="B9" s="29"/>
      <c r="C9" s="20"/>
      <c r="D9" s="24" t="s">
        <v>17</v>
      </c>
      <c r="E9" s="24"/>
      <c r="F9" s="102" t="s">
        <v>490</v>
      </c>
      <c r="G9" s="102" t="s">
        <v>491</v>
      </c>
      <c r="H9" s="24" t="s">
        <v>103</v>
      </c>
      <c r="I9" s="30"/>
    </row>
    <row r="10" spans="2:11" ht="16.5" x14ac:dyDescent="0.75">
      <c r="B10" s="29"/>
      <c r="C10" s="20"/>
      <c r="D10" s="24" t="s">
        <v>31</v>
      </c>
      <c r="E10" s="24" t="s">
        <v>32</v>
      </c>
      <c r="F10" s="213" t="s">
        <v>492</v>
      </c>
      <c r="G10" s="213" t="s">
        <v>261</v>
      </c>
      <c r="H10" s="24" t="s">
        <v>55</v>
      </c>
      <c r="I10" s="30"/>
    </row>
    <row r="11" spans="2:11" x14ac:dyDescent="0.45">
      <c r="B11" s="29"/>
      <c r="C11" s="7" t="s">
        <v>39</v>
      </c>
      <c r="D11" s="20">
        <f>SUM(E11:H11)</f>
        <v>1676686.1320254947</v>
      </c>
      <c r="E11" s="20">
        <f>Whol!K11+Whol!K12</f>
        <v>1173121.1916276806</v>
      </c>
      <c r="F11" s="20">
        <f>Whol!K13*0.85</f>
        <v>235392.68586797171</v>
      </c>
      <c r="G11" s="20">
        <f>(F11/0.85)*0.15</f>
        <v>41539.885741406775</v>
      </c>
      <c r="H11" s="20">
        <f>Whol!K14</f>
        <v>226632.36878843553</v>
      </c>
      <c r="I11" s="30"/>
      <c r="J11" s="23">
        <f>SUM(E11:H11)</f>
        <v>1676686.1320254947</v>
      </c>
      <c r="K11" s="38"/>
    </row>
    <row r="12" spans="2:11" x14ac:dyDescent="0.45">
      <c r="B12" s="29"/>
      <c r="C12" s="7" t="s">
        <v>43</v>
      </c>
      <c r="D12" s="20">
        <f>SUM(E12:H12)</f>
        <v>527915.55883794546</v>
      </c>
      <c r="E12" s="20">
        <f>Whol!K16+Whol!K17</f>
        <v>369364.85465804918</v>
      </c>
      <c r="F12" s="20">
        <f>Whol!K18*0.85</f>
        <v>74114.921649787764</v>
      </c>
      <c r="G12" s="20">
        <f>(F12/0.85)*0.15</f>
        <v>13079.103820550781</v>
      </c>
      <c r="H12" s="20">
        <f>Whol!K19</f>
        <v>71356.678709557717</v>
      </c>
      <c r="I12" s="30"/>
      <c r="J12" s="23">
        <f t="shared" ref="J12:J28" si="0">SUM(E12:H12)</f>
        <v>527915.55883794546</v>
      </c>
    </row>
    <row r="13" spans="2:11" x14ac:dyDescent="0.45">
      <c r="B13" s="29"/>
      <c r="C13" s="20" t="s">
        <v>52</v>
      </c>
      <c r="D13" s="20">
        <f>SUM(E13:H13)</f>
        <v>28550.0285658797</v>
      </c>
      <c r="E13" s="20"/>
      <c r="F13" s="20"/>
      <c r="G13" s="20"/>
      <c r="H13" s="20">
        <f>Whol!K20</f>
        <v>28550.0285658797</v>
      </c>
      <c r="I13" s="30"/>
      <c r="J13" s="23">
        <f t="shared" si="0"/>
        <v>28550.0285658797</v>
      </c>
    </row>
    <row r="14" spans="2:11" x14ac:dyDescent="0.45">
      <c r="B14" s="29"/>
      <c r="C14" s="20" t="s">
        <v>384</v>
      </c>
      <c r="D14" s="20">
        <f>Whol!N21</f>
        <v>3928.5841334832398</v>
      </c>
      <c r="E14" s="20">
        <f>D14</f>
        <v>3928.5841334832398</v>
      </c>
      <c r="F14" s="20"/>
      <c r="G14" s="20"/>
      <c r="H14" s="20"/>
      <c r="I14" s="30"/>
      <c r="J14" s="23">
        <f t="shared" si="0"/>
        <v>3928.5841334832398</v>
      </c>
    </row>
    <row r="15" spans="2:11" x14ac:dyDescent="0.45">
      <c r="B15" s="29"/>
      <c r="C15" s="20" t="s">
        <v>5</v>
      </c>
      <c r="D15" s="20">
        <f>Whol!N25</f>
        <v>247453.35907334241</v>
      </c>
      <c r="E15" s="20">
        <f>Whol!K23+Whol!K24</f>
        <v>243109.0376780353</v>
      </c>
      <c r="F15" s="20"/>
      <c r="G15" s="20"/>
      <c r="H15" s="20">
        <f>Whol!K25</f>
        <v>4344.3213953071036</v>
      </c>
      <c r="I15" s="30"/>
      <c r="J15" s="23">
        <f t="shared" si="0"/>
        <v>247453.35907334241</v>
      </c>
    </row>
    <row r="16" spans="2:11" x14ac:dyDescent="0.45">
      <c r="B16" s="29"/>
      <c r="C16" s="20" t="s">
        <v>33</v>
      </c>
      <c r="D16" s="20">
        <f>SUM(E16:H16)</f>
        <v>110886.61527587978</v>
      </c>
      <c r="E16" s="20">
        <f>Whol!K27</f>
        <v>110886.61527587978</v>
      </c>
      <c r="F16" s="20"/>
      <c r="G16" s="20"/>
      <c r="H16" s="20"/>
      <c r="I16" s="30"/>
      <c r="J16" s="23">
        <f t="shared" si="0"/>
        <v>110886.61527587978</v>
      </c>
    </row>
    <row r="17" spans="2:11" x14ac:dyDescent="0.45">
      <c r="B17" s="29"/>
      <c r="C17" s="20" t="s">
        <v>44</v>
      </c>
      <c r="D17" s="20">
        <f>Whol!N32</f>
        <v>202643.28308382441</v>
      </c>
      <c r="E17" s="20">
        <f>Whol!K29+Whol!K30</f>
        <v>118506.89461619331</v>
      </c>
      <c r="F17" s="20">
        <f>Whol!K31*0.85</f>
        <v>40630.85</v>
      </c>
      <c r="G17" s="20">
        <f>(F17/0.85)*0.15</f>
        <v>7170.15</v>
      </c>
      <c r="H17" s="20">
        <f>Whol!K32</f>
        <v>36335.388467631092</v>
      </c>
      <c r="I17" s="30"/>
      <c r="J17" s="23">
        <f t="shared" si="0"/>
        <v>202643.28308382441</v>
      </c>
    </row>
    <row r="18" spans="2:11" x14ac:dyDescent="0.45">
      <c r="B18" s="29"/>
      <c r="C18" s="7" t="s">
        <v>53</v>
      </c>
      <c r="D18" s="20">
        <f>SUM(E18:H18)</f>
        <v>22840.022852703758</v>
      </c>
      <c r="E18" s="20"/>
      <c r="F18" s="20"/>
      <c r="G18" s="20"/>
      <c r="H18" s="20">
        <f>Whol!K33</f>
        <v>22840.022852703758</v>
      </c>
      <c r="I18" s="30"/>
      <c r="J18" s="23">
        <f t="shared" si="0"/>
        <v>22840.022852703758</v>
      </c>
    </row>
    <row r="19" spans="2:11" x14ac:dyDescent="0.45">
      <c r="B19" s="29"/>
      <c r="C19" s="7" t="s">
        <v>180</v>
      </c>
      <c r="D19" s="20">
        <f>Whol!N36</f>
        <v>30579.749693297344</v>
      </c>
      <c r="E19" s="20">
        <f>Whol!N36</f>
        <v>30579.749693297344</v>
      </c>
      <c r="F19" s="20"/>
      <c r="G19" s="20"/>
      <c r="H19" s="20"/>
      <c r="I19" s="30"/>
      <c r="J19" s="23">
        <f t="shared" si="0"/>
        <v>30579.749693297344</v>
      </c>
    </row>
    <row r="20" spans="2:11" x14ac:dyDescent="0.45">
      <c r="B20" s="29"/>
      <c r="C20" s="7" t="s">
        <v>45</v>
      </c>
      <c r="D20" s="20">
        <f>Whol!N41</f>
        <v>330880.42636983393</v>
      </c>
      <c r="E20" s="20">
        <f>Whol!K38+Whol!K39</f>
        <v>248469.39537715117</v>
      </c>
      <c r="F20" s="20">
        <f>Whol!K40*0.85</f>
        <v>8544.1999999999989</v>
      </c>
      <c r="G20" s="20">
        <f>(F20/0.85)*0.15</f>
        <v>1507.7999999999997</v>
      </c>
      <c r="H20" s="20">
        <f>Whol!K41</f>
        <v>72359.030992682761</v>
      </c>
      <c r="I20" s="30"/>
      <c r="J20" s="23">
        <f t="shared" si="0"/>
        <v>330880.42636983393</v>
      </c>
    </row>
    <row r="21" spans="2:11" x14ac:dyDescent="0.45">
      <c r="B21" s="29"/>
      <c r="C21" s="7" t="s">
        <v>486</v>
      </c>
      <c r="D21" s="20">
        <f>Whol!N44</f>
        <v>8855.5446455639722</v>
      </c>
      <c r="E21" s="20">
        <f>Whol!N44</f>
        <v>8855.5446455639722</v>
      </c>
      <c r="F21" s="20"/>
      <c r="G21" s="20"/>
      <c r="H21" s="20"/>
      <c r="I21" s="30"/>
      <c r="J21" s="23">
        <f t="shared" si="0"/>
        <v>8855.5446455639722</v>
      </c>
    </row>
    <row r="22" spans="2:11" x14ac:dyDescent="0.45">
      <c r="B22" s="29"/>
      <c r="C22" s="20" t="s">
        <v>46</v>
      </c>
      <c r="D22" s="20">
        <f>Whol!N48</f>
        <v>102128.16556376529</v>
      </c>
      <c r="E22" s="20">
        <f>Whol!K46+Whol!K47</f>
        <v>100247.69805115476</v>
      </c>
      <c r="F22" s="20"/>
      <c r="G22" s="20"/>
      <c r="H22" s="20">
        <f>Whol!K48</f>
        <v>1880.4675126105242</v>
      </c>
      <c r="I22" s="30"/>
      <c r="J22" s="23">
        <f t="shared" si="0"/>
        <v>102128.16556376529</v>
      </c>
    </row>
    <row r="23" spans="2:11" x14ac:dyDescent="0.45">
      <c r="B23" s="29"/>
      <c r="C23" s="20" t="s">
        <v>194</v>
      </c>
      <c r="D23" s="20">
        <f>SUM(E23:H23)</f>
        <v>47783.231143093988</v>
      </c>
      <c r="E23" s="20"/>
      <c r="F23" s="20"/>
      <c r="G23" s="20"/>
      <c r="H23" s="20">
        <f>Whol!K49</f>
        <v>47783.231143093988</v>
      </c>
      <c r="I23" s="30"/>
      <c r="J23" s="23">
        <f t="shared" si="0"/>
        <v>47783.231143093988</v>
      </c>
    </row>
    <row r="24" spans="2:11" x14ac:dyDescent="0.45">
      <c r="B24" s="29"/>
      <c r="C24" s="20" t="s">
        <v>193</v>
      </c>
      <c r="D24" s="20">
        <f>Whol!N54</f>
        <v>11279.822013042674</v>
      </c>
      <c r="E24" s="20">
        <f>Whol!K51+Whol!K52</f>
        <v>7892.1140865543694</v>
      </c>
      <c r="F24" s="20">
        <f>Whol!K53*0.85</f>
        <v>1583.5925096817186</v>
      </c>
      <c r="G24" s="20">
        <f>(F24/0.85)*0.15</f>
        <v>279.45750170853859</v>
      </c>
      <c r="H24" s="20">
        <f>Whol!K54</f>
        <v>1524.6579150980476</v>
      </c>
      <c r="I24" s="30"/>
      <c r="J24" s="23">
        <f t="shared" si="0"/>
        <v>11279.822013042674</v>
      </c>
    </row>
    <row r="25" spans="2:11" x14ac:dyDescent="0.45">
      <c r="B25" s="29"/>
      <c r="C25" s="23" t="s">
        <v>208</v>
      </c>
      <c r="D25" s="20">
        <f>SUM(E25:H25)</f>
        <v>2600.8804119687538</v>
      </c>
      <c r="E25" s="20"/>
      <c r="F25" s="20"/>
      <c r="G25" s="20"/>
      <c r="H25" s="20">
        <f>Whol!K55</f>
        <v>2600.8804119687538</v>
      </c>
      <c r="I25" s="30"/>
      <c r="J25" s="23">
        <f t="shared" si="0"/>
        <v>2600.8804119687538</v>
      </c>
    </row>
    <row r="26" spans="2:11" x14ac:dyDescent="0.45">
      <c r="B26" s="29"/>
      <c r="C26" s="20" t="s">
        <v>209</v>
      </c>
      <c r="D26" s="20">
        <f>SUM(E26:H26)</f>
        <v>9311</v>
      </c>
      <c r="E26" s="20"/>
      <c r="F26" s="20">
        <f>Whol!K56</f>
        <v>9311</v>
      </c>
      <c r="G26" s="20"/>
      <c r="H26" s="20"/>
      <c r="I26" s="30"/>
      <c r="J26" s="23">
        <f t="shared" si="0"/>
        <v>9311</v>
      </c>
    </row>
    <row r="27" spans="2:11" x14ac:dyDescent="0.45">
      <c r="B27" s="29"/>
      <c r="C27" s="20" t="s">
        <v>47</v>
      </c>
      <c r="D27" s="20">
        <f>Whol!N61</f>
        <v>62456.271988082968</v>
      </c>
      <c r="E27" s="20">
        <f>Whol!K58+Whol!K59</f>
        <v>26164.807538009063</v>
      </c>
      <c r="F27" s="20">
        <f>Whol!K60*0.85</f>
        <v>10472</v>
      </c>
      <c r="G27" s="20">
        <f>(F27/0.85)*0.15</f>
        <v>1848</v>
      </c>
      <c r="H27" s="20">
        <f>Whol!K61</f>
        <v>23971.464450073905</v>
      </c>
      <c r="I27" s="30"/>
      <c r="J27" s="23">
        <f t="shared" si="0"/>
        <v>62456.271988082968</v>
      </c>
    </row>
    <row r="28" spans="2:11" x14ac:dyDescent="0.45">
      <c r="B28" s="29"/>
      <c r="C28" s="20" t="s">
        <v>157</v>
      </c>
      <c r="D28" s="20">
        <f>Whol!N68</f>
        <v>901863.81867510686</v>
      </c>
      <c r="E28" s="20">
        <f>Whol!K64+Whol!K65+Whol!K66</f>
        <v>704970.92826919141</v>
      </c>
      <c r="F28" s="20"/>
      <c r="G28" s="20">
        <f>Whol!K68</f>
        <v>168856.97852317133</v>
      </c>
      <c r="H28" s="20">
        <f>Whol!K67</f>
        <v>28035.911882744029</v>
      </c>
      <c r="I28" s="30"/>
      <c r="J28" s="23">
        <f t="shared" si="0"/>
        <v>901863.81867510674</v>
      </c>
    </row>
    <row r="29" spans="2:11" ht="5.0999999999999996" customHeight="1" x14ac:dyDescent="0.45">
      <c r="B29" s="29"/>
      <c r="C29" s="20"/>
      <c r="D29" s="20"/>
      <c r="E29" s="20"/>
      <c r="F29" s="20"/>
      <c r="G29" s="20"/>
      <c r="H29" s="20"/>
      <c r="I29" s="30"/>
    </row>
    <row r="30" spans="2:11" x14ac:dyDescent="0.45">
      <c r="B30" s="29"/>
      <c r="C30" s="20" t="s">
        <v>18</v>
      </c>
      <c r="D30" s="20">
        <f>SUM(D11:D29)</f>
        <v>4328642.4943523109</v>
      </c>
      <c r="E30" s="20">
        <f>SUM(E11:E29)</f>
        <v>3146097.4156502439</v>
      </c>
      <c r="F30" s="20">
        <f>SUM(F11:F29)</f>
        <v>380049.25002744119</v>
      </c>
      <c r="G30" s="20">
        <f>SUM(G11:G29)</f>
        <v>234281.37558683741</v>
      </c>
      <c r="H30" s="20">
        <f>SUM(H11:H29)</f>
        <v>568214.45308778679</v>
      </c>
      <c r="I30" s="30"/>
      <c r="K30" s="23">
        <f>E30+F30+G30+H30</f>
        <v>4328642.49435231</v>
      </c>
    </row>
    <row r="31" spans="2:11" ht="16.5" x14ac:dyDescent="0.75">
      <c r="B31" s="29"/>
      <c r="C31" s="20" t="s">
        <v>104</v>
      </c>
      <c r="D31" s="31">
        <f>H30</f>
        <v>568214.45308778679</v>
      </c>
      <c r="E31" s="20"/>
      <c r="F31" s="20"/>
      <c r="G31" s="20"/>
      <c r="H31" s="20"/>
      <c r="I31" s="30"/>
    </row>
    <row r="32" spans="2:11" x14ac:dyDescent="0.45">
      <c r="B32" s="29"/>
      <c r="C32" s="20" t="s">
        <v>106</v>
      </c>
      <c r="D32" s="20">
        <f>+D30-D31</f>
        <v>3760428.0412645242</v>
      </c>
      <c r="E32" s="20"/>
      <c r="F32" s="20"/>
      <c r="G32" s="20"/>
      <c r="H32" s="20"/>
      <c r="I32" s="30"/>
      <c r="K32" s="23">
        <f>F30+G30</f>
        <v>614330.6256142786</v>
      </c>
    </row>
    <row r="33" spans="2:11" ht="5.0999999999999996" customHeight="1" x14ac:dyDescent="0.45">
      <c r="B33" s="29"/>
      <c r="C33" s="20"/>
      <c r="D33" s="20"/>
      <c r="E33" s="20"/>
      <c r="F33" s="20"/>
      <c r="G33" s="20"/>
      <c r="H33" s="20"/>
      <c r="I33" s="30"/>
    </row>
    <row r="34" spans="2:11" x14ac:dyDescent="0.45">
      <c r="B34" s="29"/>
      <c r="C34" s="20" t="s">
        <v>105</v>
      </c>
      <c r="D34" s="32">
        <f>SUM(E34:G34)</f>
        <v>0.99999999999999956</v>
      </c>
      <c r="E34" s="32">
        <f>E30/$D$32</f>
        <v>0.83663279316263728</v>
      </c>
      <c r="F34" s="32">
        <f>F30/$D$32</f>
        <v>0.10106542283405628</v>
      </c>
      <c r="G34" s="32">
        <f>G30/$D$32</f>
        <v>6.2301784003305993E-2</v>
      </c>
      <c r="H34" s="20"/>
      <c r="I34" s="30"/>
      <c r="J34" s="271"/>
    </row>
    <row r="35" spans="2:11" ht="5.0999999999999996" customHeight="1" x14ac:dyDescent="0.45">
      <c r="B35" s="29"/>
      <c r="C35" s="20"/>
      <c r="D35" s="20"/>
      <c r="E35" s="20"/>
      <c r="F35" s="20"/>
      <c r="G35" s="20"/>
      <c r="H35" s="20"/>
      <c r="I35" s="30"/>
    </row>
    <row r="36" spans="2:11" x14ac:dyDescent="0.45">
      <c r="B36" s="29"/>
      <c r="C36" s="20" t="s">
        <v>107</v>
      </c>
      <c r="D36" s="20">
        <f>SUM(E36:G36)</f>
        <v>568214.45308778656</v>
      </c>
      <c r="E36" s="20">
        <f>E34*$H$30</f>
        <v>475386.84500221541</v>
      </c>
      <c r="F36" s="20">
        <f>F34*$H$30</f>
        <v>57426.833961739212</v>
      </c>
      <c r="G36" s="20">
        <f>G34*$H$30</f>
        <v>35400.774123831936</v>
      </c>
      <c r="H36" s="20"/>
      <c r="I36" s="30"/>
      <c r="K36" s="23">
        <f>SUM(E36:G36)</f>
        <v>568214.45308778656</v>
      </c>
    </row>
    <row r="37" spans="2:11" ht="5.0999999999999996" customHeight="1" x14ac:dyDescent="0.45">
      <c r="B37" s="29"/>
      <c r="C37" s="20"/>
      <c r="D37" s="20"/>
      <c r="E37" s="20"/>
      <c r="F37" s="20"/>
      <c r="G37" s="20"/>
      <c r="H37" s="20"/>
      <c r="I37" s="30"/>
    </row>
    <row r="38" spans="2:11" x14ac:dyDescent="0.45">
      <c r="B38" s="29"/>
      <c r="C38" s="20" t="s">
        <v>108</v>
      </c>
      <c r="D38" s="20">
        <f>D36+D32</f>
        <v>4328642.4943523109</v>
      </c>
      <c r="E38" s="20">
        <f>E36+E30</f>
        <v>3621484.2606524592</v>
      </c>
      <c r="F38" s="20">
        <f>F36+F30</f>
        <v>437476.08398918039</v>
      </c>
      <c r="G38" s="20">
        <f>G36+G30</f>
        <v>269682.14971066936</v>
      </c>
      <c r="H38" s="20"/>
      <c r="I38" s="30"/>
      <c r="J38" s="23">
        <f>SUM(E38:G38)</f>
        <v>4328642.494352309</v>
      </c>
    </row>
    <row r="39" spans="2:11" x14ac:dyDescent="0.45">
      <c r="B39" s="33"/>
      <c r="C39" s="19"/>
      <c r="D39" s="19"/>
      <c r="E39" s="19"/>
      <c r="F39" s="19"/>
      <c r="G39" s="19"/>
      <c r="H39" s="19"/>
      <c r="I39" s="34"/>
    </row>
  </sheetData>
  <mergeCells count="4">
    <mergeCell ref="C3:H3"/>
    <mergeCell ref="C4:H4"/>
    <mergeCell ref="C5:H5"/>
    <mergeCell ref="F8:G8"/>
  </mergeCells>
  <printOptions horizontalCentered="1"/>
  <pageMargins left="0.7" right="0.7" top="1.2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J24"/>
  <sheetViews>
    <sheetView workbookViewId="0"/>
  </sheetViews>
  <sheetFormatPr defaultColWidth="8.88671875" defaultRowHeight="14.25" x14ac:dyDescent="0.45"/>
  <cols>
    <col min="1" max="1" width="8.88671875" style="23"/>
    <col min="2" max="2" width="1.77734375" style="23" customWidth="1"/>
    <col min="3" max="3" width="27.33203125" style="23" customWidth="1"/>
    <col min="4" max="4" width="10.109375" style="23" customWidth="1"/>
    <col min="5" max="5" width="9.33203125" style="23" customWidth="1"/>
    <col min="6" max="7" width="8.88671875" style="23"/>
    <col min="8" max="8" width="1.77734375" style="23" customWidth="1"/>
    <col min="9" max="16384" width="8.88671875" style="23"/>
  </cols>
  <sheetData>
    <row r="2" spans="1:10" ht="9.9499999999999993" customHeight="1" x14ac:dyDescent="0.45">
      <c r="B2" s="26"/>
      <c r="C2" s="27"/>
      <c r="D2" s="27"/>
      <c r="E2" s="27"/>
      <c r="F2" s="27"/>
      <c r="G2" s="27"/>
      <c r="H2" s="28"/>
    </row>
    <row r="3" spans="1:10" ht="18" x14ac:dyDescent="0.55000000000000004">
      <c r="A3" s="29"/>
      <c r="B3" s="29"/>
      <c r="C3" s="567" t="s">
        <v>206</v>
      </c>
      <c r="D3" s="567"/>
      <c r="E3" s="567"/>
      <c r="F3" s="567"/>
      <c r="G3" s="567"/>
      <c r="H3" s="39"/>
      <c r="I3" s="18"/>
    </row>
    <row r="4" spans="1:10" ht="18" x14ac:dyDescent="0.55000000000000004">
      <c r="A4" s="29"/>
      <c r="B4" s="29"/>
      <c r="C4" s="576" t="s">
        <v>121</v>
      </c>
      <c r="D4" s="576"/>
      <c r="E4" s="576"/>
      <c r="F4" s="576"/>
      <c r="G4" s="576"/>
      <c r="H4" s="40"/>
      <c r="I4" s="25"/>
    </row>
    <row r="5" spans="1:10" ht="18" x14ac:dyDescent="0.45">
      <c r="A5" s="29"/>
      <c r="B5" s="29"/>
      <c r="C5" s="573" t="s">
        <v>207</v>
      </c>
      <c r="D5" s="573"/>
      <c r="E5" s="573"/>
      <c r="F5" s="573"/>
      <c r="G5" s="573"/>
      <c r="H5" s="307"/>
      <c r="I5" s="21"/>
    </row>
    <row r="6" spans="1:10" ht="9.9499999999999993" customHeight="1" x14ac:dyDescent="0.45">
      <c r="A6" s="20"/>
      <c r="B6" s="33"/>
      <c r="C6" s="401"/>
      <c r="D6" s="401"/>
      <c r="E6" s="401"/>
      <c r="F6" s="401"/>
      <c r="G6" s="401"/>
      <c r="H6" s="529"/>
      <c r="I6" s="21"/>
    </row>
    <row r="7" spans="1:10" ht="6.95" customHeight="1" x14ac:dyDescent="0.45">
      <c r="A7" s="20"/>
      <c r="B7" s="29"/>
      <c r="C7" s="379"/>
      <c r="D7" s="379"/>
      <c r="E7" s="379"/>
      <c r="F7" s="379"/>
      <c r="G7" s="379"/>
      <c r="H7" s="307"/>
      <c r="I7" s="21"/>
    </row>
    <row r="8" spans="1:10" ht="18" x14ac:dyDescent="0.45">
      <c r="A8" s="20"/>
      <c r="B8" s="29"/>
      <c r="C8" s="21"/>
      <c r="D8" s="21"/>
      <c r="E8" s="21"/>
      <c r="F8" s="579" t="s">
        <v>113</v>
      </c>
      <c r="G8" s="579"/>
      <c r="H8" s="6"/>
      <c r="I8" s="21"/>
    </row>
    <row r="9" spans="1:10" ht="16.5" x14ac:dyDescent="0.75">
      <c r="B9" s="29"/>
      <c r="C9" s="20"/>
      <c r="D9" s="24" t="s">
        <v>17</v>
      </c>
      <c r="E9" s="24" t="s">
        <v>32</v>
      </c>
      <c r="F9" s="213" t="s">
        <v>490</v>
      </c>
      <c r="G9" s="213" t="s">
        <v>491</v>
      </c>
      <c r="H9" s="41"/>
    </row>
    <row r="10" spans="1:10" ht="16.5" x14ac:dyDescent="0.75">
      <c r="B10" s="29"/>
      <c r="C10" s="20"/>
      <c r="D10" s="24" t="s">
        <v>205</v>
      </c>
      <c r="E10" s="162" t="s">
        <v>533</v>
      </c>
      <c r="F10" s="213" t="s">
        <v>492</v>
      </c>
      <c r="G10" s="213" t="s">
        <v>261</v>
      </c>
      <c r="H10" s="41"/>
    </row>
    <row r="11" spans="1:10" ht="5.0999999999999996" customHeight="1" x14ac:dyDescent="0.45">
      <c r="B11" s="29"/>
      <c r="C11" s="20"/>
      <c r="D11" s="24"/>
      <c r="E11" s="24"/>
      <c r="F11" s="24"/>
      <c r="G11" s="24"/>
      <c r="H11" s="41"/>
    </row>
    <row r="12" spans="1:10" x14ac:dyDescent="0.45">
      <c r="B12" s="29"/>
      <c r="C12" s="20" t="s">
        <v>110</v>
      </c>
      <c r="D12" s="20">
        <f>AlocOM_R!D30</f>
        <v>4328642.4943523109</v>
      </c>
      <c r="E12" s="20">
        <f>AlocOM_R!E38</f>
        <v>3621484.2606524592</v>
      </c>
      <c r="F12" s="20">
        <f>AlocOM_R!F38</f>
        <v>437476.08398918039</v>
      </c>
      <c r="G12" s="20">
        <f>AlocOM_R!G38</f>
        <v>269682.14971066936</v>
      </c>
      <c r="H12" s="30"/>
      <c r="J12" s="23">
        <f>SUM(E12:G12)</f>
        <v>4328642.494352309</v>
      </c>
    </row>
    <row r="13" spans="1:10" ht="16.5" x14ac:dyDescent="0.75">
      <c r="B13" s="29"/>
      <c r="C13" s="20" t="s">
        <v>49</v>
      </c>
      <c r="D13" s="31">
        <f>SUM(E13:G13)</f>
        <v>973808.89842856932</v>
      </c>
      <c r="E13" s="31">
        <f>Whol!K70+Whol!K71+Whol!K72</f>
        <v>830938.54096119315</v>
      </c>
      <c r="F13" s="31">
        <f>Whol!K73</f>
        <v>24004.421454732856</v>
      </c>
      <c r="G13" s="31">
        <f>Whol!K74</f>
        <v>118865.93601264324</v>
      </c>
      <c r="H13" s="42"/>
      <c r="J13" s="23">
        <f>SUM(E13:G13)</f>
        <v>973808.89842856932</v>
      </c>
    </row>
    <row r="14" spans="1:10" x14ac:dyDescent="0.45">
      <c r="B14" s="29"/>
      <c r="C14" s="43" t="s">
        <v>122</v>
      </c>
      <c r="D14" s="20">
        <f>D13+D12</f>
        <v>5302451.3927808804</v>
      </c>
      <c r="E14" s="20">
        <f>E13+E12</f>
        <v>4452422.8016136521</v>
      </c>
      <c r="F14" s="20">
        <f>F13+F12</f>
        <v>461480.50544391322</v>
      </c>
      <c r="G14" s="20">
        <f>G13+G12</f>
        <v>388548.08572331257</v>
      </c>
      <c r="H14" s="30"/>
      <c r="J14" s="23">
        <f>SUM(E14:G14)</f>
        <v>5302451.3927808776</v>
      </c>
    </row>
    <row r="15" spans="1:10" x14ac:dyDescent="0.45">
      <c r="B15" s="29"/>
      <c r="C15" s="43"/>
      <c r="D15" s="20"/>
      <c r="E15" s="447">
        <f>E14/$D$14</f>
        <v>0.83969139399853521</v>
      </c>
      <c r="F15" s="447">
        <f t="shared" ref="F15:G15" si="0">F14/$D$14</f>
        <v>8.7031539048562395E-2</v>
      </c>
      <c r="G15" s="447">
        <f t="shared" si="0"/>
        <v>7.3277066952901912E-2</v>
      </c>
      <c r="H15" s="30"/>
    </row>
    <row r="16" spans="1:10" x14ac:dyDescent="0.45">
      <c r="B16" s="29"/>
      <c r="C16" s="43" t="s">
        <v>26</v>
      </c>
      <c r="D16" s="20"/>
      <c r="E16" s="20"/>
      <c r="F16" s="20"/>
      <c r="G16" s="20"/>
      <c r="H16" s="30"/>
    </row>
    <row r="17" spans="2:10" x14ac:dyDescent="0.45">
      <c r="B17" s="29"/>
      <c r="C17" s="35" t="s">
        <v>111</v>
      </c>
      <c r="D17" s="20">
        <f>-SAO!H12</f>
        <v>-59316</v>
      </c>
      <c r="E17" s="20"/>
      <c r="F17" s="20">
        <f>D17</f>
        <v>-59316</v>
      </c>
      <c r="G17" s="20"/>
      <c r="H17" s="30"/>
    </row>
    <row r="18" spans="2:10" x14ac:dyDescent="0.45">
      <c r="B18" s="29"/>
      <c r="C18" s="35" t="s">
        <v>116</v>
      </c>
      <c r="D18" s="20">
        <f>-SAO!H13</f>
        <v>-15616</v>
      </c>
      <c r="E18" s="20"/>
      <c r="F18" s="20">
        <f>D18</f>
        <v>-15616</v>
      </c>
      <c r="G18" s="20"/>
      <c r="H18" s="30"/>
    </row>
    <row r="19" spans="2:10" ht="16.5" x14ac:dyDescent="0.75">
      <c r="B19" s="29"/>
      <c r="C19" s="20" t="s">
        <v>117</v>
      </c>
      <c r="D19" s="20">
        <f>-SAO!H51-SAO!H52</f>
        <v>-205560</v>
      </c>
      <c r="E19" s="20">
        <f>E15*$D$19</f>
        <v>-172606.9629503389</v>
      </c>
      <c r="F19" s="20">
        <f t="shared" ref="F19:G19" si="1">F15*$D$19</f>
        <v>-17890.203166822484</v>
      </c>
      <c r="G19" s="20">
        <f t="shared" si="1"/>
        <v>-15062.833882838517</v>
      </c>
      <c r="H19" s="42"/>
    </row>
    <row r="20" spans="2:10" ht="16.5" x14ac:dyDescent="0.75">
      <c r="B20" s="29"/>
      <c r="C20" s="20" t="s">
        <v>25</v>
      </c>
      <c r="D20" s="31"/>
      <c r="E20" s="31"/>
      <c r="F20" s="31"/>
      <c r="G20" s="31"/>
      <c r="H20" s="42"/>
    </row>
    <row r="21" spans="2:10" ht="16.5" x14ac:dyDescent="0.75">
      <c r="B21" s="29"/>
      <c r="C21" s="20" t="s">
        <v>543</v>
      </c>
      <c r="D21" s="31">
        <v>71290</v>
      </c>
      <c r="E21" s="31">
        <f>E15*$D$21</f>
        <v>59861.599478155578</v>
      </c>
      <c r="F21" s="31">
        <f t="shared" ref="F21:G21" si="2">F15*$D$21</f>
        <v>6204.4784187720134</v>
      </c>
      <c r="G21" s="31">
        <f t="shared" si="2"/>
        <v>5223.9221030723775</v>
      </c>
      <c r="H21" s="42"/>
    </row>
    <row r="22" spans="2:10" ht="5.0999999999999996" customHeight="1" x14ac:dyDescent="0.45">
      <c r="B22" s="29"/>
      <c r="C22" s="20"/>
      <c r="D22" s="20"/>
      <c r="E22" s="20"/>
      <c r="F22" s="20"/>
      <c r="G22" s="20"/>
      <c r="H22" s="30"/>
    </row>
    <row r="23" spans="2:10" x14ac:dyDescent="0.45">
      <c r="B23" s="29"/>
      <c r="C23" s="43" t="s">
        <v>556</v>
      </c>
      <c r="D23" s="20">
        <f>SUM(D14:D21)</f>
        <v>5093249.3927808804</v>
      </c>
      <c r="E23" s="20">
        <f t="shared" ref="E23:G23" si="3">SUM(E14:E21)</f>
        <v>4339678.2778328629</v>
      </c>
      <c r="F23" s="20">
        <f t="shared" si="3"/>
        <v>374862.86772740178</v>
      </c>
      <c r="G23" s="20">
        <f t="shared" si="3"/>
        <v>378709.24722061341</v>
      </c>
      <c r="H23" s="30"/>
      <c r="J23" s="23">
        <f>SUM(E23:G23)</f>
        <v>5093250.3927808776</v>
      </c>
    </row>
    <row r="24" spans="2:10" x14ac:dyDescent="0.45">
      <c r="B24" s="33"/>
      <c r="C24" s="19"/>
      <c r="D24" s="19"/>
      <c r="E24" s="19"/>
      <c r="F24" s="19"/>
      <c r="G24" s="19"/>
      <c r="H24" s="34"/>
    </row>
  </sheetData>
  <mergeCells count="4">
    <mergeCell ref="F8:G8"/>
    <mergeCell ref="C3:G3"/>
    <mergeCell ref="C4:G4"/>
    <mergeCell ref="C5:G5"/>
  </mergeCells>
  <printOptions horizontalCentered="1"/>
  <pageMargins left="0.7" right="0.7" top="1.2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20822-6C32-44D7-A2ED-727D68C76BA3}">
  <dimension ref="A1:L37"/>
  <sheetViews>
    <sheetView workbookViewId="0"/>
  </sheetViews>
  <sheetFormatPr defaultRowHeight="15" x14ac:dyDescent="0.4"/>
  <cols>
    <col min="2" max="2" width="1.33203125" customWidth="1"/>
    <col min="3" max="3" width="8.44140625" customWidth="1"/>
    <col min="4" max="4" width="9.33203125" customWidth="1"/>
    <col min="5" max="5" width="10.5546875" customWidth="1"/>
    <col min="6" max="6" width="10.6640625" customWidth="1"/>
    <col min="7" max="7" width="10.77734375" customWidth="1"/>
    <col min="8" max="8" width="10" hidden="1" customWidth="1"/>
    <col min="9" max="9" width="8.6640625" hidden="1" customWidth="1"/>
    <col min="10" max="10" width="7.44140625" hidden="1" customWidth="1"/>
    <col min="11" max="11" width="2" customWidth="1"/>
  </cols>
  <sheetData>
    <row r="1" spans="1:12" ht="15.4" x14ac:dyDescent="0.45">
      <c r="A1" s="402"/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</row>
    <row r="2" spans="1:12" ht="15.4" x14ac:dyDescent="0.45">
      <c r="A2" s="402"/>
      <c r="B2" s="403"/>
      <c r="C2" s="404"/>
      <c r="D2" s="404"/>
      <c r="E2" s="404"/>
      <c r="F2" s="404"/>
      <c r="G2" s="404"/>
      <c r="H2" s="404"/>
      <c r="I2" s="404"/>
      <c r="J2" s="404"/>
      <c r="K2" s="405"/>
      <c r="L2" s="402"/>
    </row>
    <row r="3" spans="1:12" ht="18" x14ac:dyDescent="0.55000000000000004">
      <c r="A3" s="402"/>
      <c r="B3" s="406"/>
      <c r="C3" s="567" t="s">
        <v>344</v>
      </c>
      <c r="D3" s="567"/>
      <c r="E3" s="567"/>
      <c r="F3" s="567"/>
      <c r="G3" s="567"/>
      <c r="H3" s="567"/>
      <c r="I3" s="567"/>
      <c r="J3" s="567"/>
      <c r="K3" s="39"/>
      <c r="L3" s="18"/>
    </row>
    <row r="4" spans="1:12" ht="18" x14ac:dyDescent="0.55000000000000004">
      <c r="A4" s="402"/>
      <c r="B4" s="406"/>
      <c r="C4" s="576" t="s">
        <v>493</v>
      </c>
      <c r="D4" s="576"/>
      <c r="E4" s="576"/>
      <c r="F4" s="576"/>
      <c r="G4" s="576"/>
      <c r="H4" s="576"/>
      <c r="I4" s="576"/>
      <c r="J4" s="576"/>
      <c r="K4" s="40"/>
      <c r="L4" s="25"/>
    </row>
    <row r="5" spans="1:12" ht="15.75" x14ac:dyDescent="0.5">
      <c r="A5" s="402"/>
      <c r="B5" s="406"/>
      <c r="C5" s="580" t="s">
        <v>207</v>
      </c>
      <c r="D5" s="580"/>
      <c r="E5" s="580"/>
      <c r="F5" s="580"/>
      <c r="G5" s="580"/>
      <c r="H5" s="580"/>
      <c r="I5" s="580"/>
      <c r="J5" s="580"/>
      <c r="K5" s="407"/>
      <c r="L5" s="408"/>
    </row>
    <row r="6" spans="1:12" ht="15.75" x14ac:dyDescent="0.5">
      <c r="A6" s="402"/>
      <c r="B6" s="409"/>
      <c r="C6" s="410"/>
      <c r="D6" s="410"/>
      <c r="E6" s="410"/>
      <c r="F6" s="410"/>
      <c r="G6" s="410"/>
      <c r="H6" s="410"/>
      <c r="I6" s="410"/>
      <c r="J6" s="410"/>
      <c r="K6" s="411"/>
      <c r="L6" s="408"/>
    </row>
    <row r="7" spans="1:12" ht="15.75" x14ac:dyDescent="0.5">
      <c r="A7" s="402"/>
      <c r="B7" s="406"/>
      <c r="C7" s="408"/>
      <c r="D7" s="408"/>
      <c r="E7" s="408"/>
      <c r="F7" s="408"/>
      <c r="G7" s="408"/>
      <c r="H7" s="408"/>
      <c r="I7" s="408"/>
      <c r="J7" s="408"/>
      <c r="K7" s="407"/>
      <c r="L7" s="408"/>
    </row>
    <row r="8" spans="1:12" ht="18" x14ac:dyDescent="0.8">
      <c r="A8" s="402"/>
      <c r="B8" s="406"/>
      <c r="C8" s="582" t="s">
        <v>520</v>
      </c>
      <c r="D8" s="582"/>
      <c r="E8" s="582"/>
      <c r="F8" s="582"/>
      <c r="G8" s="582"/>
      <c r="H8" s="412"/>
      <c r="I8" s="412"/>
      <c r="J8" s="412"/>
      <c r="K8" s="413"/>
      <c r="L8" s="402"/>
    </row>
    <row r="9" spans="1:12" ht="17.649999999999999" x14ac:dyDescent="0.75">
      <c r="A9" s="402"/>
      <c r="B9" s="406"/>
      <c r="C9" s="414" t="s">
        <v>494</v>
      </c>
      <c r="D9" s="414" t="s">
        <v>495</v>
      </c>
      <c r="E9" s="414" t="s">
        <v>19</v>
      </c>
      <c r="F9" s="414" t="s">
        <v>19</v>
      </c>
      <c r="G9" s="414" t="s">
        <v>19</v>
      </c>
      <c r="H9" s="581" t="s">
        <v>496</v>
      </c>
      <c r="I9" s="581"/>
      <c r="J9" s="581"/>
      <c r="K9" s="416"/>
      <c r="L9" s="417"/>
    </row>
    <row r="10" spans="1:12" ht="17.649999999999999" x14ac:dyDescent="0.75">
      <c r="A10" s="402"/>
      <c r="B10" s="406"/>
      <c r="C10" s="415" t="s">
        <v>66</v>
      </c>
      <c r="D10" s="415" t="s">
        <v>497</v>
      </c>
      <c r="E10" s="415" t="s">
        <v>498</v>
      </c>
      <c r="F10" s="415" t="s">
        <v>499</v>
      </c>
      <c r="G10" s="415" t="s">
        <v>500</v>
      </c>
      <c r="H10" s="418" t="s">
        <v>370</v>
      </c>
      <c r="I10" s="418" t="s">
        <v>371</v>
      </c>
      <c r="J10" s="419" t="s">
        <v>501</v>
      </c>
      <c r="K10" s="420"/>
      <c r="L10" s="421"/>
    </row>
    <row r="11" spans="1:12" ht="15.4" x14ac:dyDescent="0.45">
      <c r="A11" s="402"/>
      <c r="B11" s="406"/>
      <c r="C11" s="422" t="s">
        <v>502</v>
      </c>
      <c r="D11" s="412">
        <v>64995</v>
      </c>
      <c r="E11" s="412">
        <f>D11*1500</f>
        <v>97492500</v>
      </c>
      <c r="F11" s="412">
        <v>29266700</v>
      </c>
      <c r="G11" s="412">
        <f>E11-F11</f>
        <v>68225800</v>
      </c>
      <c r="H11" s="412"/>
      <c r="I11" s="412"/>
      <c r="J11" s="412"/>
      <c r="K11" s="413"/>
      <c r="L11" s="402"/>
    </row>
    <row r="12" spans="1:12" ht="15.4" x14ac:dyDescent="0.45">
      <c r="A12" s="402"/>
      <c r="B12" s="406"/>
      <c r="C12" s="423" t="s">
        <v>503</v>
      </c>
      <c r="D12" s="412">
        <v>420</v>
      </c>
      <c r="E12" s="412">
        <f>D12*5000</f>
        <v>2100000</v>
      </c>
      <c r="F12" s="412">
        <v>879400</v>
      </c>
      <c r="G12" s="412">
        <f t="shared" ref="G12:G15" si="0">E12-F12</f>
        <v>1220600</v>
      </c>
      <c r="H12" s="412"/>
      <c r="I12" s="412"/>
      <c r="J12" s="412"/>
      <c r="K12" s="413"/>
      <c r="L12" s="402"/>
    </row>
    <row r="13" spans="1:12" ht="15.4" x14ac:dyDescent="0.45">
      <c r="A13" s="402"/>
      <c r="B13" s="406"/>
      <c r="C13" s="423" t="s">
        <v>504</v>
      </c>
      <c r="D13" s="412">
        <v>12</v>
      </c>
      <c r="E13" s="412">
        <f>D13*10000</f>
        <v>120000</v>
      </c>
      <c r="F13" s="412">
        <v>42100</v>
      </c>
      <c r="G13" s="412">
        <v>0</v>
      </c>
      <c r="H13" s="412"/>
      <c r="I13" s="412"/>
      <c r="J13" s="412"/>
      <c r="K13" s="413"/>
      <c r="L13" s="402"/>
    </row>
    <row r="14" spans="1:12" ht="15.4" x14ac:dyDescent="0.45">
      <c r="A14" s="402"/>
      <c r="B14" s="406"/>
      <c r="C14" s="423" t="s">
        <v>505</v>
      </c>
      <c r="D14" s="412">
        <v>468</v>
      </c>
      <c r="E14" s="412">
        <f>D14*16000</f>
        <v>7488000</v>
      </c>
      <c r="F14" s="412">
        <v>1528200</v>
      </c>
      <c r="G14" s="412">
        <f t="shared" si="0"/>
        <v>5959800</v>
      </c>
      <c r="H14" s="412"/>
      <c r="I14" s="412"/>
      <c r="J14" s="412"/>
      <c r="K14" s="413"/>
      <c r="L14" s="402"/>
    </row>
    <row r="15" spans="1:12" ht="15.4" x14ac:dyDescent="0.45">
      <c r="A15" s="402"/>
      <c r="B15" s="406"/>
      <c r="C15" s="423" t="s">
        <v>506</v>
      </c>
      <c r="D15" s="412">
        <v>0</v>
      </c>
      <c r="E15" s="412">
        <f>D15*30000</f>
        <v>0</v>
      </c>
      <c r="F15" s="412">
        <v>0</v>
      </c>
      <c r="G15" s="412">
        <f t="shared" si="0"/>
        <v>0</v>
      </c>
      <c r="H15" s="412"/>
      <c r="I15" s="412"/>
      <c r="J15" s="412"/>
      <c r="K15" s="413"/>
      <c r="L15" s="402"/>
    </row>
    <row r="16" spans="1:12" ht="17.649999999999999" x14ac:dyDescent="0.75">
      <c r="A16" s="402"/>
      <c r="B16" s="406"/>
      <c r="C16" s="422" t="s">
        <v>517</v>
      </c>
      <c r="D16" s="424">
        <v>1</v>
      </c>
      <c r="E16" s="424">
        <f>D16*50000</f>
        <v>50000</v>
      </c>
      <c r="F16" s="424">
        <v>39400</v>
      </c>
      <c r="G16" s="424">
        <f>E16-F16</f>
        <v>10600</v>
      </c>
      <c r="H16" s="424"/>
      <c r="I16" s="412"/>
      <c r="J16" s="412"/>
      <c r="K16" s="413"/>
      <c r="L16" s="402"/>
    </row>
    <row r="17" spans="1:12" ht="15.4" x14ac:dyDescent="0.45">
      <c r="A17" s="402"/>
      <c r="B17" s="406"/>
      <c r="C17" s="425" t="s">
        <v>18</v>
      </c>
      <c r="D17" s="412">
        <f t="shared" ref="D17:J17" si="1">SUM(D11:D16)</f>
        <v>65896</v>
      </c>
      <c r="E17" s="412">
        <f t="shared" si="1"/>
        <v>107250500</v>
      </c>
      <c r="F17" s="412">
        <f t="shared" si="1"/>
        <v>31755800</v>
      </c>
      <c r="G17" s="412">
        <f t="shared" si="1"/>
        <v>75416800</v>
      </c>
      <c r="H17" s="412">
        <f t="shared" si="1"/>
        <v>0</v>
      </c>
      <c r="I17" s="412">
        <f t="shared" si="1"/>
        <v>0</v>
      </c>
      <c r="J17" s="412">
        <f t="shared" si="1"/>
        <v>0</v>
      </c>
      <c r="K17" s="413"/>
      <c r="L17" s="402"/>
    </row>
    <row r="18" spans="1:12" ht="15.4" x14ac:dyDescent="0.45">
      <c r="A18" s="402"/>
      <c r="B18" s="406"/>
      <c r="C18" s="425"/>
      <c r="D18" s="412"/>
      <c r="E18" s="412"/>
      <c r="F18" s="412"/>
      <c r="G18" s="412"/>
      <c r="H18" s="412"/>
      <c r="I18" s="412"/>
      <c r="J18" s="412"/>
      <c r="K18" s="413"/>
      <c r="L18" s="402"/>
    </row>
    <row r="19" spans="1:12" ht="15.4" x14ac:dyDescent="0.45">
      <c r="A19" s="402"/>
      <c r="B19" s="406"/>
      <c r="C19" s="412"/>
      <c r="D19" s="412"/>
      <c r="E19" s="412"/>
      <c r="F19" s="412"/>
      <c r="G19" s="412"/>
      <c r="H19" s="412"/>
      <c r="I19" s="412"/>
      <c r="J19" s="412"/>
      <c r="K19" s="413"/>
      <c r="L19" s="402"/>
    </row>
    <row r="20" spans="1:12" ht="15.75" x14ac:dyDescent="0.5">
      <c r="A20" s="402"/>
      <c r="B20" s="406"/>
      <c r="D20" s="426" t="s">
        <v>508</v>
      </c>
      <c r="E20" s="427"/>
      <c r="F20" s="412"/>
      <c r="G20" s="412"/>
      <c r="I20" s="412"/>
      <c r="J20" s="412"/>
      <c r="K20" s="413"/>
      <c r="L20" s="402"/>
    </row>
    <row r="21" spans="1:12" ht="15.4" x14ac:dyDescent="0.45">
      <c r="A21" s="402"/>
      <c r="B21" s="406"/>
      <c r="D21" s="414" t="s">
        <v>518</v>
      </c>
      <c r="E21" s="414" t="s">
        <v>509</v>
      </c>
      <c r="F21" s="414" t="s">
        <v>153</v>
      </c>
      <c r="G21" s="414" t="s">
        <v>510</v>
      </c>
      <c r="I21" s="412"/>
      <c r="J21" s="412"/>
      <c r="K21" s="413"/>
      <c r="L21" s="402"/>
    </row>
    <row r="22" spans="1:12" ht="17.649999999999999" x14ac:dyDescent="0.75">
      <c r="A22" s="402"/>
      <c r="B22" s="406"/>
      <c r="D22" s="415" t="s">
        <v>511</v>
      </c>
      <c r="E22" s="415" t="s">
        <v>512</v>
      </c>
      <c r="F22" s="415" t="s">
        <v>513</v>
      </c>
      <c r="G22" s="415" t="s">
        <v>512</v>
      </c>
      <c r="I22" s="412"/>
      <c r="J22" s="412"/>
      <c r="K22" s="413"/>
      <c r="L22" s="402"/>
    </row>
    <row r="23" spans="1:12" ht="15.4" x14ac:dyDescent="0.45">
      <c r="A23" s="402"/>
      <c r="B23" s="406"/>
      <c r="D23" s="428" t="s">
        <v>519</v>
      </c>
      <c r="E23" s="412">
        <v>428139900</v>
      </c>
      <c r="F23" s="412">
        <f>G17</f>
        <v>75416800</v>
      </c>
      <c r="G23" s="412">
        <f>E23+F23</f>
        <v>503556700</v>
      </c>
      <c r="I23" s="412"/>
      <c r="J23" s="412"/>
      <c r="K23" s="413"/>
      <c r="L23" s="402"/>
    </row>
    <row r="24" spans="1:12" ht="15.4" x14ac:dyDescent="0.45">
      <c r="A24" s="402"/>
      <c r="B24" s="406"/>
      <c r="E24" s="429"/>
      <c r="F24" s="412"/>
      <c r="G24" s="412"/>
      <c r="H24" s="412"/>
      <c r="I24" s="412"/>
      <c r="J24" s="412"/>
      <c r="K24" s="413"/>
      <c r="L24" s="402"/>
    </row>
    <row r="25" spans="1:12" ht="15.4" x14ac:dyDescent="0.45">
      <c r="A25" s="402"/>
      <c r="B25" s="406"/>
      <c r="E25" s="429"/>
      <c r="F25" s="412"/>
      <c r="G25" s="412"/>
      <c r="H25" s="412"/>
      <c r="I25" s="412"/>
      <c r="J25" s="412"/>
      <c r="K25" s="413"/>
      <c r="L25" s="402"/>
    </row>
    <row r="26" spans="1:12" ht="15.75" x14ac:dyDescent="0.5">
      <c r="A26" s="402"/>
      <c r="B26" s="406"/>
      <c r="D26" s="426" t="s">
        <v>514</v>
      </c>
      <c r="E26" s="427"/>
      <c r="F26" s="427"/>
      <c r="G26" s="412"/>
      <c r="I26" s="412"/>
      <c r="J26" s="412"/>
      <c r="K26" s="413"/>
      <c r="L26" s="402"/>
    </row>
    <row r="27" spans="1:12" ht="15.4" x14ac:dyDescent="0.45">
      <c r="A27" s="402"/>
      <c r="B27" s="406"/>
      <c r="D27" s="414" t="s">
        <v>494</v>
      </c>
      <c r="E27" s="414" t="s">
        <v>162</v>
      </c>
      <c r="G27" s="414" t="s">
        <v>495</v>
      </c>
      <c r="I27" s="412"/>
      <c r="J27" s="412"/>
      <c r="K27" s="413"/>
      <c r="L27" s="402"/>
    </row>
    <row r="28" spans="1:12" ht="17.649999999999999" x14ac:dyDescent="0.75">
      <c r="A28" s="402"/>
      <c r="B28" s="406"/>
      <c r="D28" s="415" t="s">
        <v>66</v>
      </c>
      <c r="E28" s="415" t="s">
        <v>515</v>
      </c>
      <c r="F28" s="415" t="s">
        <v>380</v>
      </c>
      <c r="G28" s="415" t="s">
        <v>516</v>
      </c>
      <c r="I28" s="412"/>
      <c r="J28" s="412"/>
      <c r="K28" s="413"/>
      <c r="L28" s="402"/>
    </row>
    <row r="29" spans="1:12" ht="15.4" x14ac:dyDescent="0.45">
      <c r="A29" s="402"/>
      <c r="B29" s="406"/>
      <c r="D29" s="430" t="s">
        <v>502</v>
      </c>
      <c r="E29" s="431">
        <v>1</v>
      </c>
      <c r="F29" s="412">
        <f>64995+73622</f>
        <v>138617</v>
      </c>
      <c r="G29" s="412">
        <f t="shared" ref="G29:G34" si="2">F29*E29</f>
        <v>138617</v>
      </c>
      <c r="I29" s="412"/>
      <c r="J29" s="412"/>
      <c r="K29" s="413"/>
      <c r="L29" s="402"/>
    </row>
    <row r="30" spans="1:12" ht="15.4" x14ac:dyDescent="0.45">
      <c r="A30" s="402"/>
      <c r="B30" s="406"/>
      <c r="D30" s="432" t="s">
        <v>503</v>
      </c>
      <c r="E30" s="431">
        <v>1.4</v>
      </c>
      <c r="F30" s="412">
        <v>660</v>
      </c>
      <c r="G30" s="412">
        <f t="shared" si="2"/>
        <v>923.99999999999989</v>
      </c>
      <c r="I30" s="412"/>
      <c r="J30" s="412"/>
      <c r="K30" s="413"/>
      <c r="L30" s="402"/>
    </row>
    <row r="31" spans="1:12" ht="15.4" x14ac:dyDescent="0.45">
      <c r="A31" s="402"/>
      <c r="B31" s="406"/>
      <c r="D31" s="432" t="s">
        <v>504</v>
      </c>
      <c r="E31" s="431">
        <v>1.8</v>
      </c>
      <c r="F31" s="412">
        <v>12</v>
      </c>
      <c r="G31" s="412">
        <f t="shared" si="2"/>
        <v>21.6</v>
      </c>
      <c r="I31" s="412"/>
      <c r="J31" s="412"/>
      <c r="K31" s="413"/>
      <c r="L31" s="402"/>
    </row>
    <row r="32" spans="1:12" ht="15.4" x14ac:dyDescent="0.45">
      <c r="A32" s="402"/>
      <c r="B32" s="406"/>
      <c r="D32" s="432" t="s">
        <v>505</v>
      </c>
      <c r="E32" s="431">
        <v>2.9</v>
      </c>
      <c r="F32" s="412">
        <v>683</v>
      </c>
      <c r="G32" s="412">
        <f t="shared" si="2"/>
        <v>1980.7</v>
      </c>
      <c r="I32" s="412"/>
      <c r="J32" s="412"/>
      <c r="K32" s="413"/>
      <c r="L32" s="402"/>
    </row>
    <row r="33" spans="1:12" ht="15.4" x14ac:dyDescent="0.45">
      <c r="A33" s="402"/>
      <c r="B33" s="406"/>
      <c r="D33" s="432" t="s">
        <v>506</v>
      </c>
      <c r="E33" s="431">
        <v>11</v>
      </c>
      <c r="F33" s="412">
        <v>0</v>
      </c>
      <c r="G33" s="412">
        <f t="shared" si="2"/>
        <v>0</v>
      </c>
      <c r="I33" s="412"/>
      <c r="J33" s="412"/>
      <c r="K33" s="413"/>
      <c r="L33" s="402"/>
    </row>
    <row r="34" spans="1:12" ht="17.649999999999999" x14ac:dyDescent="0.75">
      <c r="A34" s="402"/>
      <c r="B34" s="406"/>
      <c r="D34" s="432" t="s">
        <v>507</v>
      </c>
      <c r="E34" s="431">
        <v>21</v>
      </c>
      <c r="F34" s="424">
        <v>12</v>
      </c>
      <c r="G34" s="424">
        <f t="shared" si="2"/>
        <v>252</v>
      </c>
      <c r="I34" s="412"/>
      <c r="J34" s="412"/>
      <c r="K34" s="413"/>
      <c r="L34" s="402"/>
    </row>
    <row r="35" spans="1:12" ht="15.4" x14ac:dyDescent="0.45">
      <c r="A35" s="402"/>
      <c r="B35" s="406"/>
      <c r="D35" s="429" t="s">
        <v>18</v>
      </c>
      <c r="E35" s="412"/>
      <c r="F35" s="412">
        <f>SUM(F29:F34)</f>
        <v>139984</v>
      </c>
      <c r="G35" s="412">
        <f>SUM(G29:G34)</f>
        <v>141795.30000000002</v>
      </c>
      <c r="I35" s="412"/>
      <c r="J35" s="412"/>
      <c r="K35" s="413"/>
      <c r="L35" s="402"/>
    </row>
    <row r="36" spans="1:12" ht="15.4" x14ac:dyDescent="0.45">
      <c r="A36" s="402"/>
      <c r="B36" s="409"/>
      <c r="C36" s="427"/>
      <c r="D36" s="427"/>
      <c r="E36" s="427"/>
      <c r="F36" s="427"/>
      <c r="G36" s="427"/>
      <c r="H36" s="427"/>
      <c r="I36" s="427"/>
      <c r="J36" s="427"/>
      <c r="K36" s="433"/>
      <c r="L36" s="402"/>
    </row>
    <row r="37" spans="1:12" ht="15.4" x14ac:dyDescent="0.45">
      <c r="A37" s="402"/>
      <c r="B37" s="402"/>
      <c r="C37" s="402"/>
      <c r="D37" s="402"/>
      <c r="E37" s="402"/>
      <c r="F37" s="402"/>
      <c r="G37" s="402"/>
      <c r="H37" s="402"/>
      <c r="I37" s="402"/>
      <c r="J37" s="402"/>
      <c r="K37" s="402"/>
      <c r="L37" s="402"/>
    </row>
  </sheetData>
  <mergeCells count="5">
    <mergeCell ref="C3:J3"/>
    <mergeCell ref="C4:J4"/>
    <mergeCell ref="C5:J5"/>
    <mergeCell ref="H9:J9"/>
    <mergeCell ref="C8:G8"/>
  </mergeCells>
  <printOptions horizontalCentered="1"/>
  <pageMargins left="0.45" right="0.7" top="1.2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Q34"/>
  <sheetViews>
    <sheetView workbookViewId="0"/>
  </sheetViews>
  <sheetFormatPr defaultColWidth="8.88671875" defaultRowHeight="14.25" x14ac:dyDescent="0.45"/>
  <cols>
    <col min="1" max="1" width="8.88671875" style="23"/>
    <col min="2" max="2" width="1.77734375" style="23" customWidth="1"/>
    <col min="3" max="3" width="22.33203125" style="23" customWidth="1"/>
    <col min="4" max="4" width="10.77734375" style="23" customWidth="1"/>
    <col min="5" max="5" width="0.88671875" style="23" customWidth="1"/>
    <col min="6" max="6" width="10.109375" style="23" customWidth="1"/>
    <col min="7" max="8" width="10.77734375" style="23" customWidth="1"/>
    <col min="9" max="9" width="1.77734375" style="23" customWidth="1"/>
    <col min="10" max="10" width="8.88671875" style="23"/>
    <col min="11" max="11" width="11.109375" style="23" customWidth="1"/>
    <col min="12" max="12" width="9.77734375" style="23" bestFit="1" customWidth="1"/>
    <col min="13" max="13" width="10.77734375" style="23" customWidth="1"/>
    <col min="14" max="14" width="9" style="23" bestFit="1" customWidth="1"/>
    <col min="15" max="15" width="14" style="23" customWidth="1"/>
    <col min="16" max="16" width="10.6640625" style="23" customWidth="1"/>
    <col min="17" max="16384" width="8.88671875" style="23"/>
  </cols>
  <sheetData>
    <row r="2" spans="2:17" ht="12" customHeight="1" x14ac:dyDescent="0.45">
      <c r="B2" s="26"/>
      <c r="C2" s="27"/>
      <c r="D2" s="27"/>
      <c r="E2" s="27"/>
      <c r="F2" s="27"/>
      <c r="G2" s="27"/>
      <c r="H2" s="27"/>
      <c r="I2" s="28"/>
    </row>
    <row r="3" spans="2:17" ht="18" x14ac:dyDescent="0.55000000000000004">
      <c r="B3" s="29"/>
      <c r="C3" s="567" t="s">
        <v>572</v>
      </c>
      <c r="D3" s="567"/>
      <c r="E3" s="567"/>
      <c r="F3" s="567"/>
      <c r="G3" s="567"/>
      <c r="H3" s="567"/>
      <c r="I3" s="39"/>
    </row>
    <row r="4" spans="2:17" ht="18" x14ac:dyDescent="0.55000000000000004">
      <c r="B4" s="29"/>
      <c r="C4" s="576" t="s">
        <v>118</v>
      </c>
      <c r="D4" s="576"/>
      <c r="E4" s="576"/>
      <c r="F4" s="576"/>
      <c r="G4" s="576"/>
      <c r="H4" s="576"/>
      <c r="I4" s="40"/>
    </row>
    <row r="5" spans="2:17" ht="15.75" x14ac:dyDescent="0.45">
      <c r="B5" s="29"/>
      <c r="C5" s="568" t="s">
        <v>207</v>
      </c>
      <c r="D5" s="568"/>
      <c r="E5" s="568"/>
      <c r="F5" s="568"/>
      <c r="G5" s="568"/>
      <c r="H5" s="568"/>
      <c r="I5" s="307"/>
      <c r="J5" s="236"/>
      <c r="K5"/>
      <c r="L5"/>
    </row>
    <row r="6" spans="2:17" ht="12" customHeight="1" x14ac:dyDescent="0.45">
      <c r="B6" s="33"/>
      <c r="C6" s="449"/>
      <c r="D6" s="449"/>
      <c r="E6" s="449"/>
      <c r="F6" s="449"/>
      <c r="G6" s="449"/>
      <c r="H6" s="449"/>
      <c r="I6" s="450"/>
    </row>
    <row r="7" spans="2:17" x14ac:dyDescent="0.45">
      <c r="B7" s="26"/>
      <c r="C7" s="27"/>
      <c r="D7" s="451"/>
      <c r="E7" s="451"/>
      <c r="F7" s="451"/>
      <c r="G7" s="451"/>
      <c r="H7" s="451"/>
      <c r="I7" s="452"/>
      <c r="N7" s="69"/>
      <c r="O7" s="69"/>
    </row>
    <row r="8" spans="2:17" ht="16.5" x14ac:dyDescent="0.75">
      <c r="B8" s="29"/>
      <c r="C8" s="20"/>
      <c r="D8" s="44" t="s">
        <v>17</v>
      </c>
      <c r="E8" s="44"/>
      <c r="F8" s="45"/>
      <c r="G8" s="45"/>
      <c r="H8" s="45"/>
      <c r="I8" s="46"/>
    </row>
    <row r="9" spans="2:17" ht="16.5" x14ac:dyDescent="0.75">
      <c r="B9" s="29"/>
      <c r="C9" s="20" t="s">
        <v>112</v>
      </c>
      <c r="D9" s="20">
        <f>AlocSum!E23</f>
        <v>4339678.2778328629</v>
      </c>
      <c r="E9" s="20"/>
      <c r="F9" s="20"/>
      <c r="G9" s="20"/>
      <c r="H9" s="20"/>
      <c r="I9" s="30"/>
      <c r="K9" s="23">
        <f>SUM(F9:H9)</f>
        <v>0</v>
      </c>
      <c r="L9" s="162"/>
      <c r="M9" s="162"/>
      <c r="N9" s="162"/>
      <c r="O9" s="162"/>
    </row>
    <row r="10" spans="2:17" x14ac:dyDescent="0.45">
      <c r="B10" s="29"/>
      <c r="C10" s="130" t="s">
        <v>521</v>
      </c>
      <c r="D10" s="20">
        <f>Units!G23/1000</f>
        <v>503556.7</v>
      </c>
      <c r="E10" s="20"/>
      <c r="F10" s="32"/>
      <c r="G10" s="32"/>
      <c r="H10" s="32"/>
      <c r="I10" s="47"/>
      <c r="K10" s="316">
        <f>SUM(F10:H10)</f>
        <v>0</v>
      </c>
      <c r="Q10" s="38"/>
    </row>
    <row r="11" spans="2:17" x14ac:dyDescent="0.45">
      <c r="B11" s="29"/>
      <c r="C11" s="20"/>
      <c r="D11" s="20"/>
      <c r="E11" s="20"/>
      <c r="F11" s="20"/>
      <c r="G11" s="20"/>
      <c r="H11" s="20"/>
      <c r="I11" s="30"/>
      <c r="Q11" s="38"/>
    </row>
    <row r="12" spans="2:17" ht="15.75" x14ac:dyDescent="0.5">
      <c r="B12" s="29"/>
      <c r="C12" s="434" t="s">
        <v>522</v>
      </c>
      <c r="D12" s="454">
        <f>ROUND(D9/D10,2)</f>
        <v>8.6199999999999992</v>
      </c>
      <c r="E12" s="454"/>
      <c r="F12" s="32"/>
      <c r="G12" s="32"/>
      <c r="H12" s="32"/>
      <c r="I12" s="47"/>
    </row>
    <row r="13" spans="2:17" ht="15.75" x14ac:dyDescent="0.5">
      <c r="B13" s="29"/>
      <c r="C13" s="434"/>
      <c r="D13" s="20"/>
      <c r="E13" s="20"/>
      <c r="F13" s="32"/>
      <c r="G13" s="32"/>
      <c r="H13" s="32"/>
      <c r="I13" s="47"/>
    </row>
    <row r="14" spans="2:17" ht="15.75" x14ac:dyDescent="0.5">
      <c r="B14" s="29"/>
      <c r="C14" s="455" t="s">
        <v>524</v>
      </c>
      <c r="D14" s="479">
        <f>D12+0.03</f>
        <v>8.6499999999999986</v>
      </c>
      <c r="E14" s="456"/>
      <c r="F14" s="32"/>
      <c r="G14" s="32"/>
      <c r="H14" s="32"/>
      <c r="I14" s="47"/>
    </row>
    <row r="15" spans="2:17" x14ac:dyDescent="0.45">
      <c r="B15" s="29"/>
      <c r="C15" s="130" t="s">
        <v>523</v>
      </c>
      <c r="D15" s="20"/>
      <c r="E15" s="20"/>
      <c r="F15" s="32"/>
      <c r="G15" s="32"/>
      <c r="H15" s="32"/>
      <c r="I15" s="47"/>
    </row>
    <row r="16" spans="2:17" x14ac:dyDescent="0.45">
      <c r="B16" s="29"/>
      <c r="C16" s="130"/>
      <c r="D16" s="20"/>
      <c r="E16" s="20"/>
      <c r="F16" s="32"/>
      <c r="G16" s="32"/>
      <c r="H16" s="32"/>
      <c r="I16" s="47"/>
    </row>
    <row r="17" spans="2:13" x14ac:dyDescent="0.45">
      <c r="B17" s="29"/>
      <c r="C17" s="130"/>
      <c r="D17" s="20"/>
      <c r="E17" s="20"/>
      <c r="F17" s="32"/>
      <c r="G17" s="32"/>
      <c r="H17" s="32"/>
      <c r="I17" s="47"/>
    </row>
    <row r="18" spans="2:13" ht="18" x14ac:dyDescent="0.45">
      <c r="B18" s="29"/>
      <c r="C18" s="583" t="s">
        <v>525</v>
      </c>
      <c r="D18" s="583"/>
      <c r="E18" s="468"/>
      <c r="F18" s="435"/>
      <c r="G18" s="436"/>
      <c r="H18" s="436"/>
      <c r="I18" s="47"/>
    </row>
    <row r="19" spans="2:13" x14ac:dyDescent="0.45">
      <c r="B19" s="29"/>
      <c r="C19" s="1"/>
      <c r="D19" s="435"/>
      <c r="E19" s="435"/>
      <c r="F19" s="435"/>
      <c r="G19" s="436"/>
      <c r="H19" s="436"/>
      <c r="I19" s="47"/>
    </row>
    <row r="20" spans="2:13" x14ac:dyDescent="0.45">
      <c r="B20" s="29"/>
      <c r="C20" s="1"/>
      <c r="D20" s="347" t="s">
        <v>490</v>
      </c>
      <c r="E20" s="347"/>
      <c r="F20" s="347" t="s">
        <v>491</v>
      </c>
      <c r="G20" s="436"/>
      <c r="H20" s="436"/>
      <c r="I20" s="47"/>
    </row>
    <row r="21" spans="2:13" ht="16.5" x14ac:dyDescent="0.75">
      <c r="B21" s="29"/>
      <c r="C21" s="1"/>
      <c r="D21" s="297" t="s">
        <v>492</v>
      </c>
      <c r="E21" s="297"/>
      <c r="F21" s="297" t="s">
        <v>261</v>
      </c>
      <c r="G21" s="436"/>
      <c r="H21" s="436"/>
      <c r="I21" s="47"/>
    </row>
    <row r="22" spans="2:13" x14ac:dyDescent="0.45">
      <c r="B22" s="29"/>
      <c r="C22" s="1" t="s">
        <v>526</v>
      </c>
      <c r="D22" s="130">
        <f>AlocSum!F23</f>
        <v>374862.86772740178</v>
      </c>
      <c r="E22" s="130"/>
      <c r="F22" s="130">
        <f>AlocSum!G23</f>
        <v>378709.24722061341</v>
      </c>
      <c r="G22" s="437"/>
      <c r="H22" s="437"/>
      <c r="I22" s="47"/>
    </row>
    <row r="23" spans="2:13" x14ac:dyDescent="0.45">
      <c r="B23" s="29"/>
      <c r="C23" s="1" t="s">
        <v>527</v>
      </c>
      <c r="D23" s="130">
        <f>Units!F35</f>
        <v>139984</v>
      </c>
      <c r="E23" s="130"/>
      <c r="F23" s="130">
        <f>Units!G35</f>
        <v>141795.30000000002</v>
      </c>
      <c r="G23" s="437"/>
      <c r="H23" s="437"/>
      <c r="I23" s="47"/>
    </row>
    <row r="24" spans="2:13" x14ac:dyDescent="0.45">
      <c r="B24" s="29"/>
      <c r="C24" s="1" t="s">
        <v>528</v>
      </c>
      <c r="D24" s="438">
        <f>ROUND(D22/D23,2)</f>
        <v>2.68</v>
      </c>
      <c r="E24" s="438"/>
      <c r="F24" s="438">
        <f>ROUND(F22/F23,2)</f>
        <v>2.67</v>
      </c>
      <c r="G24" s="437"/>
      <c r="H24" s="437"/>
      <c r="I24" s="47"/>
    </row>
    <row r="25" spans="2:13" x14ac:dyDescent="0.45">
      <c r="B25" s="29"/>
      <c r="C25" s="1"/>
      <c r="D25" s="438"/>
      <c r="E25" s="438"/>
      <c r="F25" s="438"/>
      <c r="G25" s="437"/>
      <c r="H25" s="439" t="s">
        <v>17</v>
      </c>
      <c r="I25" s="30"/>
    </row>
    <row r="26" spans="2:13" ht="15.4" x14ac:dyDescent="0.45">
      <c r="B26" s="29"/>
      <c r="C26" s="453"/>
      <c r="D26" s="440" t="s">
        <v>490</v>
      </c>
      <c r="E26" s="440"/>
      <c r="F26" s="441" t="s">
        <v>162</v>
      </c>
      <c r="G26" s="441" t="s">
        <v>491</v>
      </c>
      <c r="H26" s="442" t="s">
        <v>29</v>
      </c>
      <c r="I26" s="30"/>
    </row>
    <row r="27" spans="2:13" ht="16.5" x14ac:dyDescent="0.75">
      <c r="B27" s="29"/>
      <c r="C27" s="443" t="s">
        <v>529</v>
      </c>
      <c r="D27" s="322" t="s">
        <v>492</v>
      </c>
      <c r="E27" s="322"/>
      <c r="F27" s="322" t="s">
        <v>515</v>
      </c>
      <c r="G27" s="322" t="s">
        <v>261</v>
      </c>
      <c r="H27" s="444" t="s">
        <v>530</v>
      </c>
      <c r="I27" s="30"/>
    </row>
    <row r="28" spans="2:13" x14ac:dyDescent="0.45">
      <c r="B28" s="29"/>
      <c r="C28" s="430" t="s">
        <v>502</v>
      </c>
      <c r="D28" s="48">
        <f>$D$24</f>
        <v>2.68</v>
      </c>
      <c r="E28" s="48"/>
      <c r="F28" s="224">
        <v>1</v>
      </c>
      <c r="G28" s="224">
        <f>ROUND(F28*$F$24,2)</f>
        <v>2.67</v>
      </c>
      <c r="H28" s="448">
        <f t="shared" ref="H28:H33" si="0">ROUND(D28+G28,2)</f>
        <v>5.35</v>
      </c>
      <c r="I28" s="30"/>
    </row>
    <row r="29" spans="2:13" x14ac:dyDescent="0.45">
      <c r="B29" s="29"/>
      <c r="C29" s="432" t="s">
        <v>503</v>
      </c>
      <c r="D29" s="48">
        <f t="shared" ref="D29:D33" si="1">$D$24</f>
        <v>2.68</v>
      </c>
      <c r="E29" s="48"/>
      <c r="F29" s="224">
        <v>1.4</v>
      </c>
      <c r="G29" s="224">
        <f t="shared" ref="G29:G33" si="2">ROUND(F29*$F$24,2)</f>
        <v>3.74</v>
      </c>
      <c r="H29" s="445">
        <f t="shared" si="0"/>
        <v>6.42</v>
      </c>
      <c r="I29" s="30"/>
    </row>
    <row r="30" spans="2:13" x14ac:dyDescent="0.45">
      <c r="B30" s="29"/>
      <c r="C30" s="432" t="s">
        <v>504</v>
      </c>
      <c r="D30" s="48">
        <f t="shared" si="1"/>
        <v>2.68</v>
      </c>
      <c r="E30" s="48"/>
      <c r="F30" s="224">
        <v>1.8</v>
      </c>
      <c r="G30" s="224">
        <f t="shared" si="2"/>
        <v>4.8099999999999996</v>
      </c>
      <c r="H30" s="445">
        <f t="shared" si="0"/>
        <v>7.49</v>
      </c>
      <c r="I30" s="30"/>
    </row>
    <row r="31" spans="2:13" x14ac:dyDescent="0.45">
      <c r="B31" s="29"/>
      <c r="C31" s="432" t="s">
        <v>505</v>
      </c>
      <c r="D31" s="48">
        <f t="shared" si="1"/>
        <v>2.68</v>
      </c>
      <c r="E31" s="48"/>
      <c r="F31" s="224">
        <v>2.9</v>
      </c>
      <c r="G31" s="224">
        <f t="shared" si="2"/>
        <v>7.74</v>
      </c>
      <c r="H31" s="445">
        <f t="shared" si="0"/>
        <v>10.42</v>
      </c>
      <c r="I31" s="30"/>
      <c r="K31" s="37"/>
      <c r="L31" s="37"/>
    </row>
    <row r="32" spans="2:13" x14ac:dyDescent="0.45">
      <c r="B32" s="29"/>
      <c r="C32" s="432" t="s">
        <v>506</v>
      </c>
      <c r="D32" s="48">
        <f t="shared" si="1"/>
        <v>2.68</v>
      </c>
      <c r="E32" s="48"/>
      <c r="F32" s="224">
        <v>11</v>
      </c>
      <c r="G32" s="224">
        <f t="shared" si="2"/>
        <v>29.37</v>
      </c>
      <c r="H32" s="445">
        <f t="shared" si="0"/>
        <v>32.049999999999997</v>
      </c>
      <c r="I32" s="50"/>
      <c r="K32" s="49"/>
      <c r="M32" s="37"/>
    </row>
    <row r="33" spans="2:9" x14ac:dyDescent="0.45">
      <c r="B33" s="29"/>
      <c r="C33" s="432" t="s">
        <v>507</v>
      </c>
      <c r="D33" s="48">
        <f t="shared" si="1"/>
        <v>2.68</v>
      </c>
      <c r="E33" s="48"/>
      <c r="F33" s="224">
        <v>21</v>
      </c>
      <c r="G33" s="224">
        <f t="shared" si="2"/>
        <v>56.07</v>
      </c>
      <c r="H33" s="446">
        <f t="shared" si="0"/>
        <v>58.75</v>
      </c>
      <c r="I33" s="50"/>
    </row>
    <row r="34" spans="2:9" x14ac:dyDescent="0.45">
      <c r="B34" s="33"/>
      <c r="C34" s="19"/>
      <c r="D34" s="19"/>
      <c r="E34" s="19"/>
      <c r="F34" s="19"/>
      <c r="G34" s="19"/>
      <c r="H34" s="19"/>
      <c r="I34" s="172"/>
    </row>
  </sheetData>
  <mergeCells count="4">
    <mergeCell ref="C3:H3"/>
    <mergeCell ref="C4:H4"/>
    <mergeCell ref="C5:H5"/>
    <mergeCell ref="C18:D18"/>
  </mergeCells>
  <printOptions horizontalCentered="1"/>
  <pageMargins left="0.85" right="0.7" top="1.6" bottom="0.3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FH37"/>
  <sheetViews>
    <sheetView workbookViewId="0">
      <selection activeCell="C4" sqref="C4:M4"/>
    </sheetView>
  </sheetViews>
  <sheetFormatPr defaultColWidth="8.88671875" defaultRowHeight="14.25" x14ac:dyDescent="0.45"/>
  <cols>
    <col min="1" max="1" width="4.5546875" style="164" customWidth="1"/>
    <col min="2" max="2" width="1.109375" style="164" customWidth="1"/>
    <col min="3" max="3" width="5" style="164" customWidth="1"/>
    <col min="4" max="4" width="5.44140625" style="164" customWidth="1"/>
    <col min="5" max="5" width="5.77734375" style="164" customWidth="1"/>
    <col min="6" max="6" width="6.21875" style="164" customWidth="1"/>
    <col min="7" max="7" width="13.33203125" style="164" customWidth="1"/>
    <col min="8" max="8" width="1" style="164" customWidth="1"/>
    <col min="9" max="9" width="4.77734375" style="164" customWidth="1"/>
    <col min="10" max="10" width="7.21875" style="164" customWidth="1"/>
    <col min="11" max="11" width="5.88671875" style="164" customWidth="1"/>
    <col min="12" max="12" width="7.44140625" style="164" customWidth="1"/>
    <col min="13" max="13" width="13.33203125" style="164" customWidth="1"/>
    <col min="14" max="164" width="9.6640625" style="164" customWidth="1"/>
    <col min="165" max="16384" width="8.88671875" style="37"/>
  </cols>
  <sheetData>
    <row r="2" spans="2:13" ht="15.75" x14ac:dyDescent="0.5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2:13" ht="9.9499999999999993" customHeight="1" x14ac:dyDescent="0.45">
      <c r="B3" s="173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5"/>
    </row>
    <row r="4" spans="2:13" ht="18" x14ac:dyDescent="0.55000000000000004">
      <c r="B4" s="176"/>
      <c r="C4" s="584" t="s">
        <v>206</v>
      </c>
      <c r="D4" s="584"/>
      <c r="E4" s="584"/>
      <c r="F4" s="584"/>
      <c r="G4" s="584"/>
      <c r="H4" s="584"/>
      <c r="I4" s="584"/>
      <c r="J4" s="584"/>
      <c r="K4" s="584"/>
      <c r="L4" s="584"/>
      <c r="M4" s="585"/>
    </row>
    <row r="5" spans="2:13" ht="18" x14ac:dyDescent="0.55000000000000004">
      <c r="B5" s="176"/>
      <c r="C5" s="576" t="s">
        <v>359</v>
      </c>
      <c r="D5" s="576"/>
      <c r="E5" s="576"/>
      <c r="F5" s="576"/>
      <c r="G5" s="576"/>
      <c r="H5" s="576"/>
      <c r="I5" s="576"/>
      <c r="J5" s="576"/>
      <c r="K5" s="576"/>
      <c r="L5" s="576"/>
      <c r="M5" s="577"/>
    </row>
    <row r="6" spans="2:13" ht="15.75" x14ac:dyDescent="0.5">
      <c r="B6" s="176"/>
      <c r="C6" s="586" t="s">
        <v>207</v>
      </c>
      <c r="D6" s="586"/>
      <c r="E6" s="586"/>
      <c r="F6" s="586"/>
      <c r="G6" s="586"/>
      <c r="H6" s="586"/>
      <c r="I6" s="586"/>
      <c r="J6" s="586"/>
      <c r="K6" s="586"/>
      <c r="L6" s="586"/>
      <c r="M6" s="587"/>
    </row>
    <row r="7" spans="2:13" ht="9.9499999999999993" customHeight="1" x14ac:dyDescent="0.45">
      <c r="B7" s="176"/>
      <c r="C7" s="1"/>
      <c r="D7" s="1"/>
      <c r="E7" s="1"/>
      <c r="F7" s="1"/>
      <c r="G7" s="1"/>
      <c r="H7" s="1"/>
      <c r="I7" s="1"/>
      <c r="J7" s="1"/>
      <c r="K7" s="1"/>
      <c r="L7" s="1"/>
      <c r="M7" s="228"/>
    </row>
    <row r="8" spans="2:13" x14ac:dyDescent="0.45">
      <c r="B8" s="173"/>
      <c r="C8" s="174"/>
      <c r="D8" s="174"/>
      <c r="E8" s="174"/>
      <c r="F8" s="174"/>
      <c r="G8" s="175"/>
      <c r="H8" s="173"/>
      <c r="I8" s="174"/>
      <c r="J8" s="174"/>
      <c r="K8" s="174"/>
      <c r="L8" s="174"/>
      <c r="M8" s="175"/>
    </row>
    <row r="9" spans="2:13" x14ac:dyDescent="0.45">
      <c r="B9" s="176"/>
      <c r="C9" s="588" t="s">
        <v>331</v>
      </c>
      <c r="D9" s="588"/>
      <c r="E9" s="588"/>
      <c r="F9" s="588"/>
      <c r="G9" s="589"/>
      <c r="H9" s="1"/>
      <c r="I9" s="588" t="s">
        <v>332</v>
      </c>
      <c r="J9" s="588"/>
      <c r="K9" s="588"/>
      <c r="L9" s="588"/>
      <c r="M9" s="589"/>
    </row>
    <row r="10" spans="2:13" x14ac:dyDescent="0.45">
      <c r="B10" s="176"/>
      <c r="C10" s="1"/>
      <c r="D10" s="1"/>
      <c r="E10" s="1"/>
      <c r="F10" s="1"/>
      <c r="G10" s="228"/>
      <c r="H10" s="1"/>
      <c r="I10" s="1"/>
      <c r="J10" s="1"/>
      <c r="K10" s="1"/>
      <c r="L10" s="1"/>
      <c r="M10" s="228"/>
    </row>
    <row r="11" spans="2:13" x14ac:dyDescent="0.45">
      <c r="B11" s="176"/>
      <c r="C11" s="58" t="s">
        <v>338</v>
      </c>
      <c r="D11" s="1"/>
      <c r="E11" s="1"/>
      <c r="F11" s="1"/>
      <c r="G11" s="228"/>
      <c r="H11" s="1"/>
      <c r="I11" s="457" t="s">
        <v>531</v>
      </c>
      <c r="J11" s="1"/>
      <c r="K11" s="1"/>
      <c r="L11" s="1"/>
      <c r="M11" s="228"/>
    </row>
    <row r="12" spans="2:13" x14ac:dyDescent="0.45">
      <c r="B12" s="176"/>
      <c r="C12" s="123" t="s">
        <v>13</v>
      </c>
      <c r="D12" s="222">
        <v>1500</v>
      </c>
      <c r="E12" s="1" t="s">
        <v>333</v>
      </c>
      <c r="F12" s="288">
        <v>16.399999999999999</v>
      </c>
      <c r="G12" s="228" t="s">
        <v>334</v>
      </c>
      <c r="H12" s="1"/>
      <c r="I12" s="123" t="s">
        <v>13</v>
      </c>
      <c r="J12" s="306">
        <v>1500</v>
      </c>
      <c r="K12" s="1" t="s">
        <v>333</v>
      </c>
      <c r="L12" s="288">
        <f>ROUND(CalcRet!H28+1.5*CalcRet!D14,2)</f>
        <v>18.329999999999998</v>
      </c>
      <c r="M12" s="228" t="s">
        <v>334</v>
      </c>
    </row>
    <row r="13" spans="2:13" x14ac:dyDescent="0.45">
      <c r="B13" s="176"/>
      <c r="C13" s="123" t="s">
        <v>14</v>
      </c>
      <c r="D13" s="222">
        <v>1500</v>
      </c>
      <c r="E13" s="1" t="s">
        <v>333</v>
      </c>
      <c r="F13" s="223">
        <v>6.14</v>
      </c>
      <c r="G13" s="228" t="s">
        <v>204</v>
      </c>
      <c r="H13" s="1"/>
      <c r="I13" s="123" t="s">
        <v>14</v>
      </c>
      <c r="J13" s="306">
        <v>1500</v>
      </c>
      <c r="K13" s="1" t="s">
        <v>333</v>
      </c>
      <c r="L13" s="223">
        <f>CalcRet!D14</f>
        <v>8.6499999999999986</v>
      </c>
      <c r="M13" s="228" t="s">
        <v>204</v>
      </c>
    </row>
    <row r="14" spans="2:13" x14ac:dyDescent="0.45">
      <c r="B14" s="176"/>
      <c r="C14" s="123"/>
      <c r="D14" s="222"/>
      <c r="E14" s="1"/>
      <c r="F14" s="223"/>
      <c r="G14" s="228"/>
      <c r="H14" s="1"/>
      <c r="I14" s="123"/>
      <c r="J14" s="306"/>
      <c r="K14" s="1"/>
      <c r="L14" s="223"/>
      <c r="M14" s="228"/>
    </row>
    <row r="15" spans="2:13" x14ac:dyDescent="0.45">
      <c r="B15" s="176"/>
      <c r="C15" s="123"/>
      <c r="D15" s="222"/>
      <c r="E15" s="1"/>
      <c r="F15" s="223"/>
      <c r="G15" s="228"/>
      <c r="H15" s="1"/>
      <c r="I15" s="457" t="s">
        <v>362</v>
      </c>
      <c r="J15" s="1"/>
      <c r="K15" s="1"/>
      <c r="L15" s="1"/>
      <c r="M15" s="228"/>
    </row>
    <row r="16" spans="2:13" x14ac:dyDescent="0.45">
      <c r="B16" s="176"/>
      <c r="C16" s="123"/>
      <c r="D16" s="222"/>
      <c r="E16" s="1"/>
      <c r="F16" s="223"/>
      <c r="G16" s="228"/>
      <c r="H16" s="1"/>
      <c r="I16" s="123" t="s">
        <v>13</v>
      </c>
      <c r="J16" s="306">
        <v>5000</v>
      </c>
      <c r="K16" s="1" t="s">
        <v>333</v>
      </c>
      <c r="L16" s="288">
        <f>ROUND(CalcRet!H29+5*CalcRet!D14,2)</f>
        <v>49.67</v>
      </c>
      <c r="M16" s="228" t="s">
        <v>334</v>
      </c>
    </row>
    <row r="17" spans="2:13" x14ac:dyDescent="0.45">
      <c r="B17" s="176"/>
      <c r="C17" s="123"/>
      <c r="D17" s="222"/>
      <c r="E17" s="1"/>
      <c r="F17" s="223"/>
      <c r="G17" s="228"/>
      <c r="H17" s="1"/>
      <c r="I17" s="123" t="s">
        <v>14</v>
      </c>
      <c r="J17" s="306">
        <f>J16</f>
        <v>5000</v>
      </c>
      <c r="K17" s="1" t="s">
        <v>333</v>
      </c>
      <c r="L17" s="223">
        <f>CalcRet!$D$14</f>
        <v>8.6499999999999986</v>
      </c>
      <c r="M17" s="228" t="s">
        <v>204</v>
      </c>
    </row>
    <row r="18" spans="2:13" x14ac:dyDescent="0.45">
      <c r="B18" s="176"/>
      <c r="C18" s="123"/>
      <c r="D18" s="222"/>
      <c r="E18" s="1"/>
      <c r="F18" s="223"/>
      <c r="G18" s="228"/>
      <c r="H18" s="1"/>
      <c r="I18" s="123"/>
      <c r="J18" s="306"/>
      <c r="K18" s="1"/>
      <c r="L18" s="223"/>
      <c r="M18" s="228"/>
    </row>
    <row r="19" spans="2:13" x14ac:dyDescent="0.45">
      <c r="B19" s="176"/>
      <c r="C19" s="123"/>
      <c r="D19" s="222"/>
      <c r="E19" s="1"/>
      <c r="F19" s="223"/>
      <c r="G19" s="228"/>
      <c r="H19" s="1"/>
      <c r="I19" s="457" t="s">
        <v>363</v>
      </c>
      <c r="J19" s="1"/>
      <c r="K19" s="1"/>
      <c r="L19" s="1"/>
      <c r="M19" s="228"/>
    </row>
    <row r="20" spans="2:13" x14ac:dyDescent="0.45">
      <c r="B20" s="176"/>
      <c r="C20" s="123"/>
      <c r="D20" s="222"/>
      <c r="E20" s="1"/>
      <c r="F20" s="223"/>
      <c r="G20" s="228"/>
      <c r="H20" s="1"/>
      <c r="I20" s="123" t="s">
        <v>13</v>
      </c>
      <c r="J20" s="306">
        <v>10000</v>
      </c>
      <c r="K20" s="1" t="s">
        <v>333</v>
      </c>
      <c r="L20" s="288">
        <f>ROUND(CalcRet!H30+10*CalcRet!$D$14,2)</f>
        <v>93.99</v>
      </c>
      <c r="M20" s="228" t="s">
        <v>334</v>
      </c>
    </row>
    <row r="21" spans="2:13" x14ac:dyDescent="0.45">
      <c r="B21" s="176"/>
      <c r="C21" s="123"/>
      <c r="D21" s="222"/>
      <c r="E21" s="1"/>
      <c r="F21" s="223"/>
      <c r="G21" s="228"/>
      <c r="H21" s="1"/>
      <c r="I21" s="123" t="s">
        <v>14</v>
      </c>
      <c r="J21" s="306">
        <f>J20</f>
        <v>10000</v>
      </c>
      <c r="K21" s="1" t="s">
        <v>333</v>
      </c>
      <c r="L21" s="223">
        <f>CalcRet!$D$14</f>
        <v>8.6499999999999986</v>
      </c>
      <c r="M21" s="228" t="s">
        <v>204</v>
      </c>
    </row>
    <row r="22" spans="2:13" x14ac:dyDescent="0.45">
      <c r="B22" s="176"/>
      <c r="C22" s="123"/>
      <c r="D22" s="222"/>
      <c r="E22" s="1"/>
      <c r="F22" s="223"/>
      <c r="G22" s="228"/>
      <c r="H22" s="1"/>
      <c r="I22" s="123"/>
      <c r="J22" s="306"/>
      <c r="K22" s="1"/>
      <c r="L22" s="223"/>
      <c r="M22" s="228"/>
    </row>
    <row r="23" spans="2:13" x14ac:dyDescent="0.45">
      <c r="B23" s="176"/>
      <c r="C23" s="123"/>
      <c r="D23" s="222"/>
      <c r="E23" s="1"/>
      <c r="F23" s="223"/>
      <c r="G23" s="228"/>
      <c r="H23" s="1"/>
      <c r="I23" s="457" t="s">
        <v>532</v>
      </c>
      <c r="J23" s="1"/>
      <c r="K23" s="1"/>
      <c r="L23" s="1"/>
      <c r="M23" s="228"/>
    </row>
    <row r="24" spans="2:13" x14ac:dyDescent="0.45">
      <c r="B24" s="176"/>
      <c r="C24" s="123"/>
      <c r="D24" s="222"/>
      <c r="E24" s="1"/>
      <c r="F24" s="223"/>
      <c r="G24" s="228"/>
      <c r="H24" s="1"/>
      <c r="I24" s="123" t="s">
        <v>13</v>
      </c>
      <c r="J24" s="306">
        <v>16000</v>
      </c>
      <c r="K24" s="1" t="s">
        <v>333</v>
      </c>
      <c r="L24" s="288">
        <f>ROUND(CalcRet!H31+16*CalcRet!D14,2)</f>
        <v>148.82</v>
      </c>
      <c r="M24" s="228" t="s">
        <v>334</v>
      </c>
    </row>
    <row r="25" spans="2:13" x14ac:dyDescent="0.45">
      <c r="B25" s="176"/>
      <c r="C25" s="123"/>
      <c r="D25" s="222"/>
      <c r="E25" s="1"/>
      <c r="F25" s="223"/>
      <c r="G25" s="228"/>
      <c r="H25" s="1"/>
      <c r="I25" s="123" t="s">
        <v>14</v>
      </c>
      <c r="J25" s="306">
        <f>J24</f>
        <v>16000</v>
      </c>
      <c r="K25" s="1" t="s">
        <v>333</v>
      </c>
      <c r="L25" s="223">
        <f>CalcRet!$D$14</f>
        <v>8.6499999999999986</v>
      </c>
      <c r="M25" s="228" t="s">
        <v>204</v>
      </c>
    </row>
    <row r="26" spans="2:13" x14ac:dyDescent="0.45">
      <c r="B26" s="176"/>
      <c r="C26" s="123"/>
      <c r="D26" s="222"/>
      <c r="E26" s="1"/>
      <c r="F26" s="223"/>
      <c r="G26" s="228"/>
      <c r="H26" s="1"/>
      <c r="I26" s="123"/>
      <c r="J26" s="306"/>
      <c r="K26" s="1"/>
      <c r="L26" s="223"/>
      <c r="M26" s="228"/>
    </row>
    <row r="27" spans="2:13" x14ac:dyDescent="0.45">
      <c r="B27" s="176"/>
      <c r="C27" s="123"/>
      <c r="D27" s="222"/>
      <c r="E27" s="1"/>
      <c r="F27" s="223"/>
      <c r="G27" s="228"/>
      <c r="H27" s="1"/>
      <c r="I27" s="457" t="s">
        <v>365</v>
      </c>
      <c r="J27" s="1"/>
      <c r="K27" s="1"/>
      <c r="L27" s="1"/>
      <c r="M27" s="228"/>
    </row>
    <row r="28" spans="2:13" x14ac:dyDescent="0.45">
      <c r="B28" s="176"/>
      <c r="C28" s="123"/>
      <c r="D28" s="222"/>
      <c r="E28" s="1"/>
      <c r="F28" s="223"/>
      <c r="G28" s="228"/>
      <c r="H28" s="1"/>
      <c r="I28" s="123" t="s">
        <v>13</v>
      </c>
      <c r="J28" s="306">
        <v>30000</v>
      </c>
      <c r="K28" s="1" t="s">
        <v>333</v>
      </c>
      <c r="L28" s="288">
        <f>ROUND(CalcRet!H32+30*CalcRet!D14,2)</f>
        <v>291.55</v>
      </c>
      <c r="M28" s="228" t="s">
        <v>334</v>
      </c>
    </row>
    <row r="29" spans="2:13" x14ac:dyDescent="0.45">
      <c r="B29" s="176"/>
      <c r="C29" s="123"/>
      <c r="D29" s="222"/>
      <c r="E29" s="1"/>
      <c r="F29" s="223"/>
      <c r="G29" s="228"/>
      <c r="H29" s="1"/>
      <c r="I29" s="123" t="s">
        <v>14</v>
      </c>
      <c r="J29" s="306">
        <f>J28</f>
        <v>30000</v>
      </c>
      <c r="K29" s="1" t="s">
        <v>333</v>
      </c>
      <c r="L29" s="223">
        <f>CalcRet!$D$14</f>
        <v>8.6499999999999986</v>
      </c>
      <c r="M29" s="228" t="s">
        <v>204</v>
      </c>
    </row>
    <row r="30" spans="2:13" x14ac:dyDescent="0.45">
      <c r="B30" s="176"/>
      <c r="C30" s="123"/>
      <c r="D30" s="222"/>
      <c r="E30" s="1"/>
      <c r="F30" s="223"/>
      <c r="G30" s="228"/>
      <c r="H30" s="1"/>
      <c r="I30" s="123"/>
      <c r="J30" s="306"/>
      <c r="K30" s="1"/>
      <c r="L30" s="223"/>
      <c r="M30" s="228"/>
    </row>
    <row r="31" spans="2:13" x14ac:dyDescent="0.45">
      <c r="B31" s="176"/>
      <c r="C31" s="123"/>
      <c r="D31" s="222"/>
      <c r="E31" s="1"/>
      <c r="F31" s="223"/>
      <c r="G31" s="228"/>
      <c r="H31" s="1"/>
      <c r="I31" s="457" t="s">
        <v>374</v>
      </c>
      <c r="J31" s="1"/>
      <c r="K31" s="1"/>
      <c r="L31" s="1"/>
      <c r="M31" s="228"/>
    </row>
    <row r="32" spans="2:13" x14ac:dyDescent="0.45">
      <c r="B32" s="176"/>
      <c r="C32" s="123"/>
      <c r="D32" s="222"/>
      <c r="E32" s="1"/>
      <c r="F32" s="223"/>
      <c r="G32" s="228"/>
      <c r="H32" s="1"/>
      <c r="I32" s="123" t="s">
        <v>13</v>
      </c>
      <c r="J32" s="306">
        <v>50000</v>
      </c>
      <c r="K32" s="1" t="s">
        <v>333</v>
      </c>
      <c r="L32" s="288">
        <f>ROUND(CalcRet!H33+50*CalcRet!D14,2)</f>
        <v>491.25</v>
      </c>
      <c r="M32" s="228" t="s">
        <v>334</v>
      </c>
    </row>
    <row r="33" spans="2:13" x14ac:dyDescent="0.45">
      <c r="B33" s="176"/>
      <c r="C33" s="123"/>
      <c r="D33" s="222"/>
      <c r="E33" s="1"/>
      <c r="F33" s="223"/>
      <c r="G33" s="228"/>
      <c r="H33" s="1"/>
      <c r="I33" s="123" t="s">
        <v>14</v>
      </c>
      <c r="J33" s="306">
        <f>J32</f>
        <v>50000</v>
      </c>
      <c r="K33" s="1" t="s">
        <v>333</v>
      </c>
      <c r="L33" s="223">
        <f>CalcRet!$D$14</f>
        <v>8.6499999999999986</v>
      </c>
      <c r="M33" s="228" t="s">
        <v>204</v>
      </c>
    </row>
    <row r="34" spans="2:13" x14ac:dyDescent="0.45">
      <c r="B34" s="176"/>
      <c r="G34" s="167"/>
      <c r="H34" s="1"/>
      <c r="I34" s="123"/>
      <c r="J34" s="222"/>
      <c r="K34" s="1"/>
      <c r="L34" s="223"/>
      <c r="M34" s="228"/>
    </row>
    <row r="35" spans="2:13" x14ac:dyDescent="0.45">
      <c r="B35" s="176"/>
      <c r="C35" s="58" t="s">
        <v>339</v>
      </c>
      <c r="D35" s="1"/>
      <c r="E35" s="1"/>
      <c r="F35" s="1"/>
      <c r="G35" s="228"/>
      <c r="H35" s="176"/>
      <c r="I35" s="58" t="s">
        <v>339</v>
      </c>
      <c r="J35" s="1"/>
      <c r="K35" s="1"/>
      <c r="L35" s="1"/>
      <c r="M35" s="228"/>
    </row>
    <row r="36" spans="2:13" x14ac:dyDescent="0.45">
      <c r="B36" s="176"/>
      <c r="C36" s="305" t="s">
        <v>340</v>
      </c>
      <c r="D36" s="222"/>
      <c r="E36" s="1"/>
      <c r="F36" s="288">
        <v>3.1</v>
      </c>
      <c r="G36" s="228" t="s">
        <v>204</v>
      </c>
      <c r="H36" s="1"/>
      <c r="I36" s="305" t="s">
        <v>340</v>
      </c>
      <c r="J36" s="222"/>
      <c r="K36" s="1"/>
      <c r="L36" s="288">
        <f>Whol!J78</f>
        <v>3.34</v>
      </c>
      <c r="M36" s="228" t="s">
        <v>204</v>
      </c>
    </row>
    <row r="37" spans="2:13" x14ac:dyDescent="0.45">
      <c r="B37" s="191"/>
      <c r="C37" s="289"/>
      <c r="D37" s="128"/>
      <c r="E37" s="128"/>
      <c r="F37" s="128"/>
      <c r="G37" s="234"/>
      <c r="H37" s="170"/>
      <c r="I37" s="128"/>
      <c r="J37" s="128"/>
      <c r="K37" s="128"/>
      <c r="L37" s="128"/>
      <c r="M37" s="234"/>
    </row>
  </sheetData>
  <mergeCells count="5">
    <mergeCell ref="C4:M4"/>
    <mergeCell ref="C5:M5"/>
    <mergeCell ref="C6:M6"/>
    <mergeCell ref="C9:G9"/>
    <mergeCell ref="I9:M9"/>
  </mergeCells>
  <printOptions horizontalCentered="1"/>
  <pageMargins left="1.1000000000000001" right="0.8" top="1.5" bottom="0.5" header="0" footer="0"/>
  <pageSetup scale="9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I39"/>
  <sheetViews>
    <sheetView workbookViewId="0"/>
  </sheetViews>
  <sheetFormatPr defaultRowHeight="15" x14ac:dyDescent="0.4"/>
  <cols>
    <col min="2" max="2" width="1.21875" customWidth="1"/>
    <col min="3" max="3" width="9.88671875" customWidth="1"/>
    <col min="4" max="4" width="11.44140625" customWidth="1"/>
    <col min="5" max="5" width="12.88671875" customWidth="1"/>
    <col min="6" max="6" width="11.44140625" customWidth="1"/>
    <col min="7" max="7" width="9.77734375" hidden="1" customWidth="1"/>
    <col min="8" max="8" width="1.5546875" customWidth="1"/>
  </cols>
  <sheetData>
    <row r="2" spans="1:9" ht="15.75" x14ac:dyDescent="0.5">
      <c r="A2" s="51"/>
      <c r="B2" s="51"/>
      <c r="C2" s="51"/>
      <c r="D2" s="51"/>
      <c r="E2" s="51"/>
      <c r="F2" s="51"/>
      <c r="G2" s="51"/>
      <c r="H2" s="51"/>
      <c r="I2" s="51"/>
    </row>
    <row r="3" spans="1:9" ht="15.75" x14ac:dyDescent="0.5">
      <c r="A3" s="51"/>
      <c r="B3" s="290"/>
      <c r="C3" s="291"/>
      <c r="D3" s="291"/>
      <c r="E3" s="291"/>
      <c r="F3" s="291"/>
      <c r="G3" s="291"/>
      <c r="H3" s="292"/>
      <c r="I3" s="51"/>
    </row>
    <row r="4" spans="1:9" ht="18" x14ac:dyDescent="0.55000000000000004">
      <c r="A4" s="51"/>
      <c r="B4" s="293"/>
      <c r="C4" s="584" t="s">
        <v>344</v>
      </c>
      <c r="D4" s="584"/>
      <c r="E4" s="584"/>
      <c r="F4" s="584"/>
      <c r="G4" s="584"/>
      <c r="H4" s="294"/>
      <c r="I4" s="51"/>
    </row>
    <row r="5" spans="1:9" ht="18" x14ac:dyDescent="0.55000000000000004">
      <c r="A5" s="51"/>
      <c r="B5" s="293"/>
      <c r="C5" s="576" t="s">
        <v>335</v>
      </c>
      <c r="D5" s="576"/>
      <c r="E5" s="576"/>
      <c r="F5" s="576"/>
      <c r="G5" s="576"/>
      <c r="H5" s="294"/>
      <c r="I5" s="51"/>
    </row>
    <row r="6" spans="1:9" ht="15.75" x14ac:dyDescent="0.5">
      <c r="A6" s="51"/>
      <c r="B6" s="293"/>
      <c r="C6" s="586" t="s">
        <v>207</v>
      </c>
      <c r="D6" s="586"/>
      <c r="E6" s="586"/>
      <c r="F6" s="586"/>
      <c r="G6" s="586"/>
      <c r="H6" s="294"/>
      <c r="I6" s="51"/>
    </row>
    <row r="7" spans="1:9" ht="15.75" x14ac:dyDescent="0.5">
      <c r="A7" s="51"/>
      <c r="B7" s="295"/>
      <c r="C7" s="240"/>
      <c r="D7" s="240"/>
      <c r="E7" s="240"/>
      <c r="F7" s="240"/>
      <c r="G7" s="240"/>
      <c r="H7" s="296"/>
      <c r="I7" s="51"/>
    </row>
    <row r="8" spans="1:9" ht="15.4" x14ac:dyDescent="0.45">
      <c r="B8" s="84"/>
      <c r="C8" s="86"/>
      <c r="D8" s="85"/>
      <c r="E8" s="85"/>
      <c r="F8" s="85"/>
      <c r="G8" s="85"/>
      <c r="H8" s="86"/>
    </row>
    <row r="9" spans="1:9" ht="17.649999999999999" x14ac:dyDescent="0.75">
      <c r="B9" s="110"/>
      <c r="C9" s="53" t="s">
        <v>19</v>
      </c>
      <c r="D9" s="347" t="s">
        <v>114</v>
      </c>
      <c r="E9" s="347" t="s">
        <v>10</v>
      </c>
      <c r="F9" s="297"/>
      <c r="G9" s="297"/>
      <c r="H9" s="298"/>
    </row>
    <row r="10" spans="1:9" ht="17.649999999999999" x14ac:dyDescent="0.75">
      <c r="B10" s="110"/>
      <c r="C10" s="298" t="s">
        <v>343</v>
      </c>
      <c r="D10" s="297" t="s">
        <v>336</v>
      </c>
      <c r="E10" s="297" t="s">
        <v>336</v>
      </c>
      <c r="F10" s="297" t="s">
        <v>115</v>
      </c>
      <c r="G10" s="297" t="s">
        <v>337</v>
      </c>
      <c r="H10" s="298"/>
    </row>
    <row r="11" spans="1:9" ht="6.95" customHeight="1" x14ac:dyDescent="0.75">
      <c r="B11" s="110"/>
      <c r="C11" s="298"/>
      <c r="D11" s="297"/>
      <c r="E11" s="297"/>
      <c r="F11" s="297"/>
      <c r="G11" s="297"/>
      <c r="H11" s="298"/>
    </row>
    <row r="12" spans="1:9" ht="18" x14ac:dyDescent="0.8">
      <c r="B12" s="110"/>
      <c r="C12" s="298"/>
      <c r="D12" s="590" t="s">
        <v>531</v>
      </c>
      <c r="E12" s="590"/>
      <c r="F12" s="590"/>
      <c r="G12" s="590"/>
      <c r="H12" s="298"/>
    </row>
    <row r="13" spans="1:9" ht="15.4" x14ac:dyDescent="0.45">
      <c r="B13" s="110"/>
      <c r="C13" s="89">
        <v>1500</v>
      </c>
      <c r="D13" s="186">
        <f>Rates!F12</f>
        <v>16.399999999999999</v>
      </c>
      <c r="E13" s="186">
        <f>Rates!L12</f>
        <v>18.329999999999998</v>
      </c>
      <c r="F13" s="186">
        <f t="shared" ref="F13:F17" si="0">E13-D13</f>
        <v>1.9299999999999997</v>
      </c>
      <c r="G13" s="299">
        <f t="shared" ref="G13:G17" si="1">F13/D13</f>
        <v>0.11768292682926829</v>
      </c>
      <c r="H13" s="300"/>
    </row>
    <row r="14" spans="1:9" ht="15.4" x14ac:dyDescent="0.45">
      <c r="B14" s="110"/>
      <c r="C14" s="333">
        <v>3000</v>
      </c>
      <c r="D14" s="302">
        <f>Rates!$F$12+Rates!$F$13*1.5</f>
        <v>25.61</v>
      </c>
      <c r="E14" s="302">
        <f>E13+1.5*Rates!L13</f>
        <v>31.304999999999996</v>
      </c>
      <c r="F14" s="302">
        <f t="shared" si="0"/>
        <v>5.6949999999999967</v>
      </c>
      <c r="G14" s="303">
        <f t="shared" si="1"/>
        <v>0.22237407262787962</v>
      </c>
      <c r="H14" s="300"/>
    </row>
    <row r="15" spans="1:9" ht="15.4" x14ac:dyDescent="0.45">
      <c r="B15" s="110"/>
      <c r="C15" s="89">
        <v>6000</v>
      </c>
      <c r="D15" s="475">
        <f>Rates!$F$12+Rates!$F$13*4.5</f>
        <v>44.03</v>
      </c>
      <c r="E15" s="224">
        <f>E14+3*Rates!L13</f>
        <v>57.254999999999995</v>
      </c>
      <c r="F15" s="224">
        <f t="shared" si="0"/>
        <v>13.224999999999994</v>
      </c>
      <c r="G15" s="299">
        <f t="shared" si="1"/>
        <v>0.30036338859868256</v>
      </c>
      <c r="H15" s="300"/>
    </row>
    <row r="16" spans="1:9" ht="15.4" x14ac:dyDescent="0.45">
      <c r="B16" s="110"/>
      <c r="C16" s="89">
        <v>10000</v>
      </c>
      <c r="D16" s="475">
        <f>Rates!$F$12+Rates!$F$13*8.5</f>
        <v>68.59</v>
      </c>
      <c r="E16" s="224">
        <f>E15+4*Rates!L13</f>
        <v>91.85499999999999</v>
      </c>
      <c r="F16" s="224">
        <f t="shared" si="0"/>
        <v>23.264999999999986</v>
      </c>
      <c r="G16" s="299">
        <f t="shared" si="1"/>
        <v>0.33918938620790179</v>
      </c>
      <c r="H16" s="300"/>
    </row>
    <row r="17" spans="2:8" ht="15.4" x14ac:dyDescent="0.45">
      <c r="B17" s="110"/>
      <c r="C17" s="89">
        <v>50000</v>
      </c>
      <c r="D17" s="475">
        <f>Rates!$F$12+Rates!$F$13*48.5</f>
        <v>314.18999999999994</v>
      </c>
      <c r="E17" s="224">
        <f>E16+40*Rates!L13</f>
        <v>437.8549999999999</v>
      </c>
      <c r="F17" s="224">
        <f t="shared" si="0"/>
        <v>123.66499999999996</v>
      </c>
      <c r="G17" s="299">
        <f t="shared" si="1"/>
        <v>0.39359941436710266</v>
      </c>
      <c r="H17" s="300"/>
    </row>
    <row r="18" spans="2:8" ht="6.95" customHeight="1" x14ac:dyDescent="0.45">
      <c r="B18" s="110"/>
      <c r="C18" s="89"/>
      <c r="D18" s="475"/>
      <c r="E18" s="224"/>
      <c r="F18" s="224"/>
      <c r="G18" s="299"/>
      <c r="H18" s="300"/>
    </row>
    <row r="19" spans="2:8" ht="18" x14ac:dyDescent="0.8">
      <c r="B19" s="110"/>
      <c r="C19" s="89"/>
      <c r="D19" s="590" t="s">
        <v>362</v>
      </c>
      <c r="E19" s="590"/>
      <c r="F19" s="590"/>
      <c r="G19" s="590"/>
      <c r="H19" s="300"/>
    </row>
    <row r="20" spans="2:8" ht="15.4" x14ac:dyDescent="0.45">
      <c r="B20" s="110"/>
      <c r="C20" s="89">
        <v>1500</v>
      </c>
      <c r="D20" s="186">
        <f>Rates!F12</f>
        <v>16.399999999999999</v>
      </c>
      <c r="E20" s="186">
        <f>Rates!L16</f>
        <v>49.67</v>
      </c>
      <c r="F20" s="186">
        <f t="shared" ref="F20:F23" si="2">E20-D20</f>
        <v>33.270000000000003</v>
      </c>
      <c r="G20" s="299">
        <f t="shared" ref="G20:G23" si="3">F20/D20</f>
        <v>2.0286585365853664</v>
      </c>
      <c r="H20" s="300"/>
    </row>
    <row r="21" spans="2:8" ht="15.4" x14ac:dyDescent="0.45">
      <c r="B21" s="110"/>
      <c r="C21" s="89">
        <v>5000</v>
      </c>
      <c r="D21" s="475">
        <f>Rates!$F$12+Rates!$F$13*3.5</f>
        <v>37.89</v>
      </c>
      <c r="E21" s="475">
        <f>Rates!L16</f>
        <v>49.67</v>
      </c>
      <c r="F21" s="224">
        <f t="shared" si="2"/>
        <v>11.780000000000001</v>
      </c>
      <c r="G21" s="299">
        <f t="shared" si="3"/>
        <v>0.31089997360781213</v>
      </c>
      <c r="H21" s="300"/>
    </row>
    <row r="22" spans="2:8" ht="15.4" x14ac:dyDescent="0.45">
      <c r="B22" s="110"/>
      <c r="C22" s="89">
        <v>10000</v>
      </c>
      <c r="D22" s="475">
        <f>Rates!$F$12+Rates!$F$13*8.5</f>
        <v>68.59</v>
      </c>
      <c r="E22" s="475">
        <f>E21+Rates!L17*5</f>
        <v>92.919999999999987</v>
      </c>
      <c r="F22" s="224">
        <f t="shared" si="2"/>
        <v>24.329999999999984</v>
      </c>
      <c r="G22" s="299">
        <f t="shared" si="3"/>
        <v>0.35471643096661298</v>
      </c>
      <c r="H22" s="300"/>
    </row>
    <row r="23" spans="2:8" ht="15.4" x14ac:dyDescent="0.45">
      <c r="B23" s="110"/>
      <c r="C23" s="89">
        <v>50000</v>
      </c>
      <c r="D23" s="475">
        <f>Rates!$F$12+Rates!$F$13*48.5</f>
        <v>314.18999999999994</v>
      </c>
      <c r="E23" s="475">
        <f>E22+Rates!L17*40</f>
        <v>438.91999999999996</v>
      </c>
      <c r="F23" s="224">
        <f t="shared" si="2"/>
        <v>124.73000000000002</v>
      </c>
      <c r="G23" s="299">
        <f t="shared" si="3"/>
        <v>0.39698908303892561</v>
      </c>
      <c r="H23" s="300"/>
    </row>
    <row r="24" spans="2:8" ht="6.95" customHeight="1" x14ac:dyDescent="0.8">
      <c r="B24" s="110"/>
      <c r="C24" s="89"/>
      <c r="D24" s="474"/>
      <c r="E24" s="474"/>
      <c r="F24" s="474"/>
      <c r="G24" s="474"/>
      <c r="H24" s="300"/>
    </row>
    <row r="25" spans="2:8" ht="18" x14ac:dyDescent="0.8">
      <c r="B25" s="110"/>
      <c r="C25" s="89"/>
      <c r="D25" s="590" t="s">
        <v>532</v>
      </c>
      <c r="E25" s="590"/>
      <c r="F25" s="590"/>
      <c r="G25" s="590"/>
      <c r="H25" s="300"/>
    </row>
    <row r="26" spans="2:8" ht="15.4" x14ac:dyDescent="0.45">
      <c r="B26" s="110"/>
      <c r="C26" s="89">
        <v>1500</v>
      </c>
      <c r="D26" s="186">
        <f>Rates!F12</f>
        <v>16.399999999999999</v>
      </c>
      <c r="E26" s="186">
        <f>Rates!L24</f>
        <v>148.82</v>
      </c>
      <c r="F26" s="186">
        <f t="shared" ref="F26:F29" si="4">E26-D26</f>
        <v>132.41999999999999</v>
      </c>
      <c r="G26" s="299">
        <f t="shared" ref="G26:G29" si="5">F26/D26</f>
        <v>8.0743902439024389</v>
      </c>
      <c r="H26" s="300"/>
    </row>
    <row r="27" spans="2:8" ht="15.4" x14ac:dyDescent="0.45">
      <c r="B27" s="110"/>
      <c r="C27" s="89">
        <v>16000</v>
      </c>
      <c r="D27" s="475">
        <f>Rates!F12+14.5*Rates!F13</f>
        <v>105.43</v>
      </c>
      <c r="E27" s="475">
        <f>Rates!L24</f>
        <v>148.82</v>
      </c>
      <c r="F27" s="224">
        <f t="shared" si="4"/>
        <v>43.389999999999986</v>
      </c>
      <c r="G27" s="299">
        <f t="shared" si="5"/>
        <v>0.41155268898795394</v>
      </c>
      <c r="H27" s="300"/>
    </row>
    <row r="28" spans="2:8" ht="15.4" x14ac:dyDescent="0.45">
      <c r="B28" s="110"/>
      <c r="C28" s="89">
        <v>30000</v>
      </c>
      <c r="D28" s="475">
        <f>D27+14*Rates!F13</f>
        <v>191.39</v>
      </c>
      <c r="E28" s="475">
        <f>E27+14*Rates!L25</f>
        <v>269.91999999999996</v>
      </c>
      <c r="F28" s="224">
        <f t="shared" si="4"/>
        <v>78.529999999999973</v>
      </c>
      <c r="G28" s="299">
        <f t="shared" si="5"/>
        <v>0.41031401849626403</v>
      </c>
      <c r="H28" s="300"/>
    </row>
    <row r="29" spans="2:8" ht="15.4" x14ac:dyDescent="0.45">
      <c r="B29" s="110"/>
      <c r="C29" s="89">
        <v>50000</v>
      </c>
      <c r="D29" s="475">
        <f>D28+20*Rates!F13</f>
        <v>314.19</v>
      </c>
      <c r="E29" s="475">
        <f>E28+20*Rates!L25</f>
        <v>442.91999999999996</v>
      </c>
      <c r="F29" s="224">
        <f t="shared" si="4"/>
        <v>128.72999999999996</v>
      </c>
      <c r="G29" s="299">
        <f t="shared" si="5"/>
        <v>0.40972023298004379</v>
      </c>
      <c r="H29" s="300"/>
    </row>
    <row r="30" spans="2:8" ht="15.4" x14ac:dyDescent="0.45">
      <c r="B30" s="110"/>
      <c r="C30" s="89">
        <v>100000</v>
      </c>
      <c r="D30" s="475">
        <f>D29+50*Rates!F13</f>
        <v>621.19000000000005</v>
      </c>
      <c r="E30" s="475">
        <f>E29+50*Rates!L25</f>
        <v>875.41999999999985</v>
      </c>
      <c r="F30" s="224">
        <f t="shared" ref="F30" si="6">E30-D30</f>
        <v>254.22999999999979</v>
      </c>
      <c r="G30" s="299">
        <f t="shared" ref="G30" si="7">F30/D30</f>
        <v>0.40926286643377996</v>
      </c>
      <c r="H30" s="300"/>
    </row>
    <row r="31" spans="2:8" ht="6.95" customHeight="1" x14ac:dyDescent="0.8">
      <c r="B31" s="110"/>
      <c r="C31" s="89"/>
      <c r="D31" s="474"/>
      <c r="E31" s="474"/>
      <c r="F31" s="474"/>
      <c r="G31" s="474"/>
      <c r="H31" s="300"/>
    </row>
    <row r="32" spans="2:8" ht="18" x14ac:dyDescent="0.8">
      <c r="B32" s="110"/>
      <c r="C32" s="89"/>
      <c r="D32" s="590" t="s">
        <v>374</v>
      </c>
      <c r="E32" s="590"/>
      <c r="F32" s="590"/>
      <c r="G32" s="590"/>
      <c r="H32" s="300"/>
    </row>
    <row r="33" spans="2:8" ht="15.4" x14ac:dyDescent="0.45">
      <c r="B33" s="110"/>
      <c r="C33" s="89">
        <v>1500</v>
      </c>
      <c r="D33" s="186">
        <f>Rates!F12</f>
        <v>16.399999999999999</v>
      </c>
      <c r="E33" s="186">
        <f>Rates!L32</f>
        <v>491.25</v>
      </c>
      <c r="F33" s="186">
        <f t="shared" ref="F33:F36" si="8">E33-D33</f>
        <v>474.85</v>
      </c>
      <c r="G33" s="299">
        <f t="shared" ref="G33:G36" si="9">F33/D33</f>
        <v>28.954268292682929</v>
      </c>
      <c r="H33" s="300"/>
    </row>
    <row r="34" spans="2:8" ht="15.4" x14ac:dyDescent="0.45">
      <c r="B34" s="110"/>
      <c r="C34" s="89">
        <v>50000</v>
      </c>
      <c r="D34" s="475">
        <f>D33+48.5*Rates!F13</f>
        <v>314.18999999999994</v>
      </c>
      <c r="E34" s="475">
        <f>Rates!L32</f>
        <v>491.25</v>
      </c>
      <c r="F34" s="224">
        <f t="shared" si="8"/>
        <v>177.06000000000006</v>
      </c>
      <c r="G34" s="299">
        <f t="shared" si="9"/>
        <v>0.56354435214360765</v>
      </c>
      <c r="H34" s="300"/>
    </row>
    <row r="35" spans="2:8" ht="15.4" x14ac:dyDescent="0.45">
      <c r="B35" s="110"/>
      <c r="C35" s="89">
        <v>100000</v>
      </c>
      <c r="D35" s="475">
        <f>D30</f>
        <v>621.19000000000005</v>
      </c>
      <c r="E35" s="475">
        <f>E34+50*Rates!L33</f>
        <v>923.75</v>
      </c>
      <c r="F35" s="224">
        <f t="shared" si="8"/>
        <v>302.55999999999995</v>
      </c>
      <c r="G35" s="299">
        <f t="shared" si="9"/>
        <v>0.48706514914921345</v>
      </c>
      <c r="H35" s="300"/>
    </row>
    <row r="36" spans="2:8" ht="15.4" x14ac:dyDescent="0.45">
      <c r="B36" s="110"/>
      <c r="C36" s="89">
        <v>150000</v>
      </c>
      <c r="D36" s="475">
        <f>D35+50*Rates!F13</f>
        <v>928.19</v>
      </c>
      <c r="E36" s="475">
        <f>E35+50*Rates!L33</f>
        <v>1356.25</v>
      </c>
      <c r="F36" s="224">
        <f t="shared" si="8"/>
        <v>428.05999999999995</v>
      </c>
      <c r="G36" s="299">
        <f t="shared" si="9"/>
        <v>0.46117712968250024</v>
      </c>
      <c r="H36" s="300"/>
    </row>
    <row r="37" spans="2:8" ht="15.4" x14ac:dyDescent="0.45">
      <c r="B37" s="304"/>
      <c r="C37" s="107"/>
      <c r="D37" s="476"/>
      <c r="E37" s="477"/>
      <c r="F37" s="129"/>
      <c r="G37" s="478"/>
      <c r="H37" s="107"/>
    </row>
    <row r="39" spans="2:8" ht="15.4" x14ac:dyDescent="0.45">
      <c r="B39" s="311" t="s">
        <v>342</v>
      </c>
    </row>
  </sheetData>
  <mergeCells count="7">
    <mergeCell ref="D25:G25"/>
    <mergeCell ref="D32:G32"/>
    <mergeCell ref="C4:G4"/>
    <mergeCell ref="C5:G5"/>
    <mergeCell ref="C6:G6"/>
    <mergeCell ref="D12:G12"/>
    <mergeCell ref="D19:G19"/>
  </mergeCells>
  <printOptions horizontalCentered="1"/>
  <pageMargins left="0.7" right="0.7" top="1.5" bottom="0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P53"/>
  <sheetViews>
    <sheetView topLeftCell="C1" workbookViewId="0">
      <selection activeCell="O7" sqref="O7"/>
    </sheetView>
  </sheetViews>
  <sheetFormatPr defaultColWidth="11.21875" defaultRowHeight="14.25" x14ac:dyDescent="0.45"/>
  <cols>
    <col min="1" max="1" width="1.77734375" style="1" customWidth="1"/>
    <col min="2" max="2" width="9.33203125" style="1" customWidth="1"/>
    <col min="3" max="3" width="10" style="1" customWidth="1"/>
    <col min="4" max="4" width="10.5546875" style="1" customWidth="1"/>
    <col min="5" max="5" width="12" style="1" customWidth="1"/>
    <col min="6" max="8" width="10.77734375" style="1" customWidth="1"/>
    <col min="9" max="9" width="1.77734375" style="1" customWidth="1"/>
    <col min="10" max="13" width="11.21875" style="1"/>
    <col min="14" max="14" width="15.109375" style="1" customWidth="1"/>
    <col min="15" max="16384" width="11.21875" style="1"/>
  </cols>
  <sheetData>
    <row r="2" spans="2:16" ht="18.75" customHeight="1" x14ac:dyDescent="0.55000000000000004">
      <c r="B2" s="584" t="s">
        <v>573</v>
      </c>
      <c r="C2" s="584"/>
      <c r="D2" s="584"/>
      <c r="E2" s="584"/>
      <c r="F2" s="584"/>
      <c r="G2" s="584"/>
      <c r="H2" s="584"/>
      <c r="I2" s="308"/>
      <c r="J2" s="23"/>
      <c r="K2" s="23"/>
      <c r="L2" s="23"/>
      <c r="M2" s="23"/>
      <c r="N2" s="23"/>
      <c r="O2" s="23"/>
    </row>
    <row r="3" spans="2:16" ht="18.75" customHeight="1" x14ac:dyDescent="0.45">
      <c r="B3" s="591" t="s">
        <v>207</v>
      </c>
      <c r="C3" s="591"/>
      <c r="D3" s="591"/>
      <c r="E3" s="591"/>
      <c r="F3" s="591"/>
      <c r="G3" s="591"/>
      <c r="H3" s="591"/>
      <c r="I3" s="309"/>
      <c r="J3" s="23"/>
      <c r="K3" s="23"/>
      <c r="L3" s="23"/>
      <c r="M3" s="23"/>
      <c r="N3" s="23"/>
      <c r="O3" s="23"/>
    </row>
    <row r="4" spans="2:16" ht="18.75" customHeight="1" x14ac:dyDescent="0.45">
      <c r="B4" s="309"/>
      <c r="C4" s="309"/>
      <c r="D4" s="309"/>
      <c r="E4" s="309"/>
      <c r="F4" s="309"/>
      <c r="G4" s="309"/>
      <c r="H4" s="309"/>
      <c r="I4" s="309"/>
      <c r="J4" s="23"/>
      <c r="K4" s="23"/>
      <c r="L4" s="23"/>
      <c r="M4" s="23"/>
      <c r="N4" s="23"/>
      <c r="O4" s="23"/>
    </row>
    <row r="5" spans="2:16" x14ac:dyDescent="0.45">
      <c r="D5" s="592" t="s">
        <v>165</v>
      </c>
      <c r="E5" s="592"/>
      <c r="F5" s="592"/>
      <c r="K5" s="1" t="s">
        <v>28</v>
      </c>
      <c r="L5" s="23" t="s">
        <v>456</v>
      </c>
      <c r="M5" s="23"/>
    </row>
    <row r="6" spans="2:16" ht="20.100000000000001" customHeight="1" x14ac:dyDescent="0.45">
      <c r="D6" s="1" t="s">
        <v>460</v>
      </c>
      <c r="E6" s="264"/>
      <c r="F6" s="196">
        <f>G23</f>
        <v>4056783.5419999994</v>
      </c>
      <c r="M6" s="23"/>
    </row>
    <row r="7" spans="2:16" ht="16.5" x14ac:dyDescent="0.75">
      <c r="D7" s="1" t="s">
        <v>459</v>
      </c>
      <c r="E7" s="380"/>
      <c r="F7" s="267">
        <f>-O7</f>
        <v>-56669.52</v>
      </c>
      <c r="K7" s="23"/>
      <c r="L7" s="23"/>
      <c r="M7" s="23"/>
      <c r="N7" s="23" t="s">
        <v>457</v>
      </c>
      <c r="O7" s="23">
        <v>56669.52</v>
      </c>
    </row>
    <row r="8" spans="2:16" ht="16.5" x14ac:dyDescent="0.75">
      <c r="D8" s="1" t="s">
        <v>155</v>
      </c>
      <c r="E8" s="264"/>
      <c r="F8" s="196">
        <f>F6+F7</f>
        <v>4000114.0219999994</v>
      </c>
      <c r="K8" s="23">
        <v>3934832</v>
      </c>
      <c r="L8" s="23">
        <f>F8-K8</f>
        <v>65282.021999999415</v>
      </c>
      <c r="M8" s="23"/>
      <c r="N8" s="23" t="s">
        <v>458</v>
      </c>
      <c r="O8" s="133">
        <v>50318.69</v>
      </c>
      <c r="P8" s="1" t="s">
        <v>544</v>
      </c>
    </row>
    <row r="9" spans="2:16" x14ac:dyDescent="0.45">
      <c r="D9" s="1" t="s">
        <v>461</v>
      </c>
      <c r="E9" s="265"/>
      <c r="F9" s="266">
        <f>E28</f>
        <v>102207</v>
      </c>
      <c r="K9" s="23">
        <v>102205</v>
      </c>
      <c r="L9" s="23">
        <f>F9-K9</f>
        <v>2</v>
      </c>
      <c r="M9" s="23"/>
      <c r="N9" s="23"/>
      <c r="O9" s="23">
        <f>O7+O8</f>
        <v>106988.20999999999</v>
      </c>
    </row>
    <row r="10" spans="2:16" x14ac:dyDescent="0.45">
      <c r="D10" s="1" t="s">
        <v>462</v>
      </c>
      <c r="E10" s="195"/>
      <c r="F10" s="196">
        <f>F6+F9</f>
        <v>4158990.5419999994</v>
      </c>
      <c r="K10" s="23">
        <f>K8+K9</f>
        <v>4037037</v>
      </c>
      <c r="L10" s="23">
        <f>L8+L9</f>
        <v>65284.021999999415</v>
      </c>
      <c r="M10" s="23"/>
      <c r="N10" s="23"/>
      <c r="O10" s="23"/>
    </row>
    <row r="11" spans="2:16" x14ac:dyDescent="0.45">
      <c r="C11" s="118"/>
      <c r="D11" s="195"/>
      <c r="J11" s="23"/>
      <c r="K11" s="36"/>
      <c r="L11" s="23"/>
      <c r="M11" s="23"/>
      <c r="N11" s="23"/>
      <c r="O11" s="23"/>
    </row>
    <row r="12" spans="2:16" x14ac:dyDescent="0.45">
      <c r="B12" s="58" t="s">
        <v>278</v>
      </c>
      <c r="J12" s="23"/>
      <c r="K12" s="23"/>
      <c r="L12" s="23"/>
      <c r="M12" s="23"/>
      <c r="N12" s="23"/>
      <c r="O12" s="23"/>
    </row>
    <row r="13" spans="2:16" x14ac:dyDescent="0.45">
      <c r="F13" s="120" t="s">
        <v>166</v>
      </c>
      <c r="G13" s="120" t="s">
        <v>167</v>
      </c>
      <c r="J13" s="23"/>
      <c r="K13" s="23"/>
      <c r="L13" s="23"/>
      <c r="M13" s="23"/>
      <c r="N13" s="23"/>
      <c r="O13" s="23"/>
    </row>
    <row r="14" spans="2:16" x14ac:dyDescent="0.45">
      <c r="C14" s="121" t="s">
        <v>168</v>
      </c>
      <c r="D14" s="122" t="s">
        <v>169</v>
      </c>
      <c r="E14" s="122" t="s">
        <v>170</v>
      </c>
      <c r="F14" s="122">
        <f>C15</f>
        <v>1500</v>
      </c>
      <c r="G14" s="122">
        <f>C16</f>
        <v>1500</v>
      </c>
      <c r="H14" s="121" t="s">
        <v>171</v>
      </c>
      <c r="J14" s="23"/>
      <c r="K14" s="23"/>
      <c r="L14" s="23"/>
      <c r="M14" s="23"/>
      <c r="N14" s="23"/>
      <c r="O14" s="23"/>
    </row>
    <row r="15" spans="2:16" x14ac:dyDescent="0.45">
      <c r="B15" s="123" t="s">
        <v>166</v>
      </c>
      <c r="C15" s="124">
        <v>1500</v>
      </c>
      <c r="D15" s="60">
        <f>O25</f>
        <v>65395</v>
      </c>
      <c r="E15" s="60">
        <f>N25</f>
        <v>29441100</v>
      </c>
      <c r="F15" s="60">
        <f>E15</f>
        <v>29441100</v>
      </c>
      <c r="G15" s="60">
        <v>0</v>
      </c>
      <c r="H15" s="60">
        <f>SUM(F15:G15)</f>
        <v>29441100</v>
      </c>
      <c r="K15" s="23"/>
      <c r="L15" s="23"/>
      <c r="M15" s="23"/>
      <c r="N15" s="23"/>
      <c r="O15" s="23"/>
    </row>
    <row r="16" spans="2:16" x14ac:dyDescent="0.45">
      <c r="B16" s="123" t="s">
        <v>167</v>
      </c>
      <c r="C16" s="125">
        <v>1500</v>
      </c>
      <c r="D16" s="126">
        <f>O26</f>
        <v>74589</v>
      </c>
      <c r="E16" s="126">
        <f>N26</f>
        <v>398698800</v>
      </c>
      <c r="F16" s="126">
        <f>D16*F14</f>
        <v>111883500</v>
      </c>
      <c r="G16" s="126">
        <f>E16-F16</f>
        <v>286815300</v>
      </c>
      <c r="H16" s="126">
        <f>SUM(F16:G16)</f>
        <v>398698800</v>
      </c>
      <c r="J16" s="23"/>
      <c r="K16" s="23"/>
      <c r="L16" s="23"/>
      <c r="M16" s="23"/>
      <c r="N16" s="23"/>
      <c r="O16" s="23"/>
    </row>
    <row r="17" spans="2:15" x14ac:dyDescent="0.45">
      <c r="B17" s="123"/>
      <c r="C17" s="124"/>
      <c r="D17" s="60">
        <f>D16+D15</f>
        <v>139984</v>
      </c>
      <c r="E17" s="60">
        <f>SUM(E15:E16)</f>
        <v>428139900</v>
      </c>
      <c r="F17" s="60">
        <f>SUM(F15:F16)</f>
        <v>141324600</v>
      </c>
      <c r="G17" s="60">
        <f>SUM(G15:G16)</f>
        <v>286815300</v>
      </c>
      <c r="H17" s="60">
        <f>SUM(H15:H16)</f>
        <v>428139900</v>
      </c>
      <c r="J17" s="23">
        <f>E17/D17</f>
        <v>3058.4916847639729</v>
      </c>
      <c r="K17" s="23"/>
    </row>
    <row r="18" spans="2:15" x14ac:dyDescent="0.45">
      <c r="B18" s="123"/>
      <c r="C18" s="124"/>
      <c r="E18" s="124"/>
      <c r="F18" s="124"/>
      <c r="G18" s="124"/>
      <c r="H18" s="124"/>
      <c r="I18" s="124"/>
      <c r="J18" s="23"/>
      <c r="K18" s="23"/>
      <c r="N18" s="377" t="s">
        <v>168</v>
      </c>
      <c r="O18" s="378" t="s">
        <v>169</v>
      </c>
    </row>
    <row r="19" spans="2:15" x14ac:dyDescent="0.45">
      <c r="B19" s="127" t="s">
        <v>172</v>
      </c>
      <c r="C19" s="127"/>
      <c r="E19" s="124"/>
      <c r="F19" s="124"/>
      <c r="G19" s="124"/>
      <c r="H19" s="124"/>
      <c r="I19" s="124"/>
      <c r="J19" s="23"/>
      <c r="K19" s="23"/>
      <c r="L19" s="185" t="s">
        <v>451</v>
      </c>
      <c r="M19" s="1" t="s">
        <v>452</v>
      </c>
      <c r="N19" s="23">
        <v>29266700</v>
      </c>
      <c r="O19" s="23">
        <v>64995</v>
      </c>
    </row>
    <row r="20" spans="2:15" x14ac:dyDescent="0.45">
      <c r="B20" s="123"/>
      <c r="D20" s="122" t="s">
        <v>169</v>
      </c>
      <c r="E20" s="121" t="s">
        <v>170</v>
      </c>
      <c r="F20" s="122" t="s">
        <v>173</v>
      </c>
      <c r="G20" s="122" t="s">
        <v>174</v>
      </c>
      <c r="H20" s="124"/>
      <c r="J20" s="23"/>
      <c r="K20" s="23"/>
      <c r="L20" s="185"/>
      <c r="M20" s="1" t="s">
        <v>453</v>
      </c>
      <c r="N20" s="23">
        <v>377527500</v>
      </c>
      <c r="O20" s="23">
        <v>73622</v>
      </c>
    </row>
    <row r="21" spans="2:15" x14ac:dyDescent="0.45">
      <c r="B21" s="123" t="s">
        <v>166</v>
      </c>
      <c r="C21" s="124">
        <f>C15</f>
        <v>1500</v>
      </c>
      <c r="D21" s="60">
        <f>D17</f>
        <v>139984</v>
      </c>
      <c r="E21" s="60">
        <f>F17</f>
        <v>141324600</v>
      </c>
      <c r="F21" s="61">
        <v>16.399999999999999</v>
      </c>
      <c r="G21" s="119">
        <f>F21*D21</f>
        <v>2295737.5999999996</v>
      </c>
      <c r="H21" s="124"/>
      <c r="J21" s="23"/>
      <c r="K21" s="23"/>
      <c r="L21" s="185"/>
      <c r="N21" s="23"/>
      <c r="O21" s="23"/>
    </row>
    <row r="22" spans="2:15" x14ac:dyDescent="0.45">
      <c r="B22" s="123" t="s">
        <v>167</v>
      </c>
      <c r="C22" s="124">
        <f>C16</f>
        <v>1500</v>
      </c>
      <c r="D22" s="128"/>
      <c r="E22" s="126">
        <f>G17</f>
        <v>286815300</v>
      </c>
      <c r="F22" s="129">
        <v>6.14</v>
      </c>
      <c r="G22" s="19">
        <f>F22*(E22/1000)</f>
        <v>1761045.9419999998</v>
      </c>
      <c r="H22" s="124"/>
      <c r="J22" s="23"/>
      <c r="K22" s="23"/>
      <c r="L22" s="185" t="s">
        <v>454</v>
      </c>
      <c r="M22" s="1" t="s">
        <v>452</v>
      </c>
      <c r="N22" s="23">
        <v>174400</v>
      </c>
      <c r="O22" s="23">
        <v>400</v>
      </c>
    </row>
    <row r="23" spans="2:15" x14ac:dyDescent="0.45">
      <c r="B23" s="123"/>
      <c r="C23" s="124" t="s">
        <v>171</v>
      </c>
      <c r="D23" s="23">
        <f>SUM(D21:D22)</f>
        <v>139984</v>
      </c>
      <c r="E23" s="60">
        <f>SUM(E21:E22)</f>
        <v>428139900</v>
      </c>
      <c r="G23" s="119">
        <f>SUM(G21:G22)</f>
        <v>4056783.5419999994</v>
      </c>
      <c r="H23" s="124"/>
      <c r="J23" s="23">
        <f>D23/12</f>
        <v>11665.333333333334</v>
      </c>
      <c r="K23" s="23"/>
      <c r="L23" s="185"/>
      <c r="M23" s="1" t="s">
        <v>453</v>
      </c>
      <c r="N23" s="23">
        <v>21171300</v>
      </c>
      <c r="O23" s="23">
        <v>967</v>
      </c>
    </row>
    <row r="24" spans="2:15" x14ac:dyDescent="0.45">
      <c r="B24" s="123"/>
      <c r="C24" s="124"/>
      <c r="D24" s="8"/>
      <c r="E24" s="8"/>
      <c r="H24" s="61"/>
      <c r="I24" s="124"/>
      <c r="J24" s="23"/>
      <c r="K24" s="23"/>
      <c r="L24" s="185"/>
      <c r="N24" s="23"/>
      <c r="O24" s="23"/>
    </row>
    <row r="25" spans="2:15" x14ac:dyDescent="0.45">
      <c r="J25" s="23"/>
      <c r="K25" s="23"/>
      <c r="L25" s="185" t="s">
        <v>18</v>
      </c>
      <c r="M25" s="1" t="s">
        <v>452</v>
      </c>
      <c r="N25" s="23">
        <f>N19+N22</f>
        <v>29441100</v>
      </c>
      <c r="O25" s="23">
        <f>O19+O22</f>
        <v>65395</v>
      </c>
    </row>
    <row r="26" spans="2:15" ht="16.5" x14ac:dyDescent="0.75">
      <c r="B26" s="58" t="s">
        <v>279</v>
      </c>
      <c r="J26" s="23"/>
      <c r="K26" s="23"/>
      <c r="M26" s="1" t="s">
        <v>453</v>
      </c>
      <c r="N26" s="133">
        <f>N20+N23</f>
        <v>398698800</v>
      </c>
      <c r="O26" s="133">
        <f>O20+O23</f>
        <v>74589</v>
      </c>
    </row>
    <row r="27" spans="2:15" x14ac:dyDescent="0.45">
      <c r="C27" s="122" t="s">
        <v>170</v>
      </c>
      <c r="D27" s="122" t="s">
        <v>173</v>
      </c>
      <c r="E27" s="121" t="s">
        <v>171</v>
      </c>
      <c r="J27" s="23"/>
      <c r="K27" s="23"/>
      <c r="M27" s="1" t="s">
        <v>455</v>
      </c>
      <c r="N27" s="23">
        <f>N25+N26</f>
        <v>428139900</v>
      </c>
      <c r="O27" s="23">
        <f>O25+O26</f>
        <v>139984</v>
      </c>
    </row>
    <row r="28" spans="2:15" x14ac:dyDescent="0.45">
      <c r="B28" s="123" t="s">
        <v>280</v>
      </c>
      <c r="C28" s="23">
        <v>32970000</v>
      </c>
      <c r="D28" s="37">
        <v>3.1</v>
      </c>
      <c r="E28" s="70">
        <f>(C28/1000)*D28</f>
        <v>102207</v>
      </c>
      <c r="J28" s="23">
        <f>C28/12</f>
        <v>2747500</v>
      </c>
      <c r="K28" s="23"/>
      <c r="N28" s="23"/>
      <c r="O28" s="23"/>
    </row>
    <row r="29" spans="2:15" x14ac:dyDescent="0.45">
      <c r="J29" s="23"/>
      <c r="K29" s="23"/>
      <c r="L29" s="23"/>
      <c r="M29" s="23"/>
      <c r="N29" s="23"/>
      <c r="O29" s="23"/>
    </row>
    <row r="30" spans="2:15" x14ac:dyDescent="0.45">
      <c r="J30" s="23"/>
      <c r="K30" s="23"/>
      <c r="L30" s="23"/>
      <c r="M30" s="23"/>
      <c r="N30" s="23"/>
      <c r="O30" s="23"/>
    </row>
    <row r="31" spans="2:15" x14ac:dyDescent="0.45">
      <c r="J31" s="23"/>
      <c r="K31" s="23"/>
      <c r="L31" s="23"/>
      <c r="M31" s="23"/>
      <c r="N31" s="23"/>
      <c r="O31" s="23"/>
    </row>
    <row r="32" spans="2:15" x14ac:dyDescent="0.45">
      <c r="J32" s="23"/>
      <c r="K32" s="23"/>
      <c r="L32" s="23"/>
      <c r="M32" s="23"/>
      <c r="N32" s="23"/>
      <c r="O32" s="23"/>
    </row>
    <row r="33" spans="5:15" x14ac:dyDescent="0.45">
      <c r="J33" s="23"/>
      <c r="K33" s="23"/>
      <c r="L33" s="23"/>
      <c r="M33" s="23"/>
      <c r="N33" s="23"/>
      <c r="O33" s="23"/>
    </row>
    <row r="34" spans="5:15" x14ac:dyDescent="0.45">
      <c r="J34" s="23"/>
      <c r="K34" s="23"/>
      <c r="L34" s="23"/>
      <c r="M34" s="23"/>
      <c r="N34" s="23"/>
      <c r="O34" s="23"/>
    </row>
    <row r="35" spans="5:15" x14ac:dyDescent="0.45">
      <c r="J35" s="23"/>
      <c r="K35" s="23"/>
      <c r="L35" s="23"/>
      <c r="M35" s="23"/>
      <c r="N35" s="23"/>
      <c r="O35" s="23"/>
    </row>
    <row r="36" spans="5:15" x14ac:dyDescent="0.45">
      <c r="J36" s="23"/>
      <c r="K36" s="23"/>
      <c r="L36" s="23"/>
      <c r="M36" s="23"/>
      <c r="N36" s="23"/>
      <c r="O36" s="23"/>
    </row>
    <row r="37" spans="5:15" x14ac:dyDescent="0.45">
      <c r="J37" s="23"/>
      <c r="K37" s="23"/>
      <c r="L37" s="23"/>
      <c r="M37" s="23"/>
      <c r="N37" s="23"/>
      <c r="O37" s="23"/>
    </row>
    <row r="38" spans="5:15" x14ac:dyDescent="0.45">
      <c r="J38" s="23"/>
      <c r="K38" s="23"/>
      <c r="L38" s="23"/>
      <c r="M38" s="23"/>
      <c r="N38" s="23"/>
      <c r="O38" s="23"/>
    </row>
    <row r="39" spans="5:15" x14ac:dyDescent="0.45">
      <c r="J39" s="23"/>
      <c r="K39" s="23"/>
      <c r="L39" s="23"/>
      <c r="M39" s="23"/>
      <c r="N39" s="23"/>
      <c r="O39" s="23"/>
    </row>
    <row r="40" spans="5:15" x14ac:dyDescent="0.45">
      <c r="J40" s="23"/>
      <c r="K40" s="23"/>
      <c r="L40" s="23"/>
      <c r="M40" s="23"/>
      <c r="N40" s="23"/>
      <c r="O40" s="23"/>
    </row>
    <row r="41" spans="5:15" x14ac:dyDescent="0.45">
      <c r="J41" s="23"/>
      <c r="K41" s="23"/>
      <c r="L41" s="23"/>
      <c r="M41" s="23"/>
      <c r="N41" s="23"/>
      <c r="O41" s="23"/>
    </row>
    <row r="42" spans="5:15" x14ac:dyDescent="0.45">
      <c r="J42" s="23"/>
      <c r="K42" s="23"/>
      <c r="L42" s="23"/>
      <c r="M42" s="23"/>
      <c r="N42" s="23"/>
      <c r="O42" s="23"/>
    </row>
    <row r="43" spans="5:15" x14ac:dyDescent="0.45">
      <c r="J43" s="23"/>
      <c r="K43" s="23"/>
      <c r="L43" s="23"/>
      <c r="M43" s="23"/>
      <c r="N43" s="23"/>
      <c r="O43" s="23"/>
    </row>
    <row r="44" spans="5:15" x14ac:dyDescent="0.45">
      <c r="E44" s="161"/>
      <c r="J44" s="23"/>
      <c r="K44" s="23"/>
      <c r="L44" s="23"/>
      <c r="M44" s="23"/>
      <c r="N44" s="23"/>
      <c r="O44" s="23"/>
    </row>
    <row r="45" spans="5:15" x14ac:dyDescent="0.45">
      <c r="E45" s="161"/>
      <c r="J45" s="23"/>
      <c r="K45" s="23"/>
      <c r="L45" s="23"/>
      <c r="M45" s="23"/>
      <c r="N45" s="23"/>
      <c r="O45" s="23"/>
    </row>
    <row r="46" spans="5:15" x14ac:dyDescent="0.45">
      <c r="J46" s="23"/>
      <c r="K46" s="23"/>
      <c r="L46" s="23"/>
      <c r="M46" s="23"/>
      <c r="N46" s="23"/>
      <c r="O46" s="23"/>
    </row>
    <row r="47" spans="5:15" x14ac:dyDescent="0.45">
      <c r="J47" s="23"/>
      <c r="K47" s="23"/>
      <c r="L47" s="23"/>
      <c r="M47" s="23"/>
      <c r="N47" s="23"/>
      <c r="O47" s="23"/>
    </row>
    <row r="48" spans="5:15" x14ac:dyDescent="0.45">
      <c r="J48" s="23"/>
      <c r="K48" s="23"/>
      <c r="L48" s="23"/>
      <c r="M48" s="23"/>
      <c r="N48" s="23"/>
      <c r="O48" s="23"/>
    </row>
    <row r="49" spans="10:15" x14ac:dyDescent="0.45">
      <c r="J49" s="23"/>
      <c r="K49" s="23"/>
      <c r="L49" s="23"/>
      <c r="M49" s="23"/>
      <c r="N49" s="23"/>
      <c r="O49" s="23"/>
    </row>
    <row r="50" spans="10:15" x14ac:dyDescent="0.45">
      <c r="J50" s="23"/>
      <c r="K50" s="23"/>
      <c r="L50" s="23"/>
      <c r="M50" s="23"/>
      <c r="N50" s="23"/>
      <c r="O50" s="23"/>
    </row>
    <row r="51" spans="10:15" x14ac:dyDescent="0.45">
      <c r="J51" s="23"/>
      <c r="K51" s="23"/>
      <c r="L51" s="23"/>
      <c r="M51" s="23"/>
      <c r="N51" s="23"/>
      <c r="O51" s="23"/>
    </row>
    <row r="52" spans="10:15" x14ac:dyDescent="0.45">
      <c r="J52" s="23"/>
      <c r="K52" s="23"/>
      <c r="L52" s="23"/>
      <c r="M52" s="23"/>
      <c r="N52" s="23"/>
      <c r="O52" s="23"/>
    </row>
    <row r="53" spans="10:15" x14ac:dyDescent="0.45">
      <c r="J53" s="23"/>
      <c r="K53" s="23"/>
      <c r="L53" s="23"/>
      <c r="M53" s="23"/>
      <c r="N53" s="23"/>
      <c r="O53" s="23"/>
    </row>
  </sheetData>
  <mergeCells count="3">
    <mergeCell ref="B2:H2"/>
    <mergeCell ref="B3:H3"/>
    <mergeCell ref="D5:F5"/>
  </mergeCells>
  <printOptions horizontalCentered="1"/>
  <pageMargins left="0.7" right="0.7" top="1.25" bottom="0.75" header="0.3" footer="0.3"/>
  <pageSetup scale="97" orientation="portrait" r:id="rId1"/>
  <headerFooter>
    <oddFooter>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S79"/>
  <sheetViews>
    <sheetView workbookViewId="0">
      <selection activeCell="F7" sqref="F7"/>
    </sheetView>
  </sheetViews>
  <sheetFormatPr defaultRowHeight="15" x14ac:dyDescent="0.4"/>
  <cols>
    <col min="1" max="1" width="1.77734375" customWidth="1"/>
    <col min="2" max="2" width="9.33203125" customWidth="1"/>
    <col min="3" max="3" width="10.44140625" customWidth="1"/>
    <col min="4" max="4" width="10.5546875" customWidth="1"/>
    <col min="5" max="5" width="12.88671875" customWidth="1"/>
    <col min="6" max="8" width="10.77734375" customWidth="1"/>
    <col min="9" max="9" width="1.77734375" customWidth="1"/>
    <col min="10" max="10" width="12" bestFit="1" customWidth="1"/>
    <col min="11" max="11" width="11" bestFit="1" customWidth="1"/>
    <col min="13" max="17" width="10.77734375" customWidth="1"/>
  </cols>
  <sheetData>
    <row r="2" spans="2:19" ht="18.75" customHeight="1" x14ac:dyDescent="0.55000000000000004">
      <c r="B2" s="584" t="s">
        <v>558</v>
      </c>
      <c r="C2" s="584"/>
      <c r="D2" s="584"/>
      <c r="E2" s="584"/>
      <c r="F2" s="584"/>
      <c r="G2" s="584"/>
      <c r="H2" s="584"/>
      <c r="I2" s="308"/>
      <c r="K2" s="1"/>
      <c r="L2" s="1"/>
      <c r="M2" s="1"/>
      <c r="N2" s="1"/>
      <c r="O2" s="23"/>
      <c r="P2" s="1"/>
      <c r="Q2" s="1"/>
      <c r="R2" s="1"/>
      <c r="S2" s="1"/>
    </row>
    <row r="3" spans="2:19" ht="18.75" customHeight="1" x14ac:dyDescent="0.45">
      <c r="B3" s="591" t="s">
        <v>207</v>
      </c>
      <c r="C3" s="591"/>
      <c r="D3" s="591"/>
      <c r="E3" s="591"/>
      <c r="F3" s="591"/>
      <c r="G3" s="591"/>
      <c r="H3" s="591"/>
      <c r="I3" s="309"/>
      <c r="K3" s="1"/>
      <c r="L3" s="63"/>
      <c r="M3" s="119"/>
      <c r="N3" s="1"/>
      <c r="O3" s="23"/>
      <c r="P3" s="1"/>
      <c r="Q3" s="1"/>
      <c r="R3" s="1"/>
      <c r="S3" s="1"/>
    </row>
    <row r="4" spans="2:19" ht="18.75" customHeight="1" x14ac:dyDescent="0.45">
      <c r="B4" s="309"/>
      <c r="C4" s="309"/>
      <c r="D4" s="309"/>
      <c r="E4" s="309"/>
      <c r="F4" s="309"/>
      <c r="G4" s="309"/>
      <c r="H4" s="309"/>
      <c r="I4" s="309"/>
      <c r="K4" s="1"/>
      <c r="L4" s="63"/>
      <c r="M4" s="119"/>
      <c r="N4" s="1"/>
      <c r="O4" s="23"/>
      <c r="P4" s="1"/>
      <c r="Q4" s="1"/>
      <c r="R4" s="1"/>
      <c r="S4" s="1"/>
    </row>
    <row r="5" spans="2:19" ht="15" customHeight="1" x14ac:dyDescent="0.45">
      <c r="B5" s="131"/>
      <c r="C5" s="5"/>
      <c r="D5" s="592" t="s">
        <v>165</v>
      </c>
      <c r="E5" s="592"/>
      <c r="F5" s="592"/>
      <c r="G5" s="5"/>
      <c r="H5" s="5"/>
      <c r="I5" s="5"/>
      <c r="K5" s="1"/>
      <c r="L5" s="1" t="s">
        <v>341</v>
      </c>
      <c r="M5" s="1" t="s">
        <v>360</v>
      </c>
      <c r="N5" s="1"/>
      <c r="O5" s="23"/>
      <c r="P5" s="1"/>
      <c r="Q5" s="1"/>
      <c r="R5" s="1"/>
      <c r="S5" s="1"/>
    </row>
    <row r="6" spans="2:19" ht="15" customHeight="1" x14ac:dyDescent="0.45">
      <c r="B6" s="465"/>
      <c r="C6" s="1"/>
      <c r="D6" s="229" t="s">
        <v>460</v>
      </c>
      <c r="E6" s="469"/>
      <c r="F6" s="196">
        <f>G23+G36+G49+G62+G75</f>
        <v>5110882.2649999997</v>
      </c>
      <c r="G6" s="1"/>
      <c r="H6" s="1"/>
      <c r="L6" s="3">
        <f>D17+D30+D43+D56+D69</f>
        <v>139984</v>
      </c>
      <c r="M6" s="3">
        <f>E17+E30+E43+E56+E69</f>
        <v>428139900</v>
      </c>
      <c r="P6" s="1"/>
      <c r="Q6" s="1"/>
      <c r="R6" s="1"/>
      <c r="S6" s="1"/>
    </row>
    <row r="7" spans="2:19" ht="15" customHeight="1" x14ac:dyDescent="0.75">
      <c r="B7" s="1"/>
      <c r="C7" s="466"/>
      <c r="D7" s="229" t="s">
        <v>459</v>
      </c>
      <c r="E7" s="470"/>
      <c r="F7" s="267">
        <f>ExBA!F7*(1+0.258)</f>
        <v>-71290.25615999999</v>
      </c>
      <c r="H7" s="1"/>
      <c r="I7" s="1"/>
      <c r="J7" s="1"/>
      <c r="P7" s="1"/>
      <c r="Q7" s="1"/>
      <c r="R7" s="1"/>
      <c r="S7" s="1"/>
    </row>
    <row r="8" spans="2:19" ht="15" customHeight="1" x14ac:dyDescent="0.45">
      <c r="B8" s="1"/>
      <c r="C8" s="118"/>
      <c r="D8" s="229" t="s">
        <v>155</v>
      </c>
      <c r="E8" s="469"/>
      <c r="F8" s="196">
        <f>F6+F7</f>
        <v>5039592.0088399993</v>
      </c>
      <c r="G8" s="1"/>
      <c r="H8" s="1"/>
      <c r="I8" s="1"/>
      <c r="J8" s="124">
        <f>SAO!H54</f>
        <v>5037464.8063769257</v>
      </c>
      <c r="P8" s="1"/>
      <c r="Q8" s="1"/>
      <c r="R8" s="1"/>
      <c r="S8" s="1"/>
    </row>
    <row r="9" spans="2:19" ht="15" customHeight="1" x14ac:dyDescent="0.45">
      <c r="B9" s="1"/>
      <c r="C9" s="118"/>
      <c r="D9" s="229" t="s">
        <v>461</v>
      </c>
      <c r="E9" s="471"/>
      <c r="F9" s="266">
        <f>E79</f>
        <v>110119.79999999999</v>
      </c>
      <c r="G9" s="1"/>
      <c r="H9" s="1"/>
      <c r="I9" s="1"/>
      <c r="J9" s="1"/>
      <c r="P9" s="1"/>
      <c r="Q9" s="1"/>
      <c r="R9" s="1"/>
      <c r="S9" s="1"/>
    </row>
    <row r="10" spans="2:19" ht="15" customHeight="1" x14ac:dyDescent="0.45">
      <c r="B10" s="1"/>
      <c r="C10" s="467"/>
      <c r="D10" s="229" t="s">
        <v>462</v>
      </c>
      <c r="E10" s="472"/>
      <c r="F10" s="196">
        <f>F6+F9</f>
        <v>5221002.0649999995</v>
      </c>
      <c r="G10" s="1"/>
      <c r="H10" s="1"/>
      <c r="I10" s="1"/>
      <c r="J10" s="1"/>
      <c r="P10" s="1"/>
      <c r="Q10" s="1"/>
      <c r="R10" s="1"/>
      <c r="S10" s="1"/>
    </row>
    <row r="11" spans="2:19" ht="15" customHeight="1" x14ac:dyDescent="0.45">
      <c r="B11" s="1"/>
      <c r="G11" s="1"/>
      <c r="H11" s="1"/>
      <c r="I11" s="1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2:19" ht="15.75" x14ac:dyDescent="0.5">
      <c r="B12" s="463" t="s">
        <v>531</v>
      </c>
      <c r="C12" s="1"/>
      <c r="D12" s="1"/>
      <c r="E12" s="1"/>
      <c r="F12" s="1"/>
      <c r="G12" s="1"/>
      <c r="H12" s="1"/>
    </row>
    <row r="13" spans="2:19" ht="15.4" x14ac:dyDescent="0.45">
      <c r="B13" s="1"/>
      <c r="C13" s="1"/>
      <c r="D13" s="1"/>
      <c r="E13" s="1"/>
      <c r="F13" s="120" t="s">
        <v>166</v>
      </c>
      <c r="G13" s="120" t="s">
        <v>167</v>
      </c>
      <c r="H13" s="1"/>
    </row>
    <row r="14" spans="2:19" ht="15.4" x14ac:dyDescent="0.45">
      <c r="B14" s="1"/>
      <c r="C14" s="121" t="s">
        <v>168</v>
      </c>
      <c r="D14" s="122" t="s">
        <v>169</v>
      </c>
      <c r="E14" s="122" t="s">
        <v>170</v>
      </c>
      <c r="F14" s="122">
        <f>C15</f>
        <v>1500</v>
      </c>
      <c r="G14" s="122">
        <f>C16</f>
        <v>1500</v>
      </c>
      <c r="H14" s="121" t="s">
        <v>171</v>
      </c>
    </row>
    <row r="15" spans="2:19" ht="15.4" x14ac:dyDescent="0.45">
      <c r="B15" s="123" t="s">
        <v>166</v>
      </c>
      <c r="C15" s="124">
        <v>1500</v>
      </c>
      <c r="D15" s="60">
        <v>64995</v>
      </c>
      <c r="E15" s="60">
        <v>29266700</v>
      </c>
      <c r="F15" s="60">
        <f>E15</f>
        <v>29266700</v>
      </c>
      <c r="G15" s="60">
        <v>0</v>
      </c>
      <c r="H15" s="60">
        <f>SUM(F15:G15)</f>
        <v>29266700</v>
      </c>
    </row>
    <row r="16" spans="2:19" ht="15.4" x14ac:dyDescent="0.45">
      <c r="B16" s="123" t="s">
        <v>167</v>
      </c>
      <c r="C16" s="125">
        <v>1500</v>
      </c>
      <c r="D16" s="126">
        <v>73622</v>
      </c>
      <c r="E16" s="126">
        <v>377527500</v>
      </c>
      <c r="F16" s="126">
        <f>D16*F14</f>
        <v>110433000</v>
      </c>
      <c r="G16" s="126">
        <f>E16-F16</f>
        <v>267094500</v>
      </c>
      <c r="H16" s="126">
        <f>SUM(F16:G16)</f>
        <v>377527500</v>
      </c>
    </row>
    <row r="17" spans="2:11" ht="15.4" x14ac:dyDescent="0.45">
      <c r="B17" s="123"/>
      <c r="C17" s="124"/>
      <c r="D17" s="60">
        <f>D16+D15</f>
        <v>138617</v>
      </c>
      <c r="E17" s="60">
        <f>SUM(E15:E16)</f>
        <v>406794200</v>
      </c>
      <c r="F17" s="60">
        <f>SUM(F15:F16)</f>
        <v>139699700</v>
      </c>
      <c r="G17" s="60">
        <f>SUM(G15:G16)</f>
        <v>267094500</v>
      </c>
      <c r="H17" s="60">
        <f>SUM(H15:H16)</f>
        <v>406794200</v>
      </c>
      <c r="K17" s="23">
        <f>E17/D17</f>
        <v>2934.6631365561225</v>
      </c>
    </row>
    <row r="18" spans="2:11" ht="15.4" x14ac:dyDescent="0.45">
      <c r="B18" s="123"/>
      <c r="C18" s="124"/>
      <c r="D18" s="1"/>
      <c r="E18" s="124"/>
      <c r="F18" s="124"/>
      <c r="G18" s="124"/>
      <c r="H18" s="124"/>
    </row>
    <row r="19" spans="2:11" ht="15.4" x14ac:dyDescent="0.45">
      <c r="B19" s="127" t="s">
        <v>172</v>
      </c>
      <c r="C19" s="127"/>
      <c r="D19" s="1"/>
      <c r="E19" s="124"/>
      <c r="F19" s="124"/>
      <c r="G19" s="124"/>
      <c r="H19" s="124"/>
    </row>
    <row r="20" spans="2:11" ht="15.4" x14ac:dyDescent="0.45">
      <c r="B20" s="123"/>
      <c r="C20" s="128"/>
      <c r="D20" s="122" t="s">
        <v>169</v>
      </c>
      <c r="E20" s="121" t="s">
        <v>170</v>
      </c>
      <c r="F20" s="122" t="s">
        <v>173</v>
      </c>
      <c r="G20" s="122" t="s">
        <v>174</v>
      </c>
      <c r="H20" s="124"/>
    </row>
    <row r="21" spans="2:11" ht="15.4" x14ac:dyDescent="0.45">
      <c r="B21" s="123" t="s">
        <v>166</v>
      </c>
      <c r="C21" s="124">
        <f>C15</f>
        <v>1500</v>
      </c>
      <c r="D21" s="60">
        <f>D17</f>
        <v>138617</v>
      </c>
      <c r="E21" s="60">
        <f>F17</f>
        <v>139699700</v>
      </c>
      <c r="F21" s="61">
        <f>Rates!L12</f>
        <v>18.329999999999998</v>
      </c>
      <c r="G21" s="119">
        <f>F21*D21</f>
        <v>2540849.61</v>
      </c>
      <c r="H21" s="124"/>
    </row>
    <row r="22" spans="2:11" ht="15.4" x14ac:dyDescent="0.45">
      <c r="B22" s="123" t="s">
        <v>167</v>
      </c>
      <c r="C22" s="125">
        <f>C16</f>
        <v>1500</v>
      </c>
      <c r="D22" s="128"/>
      <c r="E22" s="126">
        <f>G17</f>
        <v>267094500</v>
      </c>
      <c r="F22" s="129">
        <f>Rates!L13</f>
        <v>8.6499999999999986</v>
      </c>
      <c r="G22" s="19">
        <f>F22*(E22/1000)</f>
        <v>2310367.4249999998</v>
      </c>
      <c r="H22" s="124"/>
    </row>
    <row r="23" spans="2:11" ht="15.4" x14ac:dyDescent="0.45">
      <c r="B23" s="123"/>
      <c r="C23" s="124" t="s">
        <v>171</v>
      </c>
      <c r="D23" s="23">
        <f>SUM(D21:D22)</f>
        <v>138617</v>
      </c>
      <c r="E23" s="60">
        <f>SUM(E21:E22)</f>
        <v>406794200</v>
      </c>
      <c r="F23" s="1"/>
      <c r="G23" s="119">
        <f>SUM(G21:G22)</f>
        <v>4851217.0350000001</v>
      </c>
      <c r="H23" s="124"/>
      <c r="J23" s="77"/>
    </row>
    <row r="24" spans="2:11" ht="15.4" x14ac:dyDescent="0.45">
      <c r="B24" s="123"/>
      <c r="C24" s="124"/>
      <c r="D24" s="23"/>
      <c r="E24" s="60"/>
      <c r="F24" s="1"/>
      <c r="G24" s="119"/>
      <c r="H24" s="124"/>
      <c r="J24" s="77"/>
    </row>
    <row r="25" spans="2:11" ht="15.75" x14ac:dyDescent="0.5">
      <c r="B25" s="463" t="s">
        <v>362</v>
      </c>
      <c r="C25" s="1"/>
      <c r="D25" s="1"/>
      <c r="E25" s="1"/>
      <c r="F25" s="1"/>
      <c r="G25" s="1"/>
      <c r="H25" s="1"/>
      <c r="J25" s="77"/>
    </row>
    <row r="26" spans="2:11" ht="15.4" x14ac:dyDescent="0.45">
      <c r="B26" s="1"/>
      <c r="C26" s="1"/>
      <c r="D26" s="1"/>
      <c r="E26" s="1"/>
      <c r="F26" s="120" t="s">
        <v>166</v>
      </c>
      <c r="G26" s="120" t="s">
        <v>167</v>
      </c>
      <c r="H26" s="1"/>
      <c r="J26" s="77"/>
    </row>
    <row r="27" spans="2:11" ht="15.4" x14ac:dyDescent="0.45">
      <c r="B27" s="1"/>
      <c r="C27" s="121" t="s">
        <v>168</v>
      </c>
      <c r="D27" s="122" t="s">
        <v>169</v>
      </c>
      <c r="E27" s="122" t="s">
        <v>170</v>
      </c>
      <c r="F27" s="122">
        <f>C28</f>
        <v>5000</v>
      </c>
      <c r="G27" s="122">
        <f>C29</f>
        <v>5000</v>
      </c>
      <c r="H27" s="121" t="s">
        <v>171</v>
      </c>
      <c r="J27" s="77"/>
    </row>
    <row r="28" spans="2:11" ht="15.4" x14ac:dyDescent="0.45">
      <c r="B28" s="123" t="s">
        <v>166</v>
      </c>
      <c r="C28" s="124">
        <v>5000</v>
      </c>
      <c r="D28" s="60">
        <v>420</v>
      </c>
      <c r="E28" s="60">
        <v>879400</v>
      </c>
      <c r="F28" s="60">
        <f>E28</f>
        <v>879400</v>
      </c>
      <c r="G28" s="60">
        <v>0</v>
      </c>
      <c r="H28" s="60">
        <f>SUM(F28:G28)</f>
        <v>879400</v>
      </c>
      <c r="J28" s="77"/>
    </row>
    <row r="29" spans="2:11" ht="15.4" x14ac:dyDescent="0.45">
      <c r="B29" s="123" t="s">
        <v>167</v>
      </c>
      <c r="C29" s="125">
        <v>5000</v>
      </c>
      <c r="D29" s="126">
        <v>240</v>
      </c>
      <c r="E29" s="126">
        <v>5178600</v>
      </c>
      <c r="F29" s="126">
        <f>D29*F27</f>
        <v>1200000</v>
      </c>
      <c r="G29" s="126">
        <f>E29-F29</f>
        <v>3978600</v>
      </c>
      <c r="H29" s="126">
        <f>SUM(F29:G29)</f>
        <v>5178600</v>
      </c>
      <c r="J29" s="77"/>
    </row>
    <row r="30" spans="2:11" ht="15.4" x14ac:dyDescent="0.45">
      <c r="B30" s="123"/>
      <c r="C30" s="124"/>
      <c r="D30" s="60">
        <f>D29+D28</f>
        <v>660</v>
      </c>
      <c r="E30" s="60">
        <f>SUM(E28:E29)</f>
        <v>6058000</v>
      </c>
      <c r="F30" s="60">
        <f>SUM(F28:F29)</f>
        <v>2079400</v>
      </c>
      <c r="G30" s="60">
        <f>SUM(G28:G29)</f>
        <v>3978600</v>
      </c>
      <c r="H30" s="60">
        <f>SUM(H28:H29)</f>
        <v>6058000</v>
      </c>
      <c r="J30" s="77"/>
      <c r="K30" s="23">
        <f>E30/D30</f>
        <v>9178.7878787878781</v>
      </c>
    </row>
    <row r="31" spans="2:11" ht="15.4" x14ac:dyDescent="0.45">
      <c r="B31" s="123"/>
      <c r="C31" s="124"/>
      <c r="D31" s="1"/>
      <c r="E31" s="124"/>
      <c r="F31" s="124"/>
      <c r="G31" s="124"/>
      <c r="H31" s="124"/>
      <c r="J31" s="77"/>
    </row>
    <row r="32" spans="2:11" ht="15.4" x14ac:dyDescent="0.45">
      <c r="B32" s="127" t="s">
        <v>172</v>
      </c>
      <c r="C32" s="127"/>
      <c r="D32" s="1"/>
      <c r="E32" s="124"/>
      <c r="F32" s="124"/>
      <c r="G32" s="124"/>
      <c r="H32" s="124"/>
      <c r="J32" s="77"/>
    </row>
    <row r="33" spans="2:11" ht="15.4" x14ac:dyDescent="0.45">
      <c r="B33" s="123"/>
      <c r="C33" s="128"/>
      <c r="D33" s="122" t="s">
        <v>169</v>
      </c>
      <c r="E33" s="121" t="s">
        <v>170</v>
      </c>
      <c r="F33" s="122" t="s">
        <v>173</v>
      </c>
      <c r="G33" s="122" t="s">
        <v>174</v>
      </c>
      <c r="H33" s="124"/>
      <c r="J33" s="77"/>
    </row>
    <row r="34" spans="2:11" ht="15.4" x14ac:dyDescent="0.45">
      <c r="B34" s="123" t="s">
        <v>166</v>
      </c>
      <c r="C34" s="124">
        <f>C28</f>
        <v>5000</v>
      </c>
      <c r="D34" s="60">
        <f>D30</f>
        <v>660</v>
      </c>
      <c r="E34" s="60">
        <f>F30</f>
        <v>2079400</v>
      </c>
      <c r="F34" s="61">
        <f>Rates!L16</f>
        <v>49.67</v>
      </c>
      <c r="G34" s="119">
        <f>F34*D34</f>
        <v>32782.200000000004</v>
      </c>
      <c r="H34" s="124"/>
      <c r="J34" s="77"/>
    </row>
    <row r="35" spans="2:11" ht="15.4" x14ac:dyDescent="0.45">
      <c r="B35" s="123" t="s">
        <v>167</v>
      </c>
      <c r="C35" s="125">
        <f>C29</f>
        <v>5000</v>
      </c>
      <c r="D35" s="128"/>
      <c r="E35" s="126">
        <f>G30</f>
        <v>3978600</v>
      </c>
      <c r="F35" s="129">
        <f>Rates!L17</f>
        <v>8.6499999999999986</v>
      </c>
      <c r="G35" s="19">
        <f>F35*(E35/1000)</f>
        <v>34414.889999999992</v>
      </c>
      <c r="H35" s="124"/>
      <c r="J35" s="77"/>
    </row>
    <row r="36" spans="2:11" ht="15.4" x14ac:dyDescent="0.45">
      <c r="B36" s="123"/>
      <c r="C36" s="124" t="s">
        <v>171</v>
      </c>
      <c r="D36" s="23">
        <f>SUM(D34:D35)</f>
        <v>660</v>
      </c>
      <c r="E36" s="60">
        <f>SUM(E34:E35)</f>
        <v>6058000</v>
      </c>
      <c r="F36" s="1"/>
      <c r="G36" s="119">
        <f>SUM(G34:G35)</f>
        <v>67197.09</v>
      </c>
      <c r="H36" s="124"/>
      <c r="J36" s="77"/>
    </row>
    <row r="37" spans="2:11" ht="15.4" x14ac:dyDescent="0.45">
      <c r="B37" s="123"/>
      <c r="C37" s="124"/>
      <c r="D37" s="23"/>
      <c r="E37" s="60"/>
      <c r="F37" s="1"/>
      <c r="G37" s="119"/>
      <c r="H37" s="124"/>
      <c r="J37" s="77"/>
    </row>
    <row r="38" spans="2:11" ht="15.75" x14ac:dyDescent="0.5">
      <c r="B38" s="463" t="s">
        <v>363</v>
      </c>
      <c r="C38" s="1"/>
      <c r="D38" s="1"/>
      <c r="E38" s="1"/>
      <c r="F38" s="1"/>
      <c r="G38" s="1"/>
      <c r="H38" s="1"/>
      <c r="J38" s="77"/>
    </row>
    <row r="39" spans="2:11" ht="15.4" x14ac:dyDescent="0.45">
      <c r="B39" s="1"/>
      <c r="C39" s="1"/>
      <c r="D39" s="1"/>
      <c r="E39" s="1"/>
      <c r="F39" s="120" t="s">
        <v>166</v>
      </c>
      <c r="G39" s="120" t="s">
        <v>167</v>
      </c>
      <c r="H39" s="1"/>
      <c r="J39" s="77"/>
    </row>
    <row r="40" spans="2:11" ht="15.4" x14ac:dyDescent="0.45">
      <c r="B40" s="1"/>
      <c r="C40" s="121" t="s">
        <v>168</v>
      </c>
      <c r="D40" s="122" t="s">
        <v>169</v>
      </c>
      <c r="E40" s="122" t="s">
        <v>170</v>
      </c>
      <c r="F40" s="122">
        <f>C41</f>
        <v>10000</v>
      </c>
      <c r="G40" s="122">
        <f>C42</f>
        <v>10000</v>
      </c>
      <c r="H40" s="121" t="s">
        <v>171</v>
      </c>
      <c r="J40" s="77"/>
    </row>
    <row r="41" spans="2:11" ht="15.4" x14ac:dyDescent="0.45">
      <c r="B41" s="123" t="s">
        <v>166</v>
      </c>
      <c r="C41" s="124">
        <v>10000</v>
      </c>
      <c r="D41" s="60">
        <v>12</v>
      </c>
      <c r="E41" s="60">
        <v>42100</v>
      </c>
      <c r="F41" s="60">
        <f>E41</f>
        <v>42100</v>
      </c>
      <c r="G41" s="60">
        <v>0</v>
      </c>
      <c r="H41" s="60">
        <f>SUM(F41:G41)</f>
        <v>42100</v>
      </c>
      <c r="J41" s="77"/>
    </row>
    <row r="42" spans="2:11" ht="15.4" x14ac:dyDescent="0.45">
      <c r="B42" s="123" t="s">
        <v>167</v>
      </c>
      <c r="C42" s="125">
        <v>10000</v>
      </c>
      <c r="D42" s="126">
        <v>0</v>
      </c>
      <c r="E42" s="126">
        <v>0</v>
      </c>
      <c r="F42" s="126">
        <f>D42*F40</f>
        <v>0</v>
      </c>
      <c r="G42" s="126">
        <f>E42-F42</f>
        <v>0</v>
      </c>
      <c r="H42" s="126">
        <f>SUM(F42:G42)</f>
        <v>0</v>
      </c>
      <c r="J42" s="77"/>
    </row>
    <row r="43" spans="2:11" ht="15.4" x14ac:dyDescent="0.45">
      <c r="B43" s="123"/>
      <c r="C43" s="124"/>
      <c r="D43" s="60">
        <f>D42+D41</f>
        <v>12</v>
      </c>
      <c r="E43" s="60">
        <f>SUM(E41:E42)</f>
        <v>42100</v>
      </c>
      <c r="F43" s="60">
        <f>SUM(F41:F42)</f>
        <v>42100</v>
      </c>
      <c r="G43" s="60">
        <f>SUM(G41:G42)</f>
        <v>0</v>
      </c>
      <c r="H43" s="60">
        <f>SUM(H41:H42)</f>
        <v>42100</v>
      </c>
      <c r="J43" s="77"/>
      <c r="K43" s="23">
        <f>E43/D43</f>
        <v>3508.3333333333335</v>
      </c>
    </row>
    <row r="44" spans="2:11" ht="15.4" x14ac:dyDescent="0.45">
      <c r="B44" s="123"/>
      <c r="C44" s="124"/>
      <c r="D44" s="1"/>
      <c r="E44" s="124"/>
      <c r="F44" s="124"/>
      <c r="G44" s="124"/>
      <c r="H44" s="124"/>
      <c r="J44" s="77"/>
    </row>
    <row r="45" spans="2:11" ht="15.4" x14ac:dyDescent="0.45">
      <c r="B45" s="127" t="s">
        <v>172</v>
      </c>
      <c r="C45" s="127"/>
      <c r="D45" s="1"/>
      <c r="E45" s="124"/>
      <c r="F45" s="124"/>
      <c r="G45" s="124"/>
      <c r="H45" s="124"/>
      <c r="J45" s="77"/>
    </row>
    <row r="46" spans="2:11" ht="15.4" x14ac:dyDescent="0.45">
      <c r="B46" s="123"/>
      <c r="C46" s="128"/>
      <c r="D46" s="122" t="s">
        <v>169</v>
      </c>
      <c r="E46" s="121" t="s">
        <v>170</v>
      </c>
      <c r="F46" s="122" t="s">
        <v>173</v>
      </c>
      <c r="G46" s="122" t="s">
        <v>174</v>
      </c>
      <c r="H46" s="124"/>
      <c r="J46" s="77"/>
    </row>
    <row r="47" spans="2:11" ht="15.4" x14ac:dyDescent="0.45">
      <c r="B47" s="123" t="s">
        <v>166</v>
      </c>
      <c r="C47" s="124">
        <f>C41</f>
        <v>10000</v>
      </c>
      <c r="D47" s="60">
        <f>D43</f>
        <v>12</v>
      </c>
      <c r="E47" s="60">
        <f>F43</f>
        <v>42100</v>
      </c>
      <c r="F47" s="61">
        <f>Rates!L20</f>
        <v>93.99</v>
      </c>
      <c r="G47" s="119">
        <f>F47*D47</f>
        <v>1127.8799999999999</v>
      </c>
      <c r="H47" s="124"/>
      <c r="J47" s="77"/>
    </row>
    <row r="48" spans="2:11" ht="15.4" x14ac:dyDescent="0.45">
      <c r="B48" s="123" t="s">
        <v>167</v>
      </c>
      <c r="C48" s="125">
        <f>C42</f>
        <v>10000</v>
      </c>
      <c r="D48" s="128"/>
      <c r="E48" s="126">
        <f>G43</f>
        <v>0</v>
      </c>
      <c r="F48" s="129">
        <f>Rates!L21</f>
        <v>8.6499999999999986</v>
      </c>
      <c r="G48" s="19">
        <f>F48*(E48/1000)</f>
        <v>0</v>
      </c>
      <c r="H48" s="124"/>
      <c r="J48" s="77"/>
    </row>
    <row r="49" spans="2:11" ht="15.4" x14ac:dyDescent="0.45">
      <c r="B49" s="123"/>
      <c r="C49" s="124" t="s">
        <v>171</v>
      </c>
      <c r="D49" s="23">
        <f>SUM(D47:D48)</f>
        <v>12</v>
      </c>
      <c r="E49" s="60">
        <f>SUM(E47:E48)</f>
        <v>42100</v>
      </c>
      <c r="F49" s="1"/>
      <c r="G49" s="119">
        <f>SUM(G47:G48)</f>
        <v>1127.8799999999999</v>
      </c>
      <c r="H49" s="124"/>
      <c r="J49" s="77"/>
    </row>
    <row r="50" spans="2:11" ht="15.4" x14ac:dyDescent="0.45">
      <c r="B50" s="123"/>
      <c r="C50" s="124"/>
      <c r="D50" s="23"/>
      <c r="E50" s="60"/>
      <c r="F50" s="1"/>
      <c r="G50" s="119"/>
      <c r="H50" s="124"/>
      <c r="J50" s="77"/>
    </row>
    <row r="51" spans="2:11" ht="15.75" x14ac:dyDescent="0.5">
      <c r="B51" s="463" t="s">
        <v>532</v>
      </c>
      <c r="C51" s="1"/>
      <c r="D51" s="1"/>
      <c r="E51" s="1"/>
      <c r="F51" s="1"/>
      <c r="G51" s="1"/>
      <c r="H51" s="1"/>
      <c r="J51" s="77"/>
    </row>
    <row r="52" spans="2:11" ht="15.4" x14ac:dyDescent="0.45">
      <c r="B52" s="1"/>
      <c r="C52" s="1"/>
      <c r="D52" s="1"/>
      <c r="E52" s="1"/>
      <c r="F52" s="120" t="s">
        <v>166</v>
      </c>
      <c r="G52" s="120" t="s">
        <v>167</v>
      </c>
      <c r="H52" s="1"/>
      <c r="J52" s="77"/>
    </row>
    <row r="53" spans="2:11" ht="15.4" x14ac:dyDescent="0.45">
      <c r="B53" s="1"/>
      <c r="C53" s="121" t="s">
        <v>168</v>
      </c>
      <c r="D53" s="122" t="s">
        <v>169</v>
      </c>
      <c r="E53" s="122" t="s">
        <v>170</v>
      </c>
      <c r="F53" s="122">
        <f>C54</f>
        <v>16000</v>
      </c>
      <c r="G53" s="122">
        <f>C55</f>
        <v>16000</v>
      </c>
      <c r="H53" s="121" t="s">
        <v>171</v>
      </c>
      <c r="J53" s="77"/>
    </row>
    <row r="54" spans="2:11" ht="15.4" x14ac:dyDescent="0.45">
      <c r="B54" s="123" t="s">
        <v>166</v>
      </c>
      <c r="C54" s="124">
        <v>16000</v>
      </c>
      <c r="D54" s="60">
        <v>468</v>
      </c>
      <c r="E54" s="60">
        <v>1528200</v>
      </c>
      <c r="F54" s="60">
        <f>E54</f>
        <v>1528200</v>
      </c>
      <c r="G54" s="60">
        <v>0</v>
      </c>
      <c r="H54" s="60">
        <f>SUM(F54:G54)</f>
        <v>1528200</v>
      </c>
      <c r="J54" s="77"/>
    </row>
    <row r="55" spans="2:11" ht="15.4" x14ac:dyDescent="0.45">
      <c r="B55" s="123" t="s">
        <v>167</v>
      </c>
      <c r="C55" s="125">
        <v>16000</v>
      </c>
      <c r="D55" s="126">
        <v>215</v>
      </c>
      <c r="E55" s="126">
        <v>12399400</v>
      </c>
      <c r="F55" s="126">
        <f>D55*F53</f>
        <v>3440000</v>
      </c>
      <c r="G55" s="126">
        <f>E55-F55</f>
        <v>8959400</v>
      </c>
      <c r="H55" s="126">
        <f>SUM(F55:G55)</f>
        <v>12399400</v>
      </c>
      <c r="J55" s="77"/>
    </row>
    <row r="56" spans="2:11" ht="15.4" x14ac:dyDescent="0.45">
      <c r="B56" s="123"/>
      <c r="C56" s="124"/>
      <c r="D56" s="60">
        <f>D55+D54</f>
        <v>683</v>
      </c>
      <c r="E56" s="60">
        <f>SUM(E54:E55)</f>
        <v>13927600</v>
      </c>
      <c r="F56" s="60">
        <f>SUM(F54:F55)</f>
        <v>4968200</v>
      </c>
      <c r="G56" s="60">
        <f>SUM(G54:G55)</f>
        <v>8959400</v>
      </c>
      <c r="H56" s="60">
        <f>SUM(H54:H55)</f>
        <v>13927600</v>
      </c>
      <c r="J56" s="77"/>
    </row>
    <row r="57" spans="2:11" ht="15.4" x14ac:dyDescent="0.45">
      <c r="B57" s="123"/>
      <c r="C57" s="124"/>
      <c r="D57" s="1"/>
      <c r="E57" s="124"/>
      <c r="F57" s="124"/>
      <c r="G57" s="124"/>
      <c r="H57" s="124"/>
      <c r="J57" s="77"/>
    </row>
    <row r="58" spans="2:11" ht="15.4" x14ac:dyDescent="0.45">
      <c r="B58" s="127" t="s">
        <v>172</v>
      </c>
      <c r="C58" s="127"/>
      <c r="D58" s="1"/>
      <c r="E58" s="124"/>
      <c r="F58" s="124"/>
      <c r="G58" s="124"/>
      <c r="H58" s="124"/>
      <c r="J58" s="77"/>
    </row>
    <row r="59" spans="2:11" ht="15.4" x14ac:dyDescent="0.45">
      <c r="B59" s="123"/>
      <c r="C59" s="128"/>
      <c r="D59" s="122" t="s">
        <v>169</v>
      </c>
      <c r="E59" s="121" t="s">
        <v>170</v>
      </c>
      <c r="F59" s="122" t="s">
        <v>173</v>
      </c>
      <c r="G59" s="122" t="s">
        <v>174</v>
      </c>
      <c r="H59" s="124"/>
      <c r="J59" s="77"/>
    </row>
    <row r="60" spans="2:11" ht="15.4" x14ac:dyDescent="0.45">
      <c r="B60" s="123" t="s">
        <v>166</v>
      </c>
      <c r="C60" s="124">
        <f>C54</f>
        <v>16000</v>
      </c>
      <c r="D60" s="60">
        <f>D56</f>
        <v>683</v>
      </c>
      <c r="E60" s="60">
        <f>F56</f>
        <v>4968200</v>
      </c>
      <c r="F60" s="61">
        <f>Rates!L24</f>
        <v>148.82</v>
      </c>
      <c r="G60" s="119">
        <f>F60*D60</f>
        <v>101644.06</v>
      </c>
      <c r="H60" s="124"/>
      <c r="J60" s="77"/>
    </row>
    <row r="61" spans="2:11" ht="15.4" x14ac:dyDescent="0.45">
      <c r="B61" s="123" t="s">
        <v>167</v>
      </c>
      <c r="C61" s="125">
        <f>C55</f>
        <v>16000</v>
      </c>
      <c r="D61" s="128"/>
      <c r="E61" s="126">
        <f>G56</f>
        <v>8959400</v>
      </c>
      <c r="F61" s="129">
        <f>Rates!L25</f>
        <v>8.6499999999999986</v>
      </c>
      <c r="G61" s="19">
        <f>F61*(E61/1000)</f>
        <v>77498.809999999983</v>
      </c>
      <c r="H61" s="124"/>
      <c r="J61" s="77"/>
    </row>
    <row r="62" spans="2:11" ht="15.4" x14ac:dyDescent="0.45">
      <c r="B62" s="123"/>
      <c r="C62" s="124" t="s">
        <v>171</v>
      </c>
      <c r="D62" s="23">
        <f>SUM(D60:D61)</f>
        <v>683</v>
      </c>
      <c r="E62" s="60">
        <f>SUM(E60:E61)</f>
        <v>13927600</v>
      </c>
      <c r="F62" s="1"/>
      <c r="G62" s="119">
        <f>SUM(G60:G61)</f>
        <v>179142.87</v>
      </c>
      <c r="H62" s="124"/>
      <c r="J62" s="77"/>
      <c r="K62" s="23">
        <f>E62/D62</f>
        <v>20391.800878477305</v>
      </c>
    </row>
    <row r="63" spans="2:11" ht="15.4" x14ac:dyDescent="0.45">
      <c r="B63" s="123"/>
      <c r="C63" s="124"/>
      <c r="D63" s="23"/>
      <c r="E63" s="60"/>
      <c r="F63" s="1"/>
      <c r="G63" s="119"/>
      <c r="H63" s="124"/>
      <c r="J63" s="77"/>
    </row>
    <row r="64" spans="2:11" ht="15.75" x14ac:dyDescent="0.5">
      <c r="B64" s="463" t="s">
        <v>374</v>
      </c>
      <c r="C64" s="1"/>
      <c r="D64" s="1"/>
      <c r="E64" s="1"/>
      <c r="F64" s="1"/>
      <c r="G64" s="1"/>
      <c r="H64" s="1"/>
      <c r="J64" s="77"/>
    </row>
    <row r="65" spans="2:11" ht="15.4" x14ac:dyDescent="0.45">
      <c r="B65" s="1"/>
      <c r="C65" s="1"/>
      <c r="D65" s="1"/>
      <c r="E65" s="1"/>
      <c r="F65" s="120" t="s">
        <v>166</v>
      </c>
      <c r="G65" s="120" t="s">
        <v>167</v>
      </c>
      <c r="H65" s="1"/>
      <c r="J65" s="77"/>
    </row>
    <row r="66" spans="2:11" ht="15.4" x14ac:dyDescent="0.45">
      <c r="B66" s="1"/>
      <c r="C66" s="121" t="s">
        <v>168</v>
      </c>
      <c r="D66" s="122" t="s">
        <v>169</v>
      </c>
      <c r="E66" s="122" t="s">
        <v>170</v>
      </c>
      <c r="F66" s="122">
        <f>C67</f>
        <v>50000</v>
      </c>
      <c r="G66" s="122">
        <f>C68</f>
        <v>50000</v>
      </c>
      <c r="H66" s="121" t="s">
        <v>171</v>
      </c>
      <c r="J66" s="77"/>
    </row>
    <row r="67" spans="2:11" ht="15.4" x14ac:dyDescent="0.45">
      <c r="B67" s="123" t="s">
        <v>166</v>
      </c>
      <c r="C67" s="124">
        <v>50000</v>
      </c>
      <c r="D67" s="60">
        <v>1</v>
      </c>
      <c r="E67" s="60">
        <v>39400</v>
      </c>
      <c r="F67" s="60">
        <f>E67</f>
        <v>39400</v>
      </c>
      <c r="G67" s="60">
        <v>0</v>
      </c>
      <c r="H67" s="60">
        <f>SUM(F67:G67)</f>
        <v>39400</v>
      </c>
      <c r="J67" s="77"/>
    </row>
    <row r="68" spans="2:11" ht="15.4" x14ac:dyDescent="0.45">
      <c r="B68" s="123" t="s">
        <v>167</v>
      </c>
      <c r="C68" s="125">
        <v>50000</v>
      </c>
      <c r="D68" s="126">
        <v>11</v>
      </c>
      <c r="E68" s="126">
        <v>1278600</v>
      </c>
      <c r="F68" s="126">
        <f>D68*F66</f>
        <v>550000</v>
      </c>
      <c r="G68" s="126">
        <f>E68-F68</f>
        <v>728600</v>
      </c>
      <c r="H68" s="126">
        <f>SUM(F68:G68)</f>
        <v>1278600</v>
      </c>
      <c r="J68" s="77"/>
    </row>
    <row r="69" spans="2:11" ht="15.4" x14ac:dyDescent="0.45">
      <c r="B69" s="123"/>
      <c r="C69" s="124"/>
      <c r="D69" s="60">
        <f>D68+D67</f>
        <v>12</v>
      </c>
      <c r="E69" s="60">
        <f>SUM(E67:E68)</f>
        <v>1318000</v>
      </c>
      <c r="F69" s="60">
        <f>SUM(F67:F68)</f>
        <v>589400</v>
      </c>
      <c r="G69" s="60">
        <f>SUM(G67:G68)</f>
        <v>728600</v>
      </c>
      <c r="H69" s="60">
        <f>SUM(H67:H68)</f>
        <v>1318000</v>
      </c>
      <c r="J69" s="77"/>
      <c r="K69" s="23">
        <f>E69/D69</f>
        <v>109833.33333333333</v>
      </c>
    </row>
    <row r="70" spans="2:11" ht="15.4" x14ac:dyDescent="0.45">
      <c r="B70" s="123"/>
      <c r="C70" s="124"/>
      <c r="D70" s="1"/>
      <c r="E70" s="124"/>
      <c r="F70" s="124"/>
      <c r="G70" s="124"/>
      <c r="H70" s="124"/>
      <c r="J70" s="77"/>
    </row>
    <row r="71" spans="2:11" ht="15.4" x14ac:dyDescent="0.45">
      <c r="B71" s="127" t="s">
        <v>172</v>
      </c>
      <c r="C71" s="127"/>
      <c r="D71" s="1"/>
      <c r="E71" s="124"/>
      <c r="F71" s="124"/>
      <c r="G71" s="124"/>
      <c r="H71" s="124"/>
      <c r="J71" s="77"/>
    </row>
    <row r="72" spans="2:11" ht="15.4" x14ac:dyDescent="0.45">
      <c r="B72" s="123"/>
      <c r="C72" s="128"/>
      <c r="D72" s="122" t="s">
        <v>169</v>
      </c>
      <c r="E72" s="121" t="s">
        <v>170</v>
      </c>
      <c r="F72" s="122" t="s">
        <v>173</v>
      </c>
      <c r="G72" s="122" t="s">
        <v>174</v>
      </c>
      <c r="H72" s="124"/>
      <c r="J72" s="77"/>
    </row>
    <row r="73" spans="2:11" ht="15.4" x14ac:dyDescent="0.45">
      <c r="B73" s="123" t="s">
        <v>166</v>
      </c>
      <c r="C73" s="124">
        <f>C67</f>
        <v>50000</v>
      </c>
      <c r="D73" s="60">
        <f>D69</f>
        <v>12</v>
      </c>
      <c r="E73" s="60">
        <f>F69</f>
        <v>589400</v>
      </c>
      <c r="F73" s="61">
        <f>Rates!L32</f>
        <v>491.25</v>
      </c>
      <c r="G73" s="119">
        <f>F73*D73</f>
        <v>5895</v>
      </c>
      <c r="H73" s="124"/>
      <c r="J73" s="77"/>
    </row>
    <row r="74" spans="2:11" ht="15.4" x14ac:dyDescent="0.45">
      <c r="B74" s="123" t="s">
        <v>167</v>
      </c>
      <c r="C74" s="125">
        <f>C68</f>
        <v>50000</v>
      </c>
      <c r="D74" s="128"/>
      <c r="E74" s="126">
        <f>G69</f>
        <v>728600</v>
      </c>
      <c r="F74" s="129">
        <f>Rates!L33</f>
        <v>8.6499999999999986</v>
      </c>
      <c r="G74" s="19">
        <f>F74*(E74/1000)</f>
        <v>6302.3899999999994</v>
      </c>
      <c r="H74" s="124"/>
    </row>
    <row r="75" spans="2:11" ht="15.4" x14ac:dyDescent="0.45">
      <c r="B75" s="123"/>
      <c r="C75" s="124" t="s">
        <v>171</v>
      </c>
      <c r="D75" s="23">
        <f>SUM(D73:D74)</f>
        <v>12</v>
      </c>
      <c r="E75" s="60">
        <f>SUM(E73:E74)</f>
        <v>1318000</v>
      </c>
      <c r="F75" s="1"/>
      <c r="G75" s="119">
        <f>SUM(G73:G74)</f>
        <v>12197.39</v>
      </c>
      <c r="H75" s="124"/>
    </row>
    <row r="76" spans="2:11" ht="15.4" x14ac:dyDescent="0.45">
      <c r="B76" s="123"/>
      <c r="C76" s="124"/>
      <c r="D76" s="23"/>
      <c r="E76" s="60"/>
      <c r="F76" s="1"/>
      <c r="G76" s="119"/>
      <c r="H76" s="124"/>
    </row>
    <row r="77" spans="2:11" ht="15.75" x14ac:dyDescent="0.5">
      <c r="B77" s="464" t="s">
        <v>279</v>
      </c>
      <c r="C77" s="1"/>
      <c r="D77" s="1"/>
      <c r="E77" s="1"/>
      <c r="F77" s="1"/>
      <c r="G77" s="1"/>
      <c r="H77" s="1"/>
    </row>
    <row r="78" spans="2:11" ht="15.4" x14ac:dyDescent="0.45">
      <c r="B78" s="1"/>
      <c r="C78" s="122" t="s">
        <v>170</v>
      </c>
      <c r="D78" s="122" t="s">
        <v>173</v>
      </c>
      <c r="E78" s="121" t="s">
        <v>171</v>
      </c>
      <c r="F78" s="1"/>
      <c r="G78" s="1"/>
      <c r="H78" s="1"/>
    </row>
    <row r="79" spans="2:11" ht="15.4" x14ac:dyDescent="0.45">
      <c r="B79" s="123" t="s">
        <v>280</v>
      </c>
      <c r="C79" s="23">
        <f>ExBA!C28</f>
        <v>32970000</v>
      </c>
      <c r="D79" s="37">
        <f>Whol!J78</f>
        <v>3.34</v>
      </c>
      <c r="E79" s="70">
        <f>(C79/1000)*D79</f>
        <v>110119.79999999999</v>
      </c>
      <c r="F79" s="1"/>
      <c r="G79" s="1"/>
      <c r="H79" s="1"/>
    </row>
  </sheetData>
  <mergeCells count="3">
    <mergeCell ref="B2:H2"/>
    <mergeCell ref="B3:H3"/>
    <mergeCell ref="D5:F5"/>
  </mergeCells>
  <printOptions horizontalCentered="1"/>
  <pageMargins left="0.7" right="0.7" top="0.75" bottom="0.75" header="0.3" footer="0.3"/>
  <pageSetup scale="85" fitToHeight="2" orientation="portrait" r:id="rId1"/>
  <headerFooter>
    <oddFooter>Page &amp;P of &amp;N</oddFooter>
  </headerFooter>
  <rowBreaks count="1" manualBreakCount="1">
    <brk id="49" max="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C5861-F4F5-4E6B-ADBC-A7246C0F5739}">
  <sheetPr>
    <pageSetUpPr fitToPage="1"/>
  </sheetPr>
  <dimension ref="A1:AK41"/>
  <sheetViews>
    <sheetView workbookViewId="0"/>
  </sheetViews>
  <sheetFormatPr defaultRowHeight="15" x14ac:dyDescent="0.4"/>
  <cols>
    <col min="3" max="3" width="10.88671875" customWidth="1"/>
    <col min="10" max="11" width="0" hidden="1" customWidth="1"/>
    <col min="15" max="15" width="10.33203125" customWidth="1"/>
    <col min="16" max="16" width="2.6640625" customWidth="1"/>
    <col min="17" max="17" width="9.33203125" customWidth="1"/>
    <col min="18" max="18" width="8.33203125" customWidth="1"/>
    <col min="19" max="19" width="6.88671875" style="340" customWidth="1"/>
    <col min="20" max="20" width="11.5546875" customWidth="1"/>
    <col min="21" max="21" width="6.6640625" customWidth="1"/>
    <col min="22" max="22" width="2.6640625" customWidth="1"/>
    <col min="23" max="23" width="0" hidden="1" customWidth="1"/>
    <col min="24" max="24" width="10.6640625" hidden="1" customWidth="1"/>
    <col min="25" max="25" width="9.77734375" hidden="1" customWidth="1"/>
    <col min="26" max="27" width="0" hidden="1" customWidth="1"/>
    <col min="28" max="28" width="1.44140625" customWidth="1"/>
    <col min="29" max="29" width="1.5546875" customWidth="1"/>
  </cols>
  <sheetData>
    <row r="1" spans="1:37" ht="18" x14ac:dyDescent="0.55000000000000004">
      <c r="A1" s="462" t="s">
        <v>542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36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</row>
    <row r="2" spans="1:37" ht="17.649999999999999" x14ac:dyDescent="0.7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594" t="s">
        <v>366</v>
      </c>
      <c r="S2" s="594"/>
      <c r="T2" s="594"/>
      <c r="U2" s="594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</row>
    <row r="3" spans="1:37" ht="17.649999999999999" x14ac:dyDescent="0.75">
      <c r="A3" s="60"/>
      <c r="B3" s="596" t="s">
        <v>361</v>
      </c>
      <c r="C3" s="596"/>
      <c r="D3" s="596" t="s">
        <v>362</v>
      </c>
      <c r="E3" s="596"/>
      <c r="F3" s="596" t="s">
        <v>363</v>
      </c>
      <c r="G3" s="596"/>
      <c r="H3" s="596" t="s">
        <v>364</v>
      </c>
      <c r="I3" s="596"/>
      <c r="J3" s="596" t="s">
        <v>365</v>
      </c>
      <c r="K3" s="596"/>
      <c r="L3" s="596" t="s">
        <v>374</v>
      </c>
      <c r="M3" s="596"/>
      <c r="N3" s="593" t="s">
        <v>137</v>
      </c>
      <c r="O3" s="594"/>
      <c r="P3" s="323"/>
      <c r="Q3" s="323"/>
      <c r="R3" s="559" t="s">
        <v>341</v>
      </c>
      <c r="S3" s="559"/>
      <c r="T3" s="558" t="s">
        <v>360</v>
      </c>
      <c r="U3" s="559"/>
      <c r="V3" s="323"/>
      <c r="W3" s="595" t="s">
        <v>367</v>
      </c>
      <c r="X3" s="595"/>
      <c r="Y3" s="595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</row>
    <row r="4" spans="1:37" ht="17.649999999999999" x14ac:dyDescent="0.75">
      <c r="A4" s="213" t="s">
        <v>368</v>
      </c>
      <c r="B4" s="324" t="s">
        <v>341</v>
      </c>
      <c r="C4" s="324" t="s">
        <v>360</v>
      </c>
      <c r="D4" s="324" t="s">
        <v>341</v>
      </c>
      <c r="E4" s="324" t="s">
        <v>360</v>
      </c>
      <c r="F4" s="324" t="s">
        <v>341</v>
      </c>
      <c r="G4" s="324" t="s">
        <v>360</v>
      </c>
      <c r="H4" s="324" t="s">
        <v>341</v>
      </c>
      <c r="I4" s="324" t="s">
        <v>360</v>
      </c>
      <c r="J4" s="324" t="s">
        <v>341</v>
      </c>
      <c r="K4" s="324" t="s">
        <v>360</v>
      </c>
      <c r="L4" s="324" t="s">
        <v>341</v>
      </c>
      <c r="M4" s="324" t="s">
        <v>360</v>
      </c>
      <c r="N4" s="321" t="s">
        <v>341</v>
      </c>
      <c r="O4" s="322" t="s">
        <v>360</v>
      </c>
      <c r="P4" s="322"/>
      <c r="Q4" s="322" t="s">
        <v>368</v>
      </c>
      <c r="R4" s="342" t="s">
        <v>375</v>
      </c>
      <c r="S4" s="322" t="s">
        <v>376</v>
      </c>
      <c r="T4" s="343" t="s">
        <v>19</v>
      </c>
      <c r="U4" s="322" t="s">
        <v>376</v>
      </c>
      <c r="V4" s="322"/>
      <c r="W4" s="322" t="s">
        <v>341</v>
      </c>
      <c r="X4" s="322" t="s">
        <v>360</v>
      </c>
      <c r="Y4" s="322" t="s">
        <v>369</v>
      </c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</row>
    <row r="5" spans="1:37" ht="0.95" customHeight="1" x14ac:dyDescent="0.45">
      <c r="A5" s="270" t="s">
        <v>373</v>
      </c>
      <c r="B5" s="60"/>
      <c r="C5" s="60">
        <v>0</v>
      </c>
      <c r="D5" s="60"/>
      <c r="E5" s="60">
        <f>0</f>
        <v>0</v>
      </c>
      <c r="F5" s="60">
        <v>0</v>
      </c>
      <c r="G5" s="60"/>
      <c r="H5" s="60">
        <v>0</v>
      </c>
      <c r="I5" s="60">
        <v>0</v>
      </c>
      <c r="J5" s="60"/>
      <c r="K5" s="60">
        <v>0</v>
      </c>
      <c r="L5" s="60">
        <v>0</v>
      </c>
      <c r="M5" s="60">
        <v>0</v>
      </c>
      <c r="N5" s="110">
        <f>B5+D5+F5+H5+J5+L5</f>
        <v>0</v>
      </c>
      <c r="O5" s="60">
        <f>C5+E5+G5+I5+K5+M5</f>
        <v>0</v>
      </c>
      <c r="P5" s="60"/>
      <c r="Q5" s="60">
        <v>0</v>
      </c>
      <c r="R5" s="60">
        <f>N5</f>
        <v>0</v>
      </c>
      <c r="S5" s="36">
        <f t="shared" ref="S5:S20" si="0">R5/$N$28</f>
        <v>0</v>
      </c>
      <c r="T5" s="110">
        <f>O5</f>
        <v>0</v>
      </c>
      <c r="U5" s="32">
        <f t="shared" ref="U5:U20" si="1">T5/$O$28</f>
        <v>0</v>
      </c>
      <c r="V5" s="60"/>
      <c r="W5" s="60"/>
      <c r="X5" s="60"/>
      <c r="Y5" s="60"/>
      <c r="Z5" s="60"/>
      <c r="AA5" s="60"/>
      <c r="AB5" s="341">
        <v>0</v>
      </c>
      <c r="AC5" s="341">
        <v>0</v>
      </c>
      <c r="AD5" s="60"/>
      <c r="AE5" s="60"/>
      <c r="AF5" s="60"/>
      <c r="AG5" s="60"/>
      <c r="AH5" s="60"/>
      <c r="AI5" s="60"/>
      <c r="AJ5" s="60"/>
      <c r="AK5" s="60"/>
    </row>
    <row r="6" spans="1:37" ht="15.4" x14ac:dyDescent="0.45">
      <c r="A6" s="270">
        <v>5000</v>
      </c>
      <c r="B6" s="60">
        <f>114998+12</f>
        <v>115010</v>
      </c>
      <c r="C6" s="60">
        <f>188192600+4000</f>
        <v>188196600</v>
      </c>
      <c r="D6" s="130">
        <v>408</v>
      </c>
      <c r="E6" s="130">
        <f>875400</f>
        <v>875400</v>
      </c>
      <c r="F6" s="130">
        <v>10</v>
      </c>
      <c r="G6" s="130">
        <v>28900</v>
      </c>
      <c r="H6" s="130">
        <v>340</v>
      </c>
      <c r="I6" s="130">
        <v>467800</v>
      </c>
      <c r="J6" s="130"/>
      <c r="K6" s="130"/>
      <c r="L6" s="60">
        <v>11</v>
      </c>
      <c r="M6" s="60"/>
      <c r="N6" s="110">
        <f t="shared" ref="N6:O27" si="2">B6+D6+F6+H6+J6+L6</f>
        <v>115779</v>
      </c>
      <c r="O6" s="60">
        <f t="shared" si="2"/>
        <v>189568700</v>
      </c>
      <c r="P6" s="60"/>
      <c r="Q6" s="60">
        <v>5000</v>
      </c>
      <c r="R6" s="60">
        <f>R5+N6</f>
        <v>115779</v>
      </c>
      <c r="S6" s="36">
        <f t="shared" si="0"/>
        <v>0.84721714059915998</v>
      </c>
      <c r="T6" s="110">
        <f>T5+O6</f>
        <v>189568700</v>
      </c>
      <c r="U6" s="32">
        <f t="shared" si="1"/>
        <v>0.46388263397679125</v>
      </c>
      <c r="V6" s="60"/>
      <c r="W6" s="60"/>
      <c r="X6" s="60"/>
      <c r="Y6" s="60"/>
      <c r="Z6" s="60"/>
      <c r="AA6" s="60"/>
      <c r="AB6" s="60">
        <v>5000</v>
      </c>
      <c r="AC6" s="60">
        <v>189568700</v>
      </c>
      <c r="AD6" s="60"/>
      <c r="AE6" s="60"/>
      <c r="AF6" s="60"/>
      <c r="AG6" s="60"/>
      <c r="AH6" s="60"/>
      <c r="AI6" s="60"/>
      <c r="AJ6" s="60"/>
      <c r="AK6" s="60"/>
    </row>
    <row r="7" spans="1:37" ht="15.4" x14ac:dyDescent="0.45">
      <c r="A7" s="60">
        <v>10000</v>
      </c>
      <c r="B7" s="60">
        <v>15045</v>
      </c>
      <c r="C7" s="60">
        <v>102390800</v>
      </c>
      <c r="D7" s="130">
        <v>141</v>
      </c>
      <c r="E7" s="130">
        <v>968600</v>
      </c>
      <c r="F7" s="130">
        <v>2</v>
      </c>
      <c r="G7" s="130">
        <v>13200</v>
      </c>
      <c r="H7" s="130">
        <v>75</v>
      </c>
      <c r="I7" s="130">
        <v>546700</v>
      </c>
      <c r="J7" s="130"/>
      <c r="K7" s="130"/>
      <c r="L7" s="60"/>
      <c r="M7" s="60"/>
      <c r="N7" s="110">
        <f t="shared" si="2"/>
        <v>15263</v>
      </c>
      <c r="O7" s="130">
        <f t="shared" si="2"/>
        <v>103919300</v>
      </c>
      <c r="P7" s="130"/>
      <c r="Q7" s="130">
        <v>10000</v>
      </c>
      <c r="R7" s="130">
        <f t="shared" ref="R7:R20" si="3">R6+N7</f>
        <v>131042</v>
      </c>
      <c r="S7" s="32">
        <f t="shared" si="0"/>
        <v>0.9589047110304556</v>
      </c>
      <c r="T7" s="110">
        <f t="shared" ref="T7:T20" si="4">T6+O7</f>
        <v>293488000</v>
      </c>
      <c r="U7" s="32">
        <f t="shared" si="1"/>
        <v>0.71817756032815816</v>
      </c>
      <c r="V7" s="60"/>
      <c r="W7" s="60">
        <f>SUM(N5:N7)</f>
        <v>131042</v>
      </c>
      <c r="X7" s="60">
        <f>SUM(O5:O7)</f>
        <v>293488000</v>
      </c>
      <c r="Y7" s="60">
        <f>X7/W7</f>
        <v>2239.6483570153082</v>
      </c>
      <c r="Z7" s="81">
        <f>X7/$O$28</f>
        <v>0.71817756032815816</v>
      </c>
      <c r="AA7" s="81"/>
      <c r="AB7" s="60">
        <v>10000</v>
      </c>
      <c r="AC7" s="60">
        <v>293488000</v>
      </c>
      <c r="AD7" s="60"/>
      <c r="AE7" s="60"/>
      <c r="AF7" s="60"/>
      <c r="AG7" s="60"/>
      <c r="AH7" s="60"/>
      <c r="AI7" s="60"/>
      <c r="AJ7" s="60"/>
      <c r="AK7" s="60"/>
    </row>
    <row r="8" spans="1:37" ht="15.4" x14ac:dyDescent="0.45">
      <c r="A8" s="60">
        <f t="shared" ref="A8:A26" si="5">+A7+5000</f>
        <v>15000</v>
      </c>
      <c r="B8" s="60">
        <v>2950</v>
      </c>
      <c r="C8" s="60">
        <v>35724000</v>
      </c>
      <c r="D8" s="130">
        <v>34</v>
      </c>
      <c r="E8" s="130">
        <v>400800</v>
      </c>
      <c r="F8" s="130"/>
      <c r="G8" s="130"/>
      <c r="H8" s="130">
        <v>21</v>
      </c>
      <c r="I8" s="130">
        <v>326200</v>
      </c>
      <c r="J8" s="130"/>
      <c r="K8" s="130"/>
      <c r="L8" s="60"/>
      <c r="M8" s="60"/>
      <c r="N8" s="110">
        <f t="shared" si="2"/>
        <v>3005</v>
      </c>
      <c r="O8" s="130">
        <f t="shared" si="2"/>
        <v>36451000</v>
      </c>
      <c r="P8" s="130"/>
      <c r="Q8" s="130">
        <v>15000</v>
      </c>
      <c r="R8" s="130">
        <f t="shared" si="3"/>
        <v>134047</v>
      </c>
      <c r="S8" s="32">
        <f t="shared" si="0"/>
        <v>0.98089391034553408</v>
      </c>
      <c r="T8" s="110">
        <f t="shared" si="4"/>
        <v>329939000</v>
      </c>
      <c r="U8" s="32">
        <f t="shared" si="1"/>
        <v>0.80737470042084236</v>
      </c>
      <c r="V8" s="60"/>
      <c r="W8" s="60"/>
      <c r="X8" s="60"/>
      <c r="Y8" s="60"/>
      <c r="Z8" s="60"/>
      <c r="AA8" s="60"/>
      <c r="AB8" s="60">
        <v>15000</v>
      </c>
      <c r="AC8" s="60">
        <v>329939000</v>
      </c>
      <c r="AD8" s="60"/>
      <c r="AE8" s="60"/>
      <c r="AF8" s="60"/>
      <c r="AG8" s="60"/>
      <c r="AH8" s="60"/>
      <c r="AI8" s="60"/>
      <c r="AJ8" s="60"/>
      <c r="AK8" s="60"/>
    </row>
    <row r="9" spans="1:37" ht="15.4" x14ac:dyDescent="0.45">
      <c r="A9" s="60">
        <f t="shared" si="5"/>
        <v>20000</v>
      </c>
      <c r="B9" s="60">
        <v>993</v>
      </c>
      <c r="C9" s="60">
        <v>17275500</v>
      </c>
      <c r="D9" s="130">
        <v>19</v>
      </c>
      <c r="E9" s="130">
        <v>328400</v>
      </c>
      <c r="F9" s="130"/>
      <c r="G9" s="130"/>
      <c r="H9" s="130">
        <v>33</v>
      </c>
      <c r="I9" s="130">
        <v>625500</v>
      </c>
      <c r="J9" s="130"/>
      <c r="K9" s="130"/>
      <c r="L9" s="60"/>
      <c r="M9" s="60"/>
      <c r="N9" s="110">
        <f t="shared" si="2"/>
        <v>1045</v>
      </c>
      <c r="O9" s="130">
        <f t="shared" si="2"/>
        <v>18229400</v>
      </c>
      <c r="P9" s="130"/>
      <c r="Q9" s="130">
        <v>20000</v>
      </c>
      <c r="R9" s="130">
        <f t="shared" si="3"/>
        <v>135092</v>
      </c>
      <c r="S9" s="32">
        <f t="shared" si="0"/>
        <v>0.98854073672964626</v>
      </c>
      <c r="T9" s="110">
        <f t="shared" si="4"/>
        <v>348168400</v>
      </c>
      <c r="U9" s="32">
        <f t="shared" si="1"/>
        <v>0.85198281393228448</v>
      </c>
      <c r="V9" s="60"/>
      <c r="W9" s="60"/>
      <c r="X9" s="60"/>
      <c r="Y9" s="60"/>
      <c r="Z9" s="60"/>
      <c r="AA9" s="60"/>
      <c r="AB9" s="60">
        <v>20000</v>
      </c>
      <c r="AC9" s="60">
        <v>348168400</v>
      </c>
      <c r="AD9" s="60"/>
      <c r="AE9" s="60"/>
      <c r="AF9" s="60"/>
      <c r="AG9" s="60"/>
      <c r="AH9" s="60"/>
      <c r="AI9" s="60"/>
      <c r="AJ9" s="60"/>
      <c r="AK9" s="60"/>
    </row>
    <row r="10" spans="1:37" ht="15.4" x14ac:dyDescent="0.45">
      <c r="A10" s="60">
        <f t="shared" si="5"/>
        <v>25000</v>
      </c>
      <c r="B10" s="60">
        <v>481</v>
      </c>
      <c r="C10" s="60">
        <v>10780000</v>
      </c>
      <c r="D10" s="130">
        <v>6</v>
      </c>
      <c r="E10" s="130">
        <v>130800</v>
      </c>
      <c r="F10" s="130"/>
      <c r="G10" s="130"/>
      <c r="H10" s="130">
        <v>22</v>
      </c>
      <c r="I10" s="130">
        <v>611000</v>
      </c>
      <c r="J10" s="130"/>
      <c r="K10" s="130"/>
      <c r="L10" s="60"/>
      <c r="M10" s="60"/>
      <c r="N10" s="110">
        <f t="shared" si="2"/>
        <v>509</v>
      </c>
      <c r="O10" s="130">
        <f t="shared" si="2"/>
        <v>11521800</v>
      </c>
      <c r="P10" s="130"/>
      <c r="Q10" s="130">
        <v>25000</v>
      </c>
      <c r="R10" s="130">
        <f t="shared" si="3"/>
        <v>135601</v>
      </c>
      <c r="S10" s="32">
        <f t="shared" si="0"/>
        <v>0.99226536316937175</v>
      </c>
      <c r="T10" s="110">
        <f t="shared" si="4"/>
        <v>359690200</v>
      </c>
      <c r="U10" s="32">
        <f t="shared" si="1"/>
        <v>0.88017714628859534</v>
      </c>
      <c r="V10" s="60"/>
      <c r="W10" s="60"/>
      <c r="X10" s="60"/>
      <c r="Y10" s="60"/>
      <c r="Z10" s="60"/>
      <c r="AA10" s="60"/>
      <c r="AB10" s="60">
        <v>25000</v>
      </c>
      <c r="AC10" s="60">
        <v>359690200</v>
      </c>
      <c r="AD10" s="60"/>
      <c r="AE10" s="60"/>
      <c r="AF10" s="60"/>
      <c r="AG10" s="60"/>
      <c r="AH10" s="60"/>
      <c r="AI10" s="60"/>
      <c r="AJ10" s="60"/>
      <c r="AK10" s="60"/>
    </row>
    <row r="11" spans="1:37" ht="15.4" x14ac:dyDescent="0.45">
      <c r="A11" s="60">
        <f t="shared" si="5"/>
        <v>30000</v>
      </c>
      <c r="B11" s="60">
        <v>283</v>
      </c>
      <c r="C11" s="60">
        <v>7809200</v>
      </c>
      <c r="D11" s="130">
        <v>3</v>
      </c>
      <c r="E11" s="130">
        <v>85700</v>
      </c>
      <c r="F11" s="130"/>
      <c r="G11" s="130"/>
      <c r="H11" s="130">
        <v>16</v>
      </c>
      <c r="I11" s="130">
        <v>567800</v>
      </c>
      <c r="J11" s="130"/>
      <c r="K11" s="130"/>
      <c r="L11" s="60"/>
      <c r="M11" s="60"/>
      <c r="N11" s="110">
        <f t="shared" si="2"/>
        <v>302</v>
      </c>
      <c r="O11" s="130">
        <f t="shared" si="2"/>
        <v>8462700</v>
      </c>
      <c r="P11" s="130"/>
      <c r="Q11" s="130">
        <v>30000</v>
      </c>
      <c r="R11" s="130">
        <f t="shared" si="3"/>
        <v>135903</v>
      </c>
      <c r="S11" s="32">
        <f t="shared" si="0"/>
        <v>0.99447525940669412</v>
      </c>
      <c r="T11" s="110">
        <f t="shared" si="4"/>
        <v>368152900</v>
      </c>
      <c r="U11" s="32">
        <f t="shared" si="1"/>
        <v>0.90088573144297679</v>
      </c>
      <c r="V11" s="60"/>
      <c r="W11" s="60"/>
      <c r="X11" s="60"/>
      <c r="Y11" s="60"/>
      <c r="Z11" s="60"/>
      <c r="AA11" s="60"/>
      <c r="AB11" s="60">
        <v>30000</v>
      </c>
      <c r="AC11" s="60">
        <v>368152900</v>
      </c>
      <c r="AD11" s="60"/>
      <c r="AE11" s="60"/>
      <c r="AF11" s="60"/>
      <c r="AG11" s="60"/>
      <c r="AH11" s="60"/>
      <c r="AI11" s="60"/>
      <c r="AJ11" s="60"/>
      <c r="AK11" s="60"/>
    </row>
    <row r="12" spans="1:37" ht="15.4" x14ac:dyDescent="0.45">
      <c r="A12" s="60">
        <f t="shared" si="5"/>
        <v>35000</v>
      </c>
      <c r="B12" s="60">
        <v>170</v>
      </c>
      <c r="C12" s="60">
        <v>5492100</v>
      </c>
      <c r="D12" s="130">
        <v>1</v>
      </c>
      <c r="E12" s="130">
        <v>33800</v>
      </c>
      <c r="F12" s="130"/>
      <c r="G12" s="130"/>
      <c r="H12" s="130">
        <v>14</v>
      </c>
      <c r="I12" s="130">
        <v>459400</v>
      </c>
      <c r="J12" s="130"/>
      <c r="K12" s="130"/>
      <c r="L12" s="60"/>
      <c r="M12" s="60"/>
      <c r="N12" s="110">
        <f t="shared" si="2"/>
        <v>185</v>
      </c>
      <c r="O12" s="130">
        <f t="shared" si="2"/>
        <v>5985300</v>
      </c>
      <c r="P12" s="130"/>
      <c r="Q12" s="130">
        <v>35000</v>
      </c>
      <c r="R12" s="130">
        <f t="shared" si="3"/>
        <v>136088</v>
      </c>
      <c r="S12" s="32">
        <f t="shared" si="0"/>
        <v>0.99582900379048422</v>
      </c>
      <c r="T12" s="110">
        <f t="shared" si="4"/>
        <v>374138200</v>
      </c>
      <c r="U12" s="32">
        <f t="shared" si="1"/>
        <v>0.91553201392073447</v>
      </c>
      <c r="V12" s="60"/>
      <c r="W12" s="60"/>
      <c r="X12" s="60"/>
      <c r="Y12" s="60"/>
      <c r="Z12" s="60"/>
      <c r="AA12" s="60"/>
      <c r="AB12" s="60">
        <v>35000</v>
      </c>
      <c r="AC12" s="60">
        <v>374138200</v>
      </c>
      <c r="AD12" s="60"/>
      <c r="AE12" s="60"/>
      <c r="AF12" s="60"/>
      <c r="AG12" s="60"/>
      <c r="AH12" s="60"/>
      <c r="AI12" s="60"/>
      <c r="AJ12" s="60"/>
      <c r="AK12" s="60"/>
    </row>
    <row r="13" spans="1:37" ht="15.4" x14ac:dyDescent="0.45">
      <c r="A13" s="60">
        <f t="shared" si="5"/>
        <v>40000</v>
      </c>
      <c r="B13" s="60">
        <v>98</v>
      </c>
      <c r="C13" s="60">
        <v>3660400</v>
      </c>
      <c r="D13" s="60">
        <v>3</v>
      </c>
      <c r="E13" s="60">
        <v>116000</v>
      </c>
      <c r="F13" s="60"/>
      <c r="G13" s="60"/>
      <c r="H13" s="60">
        <v>7</v>
      </c>
      <c r="I13" s="60">
        <v>327900</v>
      </c>
      <c r="J13" s="60"/>
      <c r="K13" s="60"/>
      <c r="L13" s="60"/>
      <c r="M13" s="60">
        <v>39400</v>
      </c>
      <c r="N13" s="110">
        <f t="shared" si="2"/>
        <v>108</v>
      </c>
      <c r="O13" s="130">
        <f t="shared" si="2"/>
        <v>4143700</v>
      </c>
      <c r="P13" s="130"/>
      <c r="Q13" s="130">
        <v>40000</v>
      </c>
      <c r="R13" s="130">
        <f t="shared" si="3"/>
        <v>136196</v>
      </c>
      <c r="S13" s="32">
        <f t="shared" si="0"/>
        <v>0.99661929780912939</v>
      </c>
      <c r="T13" s="110">
        <f t="shared" si="4"/>
        <v>378281900</v>
      </c>
      <c r="U13" s="32">
        <f t="shared" si="1"/>
        <v>0.9256718232374076</v>
      </c>
      <c r="V13" s="60"/>
      <c r="W13" s="60"/>
      <c r="X13" s="60"/>
      <c r="Y13" s="60"/>
      <c r="Z13" s="60"/>
      <c r="AA13" s="60"/>
      <c r="AB13" s="60">
        <v>40000</v>
      </c>
      <c r="AC13" s="60">
        <v>378281900</v>
      </c>
      <c r="AD13" s="60"/>
      <c r="AE13" s="60"/>
      <c r="AF13" s="60"/>
      <c r="AG13" s="60"/>
      <c r="AH13" s="60"/>
      <c r="AI13" s="60"/>
      <c r="AJ13" s="60"/>
      <c r="AK13" s="60"/>
    </row>
    <row r="14" spans="1:37" ht="15.4" x14ac:dyDescent="0.45">
      <c r="A14" s="60">
        <f t="shared" si="5"/>
        <v>45000</v>
      </c>
      <c r="B14" s="60">
        <v>83</v>
      </c>
      <c r="C14" s="60">
        <v>3508800</v>
      </c>
      <c r="D14" s="60">
        <v>2</v>
      </c>
      <c r="E14" s="60">
        <v>84800</v>
      </c>
      <c r="F14" s="60"/>
      <c r="G14" s="60"/>
      <c r="H14" s="60">
        <v>7</v>
      </c>
      <c r="I14" s="60">
        <v>375100</v>
      </c>
      <c r="J14" s="60"/>
      <c r="K14" s="60"/>
      <c r="L14" s="60"/>
      <c r="M14" s="60"/>
      <c r="N14" s="110">
        <f t="shared" si="2"/>
        <v>92</v>
      </c>
      <c r="O14" s="130">
        <f t="shared" si="2"/>
        <v>3968700</v>
      </c>
      <c r="P14" s="130"/>
      <c r="Q14" s="130">
        <v>45000</v>
      </c>
      <c r="R14" s="130">
        <f t="shared" si="3"/>
        <v>136288</v>
      </c>
      <c r="S14" s="32">
        <f t="shared" si="0"/>
        <v>0.99729251123241958</v>
      </c>
      <c r="T14" s="110">
        <f t="shared" si="4"/>
        <v>382250600</v>
      </c>
      <c r="U14" s="32">
        <f t="shared" si="1"/>
        <v>0.93538340014574584</v>
      </c>
      <c r="V14" s="60"/>
      <c r="W14" s="60"/>
      <c r="X14" s="60"/>
      <c r="Y14" s="60"/>
      <c r="Z14" s="60"/>
      <c r="AA14" s="60"/>
      <c r="AB14" s="60">
        <v>45000</v>
      </c>
      <c r="AC14" s="60">
        <v>382250600</v>
      </c>
      <c r="AD14" s="60"/>
      <c r="AE14" s="60"/>
      <c r="AF14" s="60"/>
      <c r="AG14" s="60"/>
      <c r="AH14" s="60"/>
      <c r="AI14" s="60"/>
      <c r="AJ14" s="60"/>
      <c r="AK14" s="60"/>
    </row>
    <row r="15" spans="1:37" ht="15.4" x14ac:dyDescent="0.45">
      <c r="A15" s="60">
        <f t="shared" si="5"/>
        <v>50000</v>
      </c>
      <c r="B15" s="60">
        <v>59</v>
      </c>
      <c r="C15" s="60">
        <v>2806100</v>
      </c>
      <c r="D15" s="60">
        <v>3</v>
      </c>
      <c r="E15" s="60">
        <v>144600</v>
      </c>
      <c r="F15" s="60"/>
      <c r="G15" s="60"/>
      <c r="H15" s="60">
        <v>10</v>
      </c>
      <c r="I15" s="60">
        <v>481400</v>
      </c>
      <c r="J15" s="60"/>
      <c r="K15" s="60"/>
      <c r="L15" s="60"/>
      <c r="M15" s="60"/>
      <c r="N15" s="110">
        <f t="shared" si="2"/>
        <v>72</v>
      </c>
      <c r="O15" s="130">
        <f t="shared" si="2"/>
        <v>3432100</v>
      </c>
      <c r="P15" s="130"/>
      <c r="Q15" s="130">
        <v>50000</v>
      </c>
      <c r="R15" s="130">
        <f t="shared" si="3"/>
        <v>136360</v>
      </c>
      <c r="S15" s="32">
        <f t="shared" si="0"/>
        <v>0.99781937391151632</v>
      </c>
      <c r="T15" s="110">
        <f t="shared" si="4"/>
        <v>385682700</v>
      </c>
      <c r="U15" s="32">
        <f t="shared" si="1"/>
        <v>0.94378189413801217</v>
      </c>
      <c r="V15" s="60"/>
      <c r="W15" s="60"/>
      <c r="X15" s="60"/>
      <c r="Y15" s="60"/>
      <c r="Z15" s="60"/>
      <c r="AA15" s="60"/>
      <c r="AB15" s="60">
        <v>50000</v>
      </c>
      <c r="AC15" s="60">
        <v>385682700</v>
      </c>
      <c r="AD15" s="60"/>
      <c r="AE15" s="60"/>
      <c r="AF15" s="60"/>
      <c r="AG15" s="60"/>
      <c r="AH15" s="60"/>
      <c r="AI15" s="60"/>
      <c r="AJ15" s="60"/>
      <c r="AK15" s="60"/>
    </row>
    <row r="16" spans="1:37" ht="15.4" x14ac:dyDescent="0.45">
      <c r="A16" s="60">
        <f t="shared" si="5"/>
        <v>55000</v>
      </c>
      <c r="B16" s="60">
        <v>42</v>
      </c>
      <c r="C16" s="60">
        <v>2353600</v>
      </c>
      <c r="D16" s="60">
        <v>6</v>
      </c>
      <c r="E16" s="60">
        <v>310300</v>
      </c>
      <c r="F16" s="60"/>
      <c r="G16" s="60"/>
      <c r="H16" s="60">
        <v>6</v>
      </c>
      <c r="I16" s="60">
        <v>469900</v>
      </c>
      <c r="J16" s="60"/>
      <c r="K16" s="60"/>
      <c r="L16" s="60"/>
      <c r="M16" s="60"/>
      <c r="N16" s="110">
        <f t="shared" si="2"/>
        <v>54</v>
      </c>
      <c r="O16" s="130">
        <f t="shared" si="2"/>
        <v>3133800</v>
      </c>
      <c r="P16" s="130"/>
      <c r="Q16" s="130">
        <v>55000</v>
      </c>
      <c r="R16" s="130">
        <f t="shared" si="3"/>
        <v>136414</v>
      </c>
      <c r="S16" s="32">
        <f t="shared" si="0"/>
        <v>0.99821452092083884</v>
      </c>
      <c r="T16" s="110">
        <f t="shared" si="4"/>
        <v>388816500</v>
      </c>
      <c r="U16" s="32">
        <f t="shared" si="1"/>
        <v>0.95145043540224239</v>
      </c>
      <c r="V16" s="60"/>
      <c r="W16" s="60"/>
      <c r="X16" s="60"/>
      <c r="Y16" s="60"/>
      <c r="Z16" s="60"/>
      <c r="AA16" s="60"/>
      <c r="AB16" s="60">
        <v>55000</v>
      </c>
      <c r="AC16" s="60">
        <v>388816500</v>
      </c>
      <c r="AD16" s="60"/>
      <c r="AE16" s="60"/>
      <c r="AF16" s="60"/>
      <c r="AG16" s="60"/>
      <c r="AH16" s="60"/>
      <c r="AI16" s="60"/>
      <c r="AJ16" s="60"/>
      <c r="AK16" s="60"/>
    </row>
    <row r="17" spans="1:37" ht="15.4" x14ac:dyDescent="0.45">
      <c r="A17" s="60">
        <f t="shared" si="5"/>
        <v>60000</v>
      </c>
      <c r="B17" s="60">
        <v>29</v>
      </c>
      <c r="C17" s="60">
        <v>1852400</v>
      </c>
      <c r="D17" s="60">
        <v>2</v>
      </c>
      <c r="E17" s="60">
        <v>114800</v>
      </c>
      <c r="F17" s="60"/>
      <c r="G17" s="60"/>
      <c r="H17" s="60">
        <v>1</v>
      </c>
      <c r="I17" s="60">
        <v>59600</v>
      </c>
      <c r="J17" s="60"/>
      <c r="K17" s="60"/>
      <c r="L17" s="60"/>
      <c r="M17" s="60"/>
      <c r="N17" s="110">
        <f t="shared" si="2"/>
        <v>32</v>
      </c>
      <c r="O17" s="130">
        <f t="shared" si="2"/>
        <v>2026800</v>
      </c>
      <c r="P17" s="130"/>
      <c r="Q17" s="130">
        <v>60000</v>
      </c>
      <c r="R17" s="130">
        <f t="shared" si="3"/>
        <v>136446</v>
      </c>
      <c r="S17" s="32">
        <f t="shared" si="0"/>
        <v>0.99844868211154858</v>
      </c>
      <c r="T17" s="110">
        <f t="shared" si="4"/>
        <v>390843300</v>
      </c>
      <c r="U17" s="32">
        <f t="shared" si="1"/>
        <v>0.95641010080346189</v>
      </c>
      <c r="V17" s="60"/>
      <c r="W17" s="60"/>
      <c r="X17" s="60"/>
      <c r="Y17" s="60"/>
      <c r="Z17" s="60"/>
      <c r="AA17" s="60"/>
      <c r="AB17" s="60">
        <v>60000</v>
      </c>
      <c r="AC17" s="60">
        <v>390843300</v>
      </c>
      <c r="AD17" s="60"/>
      <c r="AE17" s="60"/>
      <c r="AF17" s="60"/>
      <c r="AG17" s="60"/>
      <c r="AH17" s="60"/>
      <c r="AI17" s="60"/>
      <c r="AJ17" s="60"/>
      <c r="AK17" s="60"/>
    </row>
    <row r="18" spans="1:37" ht="15.4" x14ac:dyDescent="0.45">
      <c r="A18" s="60">
        <f t="shared" si="5"/>
        <v>65000</v>
      </c>
      <c r="B18" s="60">
        <v>33</v>
      </c>
      <c r="C18" s="60">
        <v>2310200</v>
      </c>
      <c r="D18" s="60">
        <v>4</v>
      </c>
      <c r="E18" s="60">
        <v>252000</v>
      </c>
      <c r="F18" s="60"/>
      <c r="G18" s="60"/>
      <c r="H18" s="60">
        <v>7</v>
      </c>
      <c r="I18" s="60">
        <v>433900</v>
      </c>
      <c r="J18" s="60"/>
      <c r="K18" s="60"/>
      <c r="L18" s="60"/>
      <c r="M18" s="60"/>
      <c r="N18" s="110">
        <f t="shared" si="2"/>
        <v>44</v>
      </c>
      <c r="O18" s="130">
        <f t="shared" si="2"/>
        <v>2996100</v>
      </c>
      <c r="P18" s="130"/>
      <c r="Q18" s="130">
        <v>65000</v>
      </c>
      <c r="R18" s="130">
        <f t="shared" si="3"/>
        <v>136490</v>
      </c>
      <c r="S18" s="32">
        <f t="shared" si="0"/>
        <v>0.99877065374877427</v>
      </c>
      <c r="T18" s="110">
        <f t="shared" si="4"/>
        <v>393839400</v>
      </c>
      <c r="U18" s="32">
        <f t="shared" si="1"/>
        <v>0.96374168433839069</v>
      </c>
      <c r="V18" s="60"/>
      <c r="W18" s="60"/>
      <c r="X18" s="60"/>
      <c r="Y18" s="60"/>
      <c r="Z18" s="60"/>
      <c r="AA18" s="60"/>
      <c r="AB18" s="60">
        <v>65000</v>
      </c>
      <c r="AC18" s="60">
        <v>393839400</v>
      </c>
      <c r="AD18" s="60"/>
      <c r="AE18" s="60"/>
      <c r="AF18" s="60"/>
      <c r="AG18" s="60"/>
      <c r="AH18" s="60"/>
      <c r="AI18" s="60"/>
      <c r="AJ18" s="60"/>
      <c r="AK18" s="60"/>
    </row>
    <row r="19" spans="1:37" ht="15.4" x14ac:dyDescent="0.45">
      <c r="A19" s="60">
        <f t="shared" si="5"/>
        <v>70000</v>
      </c>
      <c r="B19" s="60">
        <v>29</v>
      </c>
      <c r="C19" s="60">
        <v>2090300</v>
      </c>
      <c r="D19" s="60">
        <v>0</v>
      </c>
      <c r="E19" s="60">
        <v>0</v>
      </c>
      <c r="F19" s="60"/>
      <c r="G19" s="60"/>
      <c r="H19" s="60">
        <v>2</v>
      </c>
      <c r="I19" s="60">
        <v>134000</v>
      </c>
      <c r="J19" s="60"/>
      <c r="K19" s="60"/>
      <c r="L19" s="60"/>
      <c r="M19" s="60"/>
      <c r="N19" s="110">
        <f t="shared" si="2"/>
        <v>31</v>
      </c>
      <c r="O19" s="130">
        <f t="shared" si="2"/>
        <v>2224300</v>
      </c>
      <c r="P19" s="130"/>
      <c r="Q19" s="130">
        <v>70000</v>
      </c>
      <c r="R19" s="130">
        <f t="shared" si="3"/>
        <v>136521</v>
      </c>
      <c r="S19" s="32">
        <f t="shared" si="0"/>
        <v>0.99899749740227428</v>
      </c>
      <c r="T19" s="110">
        <f t="shared" si="4"/>
        <v>396063700</v>
      </c>
      <c r="U19" s="32">
        <f t="shared" si="1"/>
        <v>0.96918464060044551</v>
      </c>
      <c r="V19" s="60"/>
      <c r="W19" s="60"/>
      <c r="X19" s="60"/>
      <c r="Y19" s="60"/>
      <c r="Z19" s="60"/>
      <c r="AA19" s="60"/>
      <c r="AB19" s="60">
        <v>70000</v>
      </c>
      <c r="AC19" s="60">
        <v>396063700</v>
      </c>
      <c r="AD19" s="60"/>
      <c r="AE19" s="60"/>
      <c r="AF19" s="60"/>
      <c r="AG19" s="60"/>
      <c r="AH19" s="60"/>
      <c r="AI19" s="60"/>
      <c r="AJ19" s="60"/>
      <c r="AK19" s="60"/>
    </row>
    <row r="20" spans="1:37" ht="15.4" x14ac:dyDescent="0.45">
      <c r="A20" s="60">
        <f t="shared" si="5"/>
        <v>75000</v>
      </c>
      <c r="B20" s="60">
        <v>16</v>
      </c>
      <c r="C20" s="60">
        <v>1225000</v>
      </c>
      <c r="D20" s="60">
        <v>0</v>
      </c>
      <c r="E20" s="60">
        <v>0</v>
      </c>
      <c r="F20" s="60"/>
      <c r="G20" s="60"/>
      <c r="H20" s="60">
        <v>8</v>
      </c>
      <c r="I20" s="60">
        <v>727300</v>
      </c>
      <c r="J20" s="60"/>
      <c r="K20" s="60"/>
      <c r="L20" s="60"/>
      <c r="M20" s="60"/>
      <c r="N20" s="110">
        <f t="shared" si="2"/>
        <v>24</v>
      </c>
      <c r="O20" s="130">
        <f t="shared" si="2"/>
        <v>1952300</v>
      </c>
      <c r="P20" s="130"/>
      <c r="Q20" s="130">
        <v>75000</v>
      </c>
      <c r="R20" s="130">
        <f t="shared" si="3"/>
        <v>136545</v>
      </c>
      <c r="S20" s="32">
        <f t="shared" si="0"/>
        <v>0.99917311829530653</v>
      </c>
      <c r="T20" s="110">
        <f t="shared" si="4"/>
        <v>398016000</v>
      </c>
      <c r="U20" s="32">
        <f t="shared" si="1"/>
        <v>0.97396200134783095</v>
      </c>
      <c r="V20" s="60"/>
      <c r="W20" s="60">
        <f>SUM(N8:N20)</f>
        <v>5503</v>
      </c>
      <c r="X20" s="60">
        <f>SUM(O8:O20)</f>
        <v>104528000</v>
      </c>
      <c r="Y20" s="60">
        <f>X20/W20</f>
        <v>18994.73014719244</v>
      </c>
      <c r="Z20" s="81">
        <f>X20/$O$28</f>
        <v>0.25578444101967274</v>
      </c>
      <c r="AA20" s="81"/>
      <c r="AB20" s="60">
        <v>75000</v>
      </c>
      <c r="AC20" s="60">
        <v>398016000</v>
      </c>
      <c r="AD20" s="60"/>
      <c r="AE20" s="60"/>
      <c r="AF20" s="60"/>
      <c r="AG20" s="60"/>
      <c r="AH20" s="60"/>
      <c r="AI20" s="60"/>
      <c r="AJ20" s="60"/>
      <c r="AK20" s="60"/>
    </row>
    <row r="21" spans="1:37" ht="15.4" x14ac:dyDescent="0.45">
      <c r="A21" s="60">
        <f t="shared" si="5"/>
        <v>80000</v>
      </c>
      <c r="B21" s="60">
        <v>14</v>
      </c>
      <c r="C21" s="60">
        <v>1075800</v>
      </c>
      <c r="D21" s="60">
        <v>3</v>
      </c>
      <c r="E21" s="60">
        <v>232600</v>
      </c>
      <c r="F21" s="60"/>
      <c r="G21" s="60"/>
      <c r="H21" s="60">
        <v>3</v>
      </c>
      <c r="I21" s="60">
        <v>232000</v>
      </c>
      <c r="J21" s="60"/>
      <c r="K21" s="60"/>
      <c r="L21" s="60"/>
      <c r="M21" s="60">
        <v>156500</v>
      </c>
      <c r="N21" s="110">
        <f t="shared" ref="N21:N26" si="6">B21+D21+F21+H21+J21+L21</f>
        <v>20</v>
      </c>
      <c r="O21" s="130">
        <f t="shared" ref="O21:O26" si="7">C21+E21+G21+I21+K21+M21</f>
        <v>1696900</v>
      </c>
      <c r="P21" s="130"/>
      <c r="Q21" s="130">
        <f>A21</f>
        <v>80000</v>
      </c>
      <c r="R21" s="130">
        <f t="shared" ref="R21:R27" si="8">R20+N21</f>
        <v>136565</v>
      </c>
      <c r="S21" s="32">
        <f t="shared" ref="S21:S27" si="9">R21/$N$28</f>
        <v>0.99931946903950009</v>
      </c>
      <c r="T21" s="110">
        <f t="shared" ref="T21:T27" si="10">T20+O21</f>
        <v>399712900</v>
      </c>
      <c r="U21" s="32">
        <f t="shared" ref="U21:U27" si="11">T21/$O$28</f>
        <v>0.97811438748328061</v>
      </c>
      <c r="V21" s="60"/>
      <c r="W21" s="60"/>
      <c r="X21" s="60"/>
      <c r="Y21" s="60"/>
      <c r="Z21" s="81"/>
      <c r="AA21" s="81"/>
      <c r="AB21" s="60">
        <v>80000</v>
      </c>
      <c r="AC21" s="60">
        <v>399712900</v>
      </c>
      <c r="AD21" s="60"/>
      <c r="AE21" s="60"/>
      <c r="AF21" s="60"/>
      <c r="AG21" s="60"/>
      <c r="AH21" s="60"/>
      <c r="AI21" s="60"/>
      <c r="AJ21" s="60"/>
      <c r="AK21" s="60"/>
    </row>
    <row r="22" spans="1:37" ht="15.4" x14ac:dyDescent="0.45">
      <c r="A22" s="60">
        <f t="shared" si="5"/>
        <v>85000</v>
      </c>
      <c r="B22" s="60">
        <v>8</v>
      </c>
      <c r="C22" s="60">
        <v>654900</v>
      </c>
      <c r="D22" s="60">
        <v>3</v>
      </c>
      <c r="E22" s="60">
        <v>247800</v>
      </c>
      <c r="F22" s="60"/>
      <c r="G22" s="60"/>
      <c r="H22" s="60">
        <v>8</v>
      </c>
      <c r="I22" s="60">
        <v>661700</v>
      </c>
      <c r="J22" s="60"/>
      <c r="K22" s="60"/>
      <c r="L22" s="60"/>
      <c r="M22" s="60">
        <v>0</v>
      </c>
      <c r="N22" s="110">
        <f t="shared" si="6"/>
        <v>19</v>
      </c>
      <c r="O22" s="130">
        <f t="shared" si="7"/>
        <v>1564400</v>
      </c>
      <c r="P22" s="60"/>
      <c r="Q22" s="130">
        <f t="shared" ref="Q22:Q27" si="12">A22</f>
        <v>85000</v>
      </c>
      <c r="R22" s="130">
        <f t="shared" si="8"/>
        <v>136584</v>
      </c>
      <c r="S22" s="32">
        <f t="shared" si="9"/>
        <v>0.99945850224648392</v>
      </c>
      <c r="T22" s="110">
        <f t="shared" si="10"/>
        <v>401277300</v>
      </c>
      <c r="U22" s="32">
        <f t="shared" si="11"/>
        <v>0.98194254050956231</v>
      </c>
      <c r="V22" s="60"/>
      <c r="W22" s="60"/>
      <c r="X22" s="60"/>
      <c r="Y22" s="60"/>
      <c r="Z22" s="81"/>
      <c r="AA22" s="81"/>
      <c r="AB22" s="60">
        <v>85000</v>
      </c>
      <c r="AC22" s="60">
        <v>401277300</v>
      </c>
      <c r="AD22" s="60"/>
      <c r="AE22" s="60"/>
      <c r="AF22" s="60"/>
      <c r="AG22" s="60"/>
      <c r="AH22" s="60"/>
      <c r="AI22" s="60"/>
      <c r="AJ22" s="60"/>
      <c r="AK22" s="60"/>
    </row>
    <row r="23" spans="1:37" ht="15.4" x14ac:dyDescent="0.45">
      <c r="A23" s="60">
        <f t="shared" si="5"/>
        <v>90000</v>
      </c>
      <c r="B23" s="60">
        <v>15</v>
      </c>
      <c r="C23" s="60">
        <v>1309800</v>
      </c>
      <c r="D23" s="60">
        <v>5</v>
      </c>
      <c r="E23" s="60">
        <v>433500</v>
      </c>
      <c r="F23" s="60"/>
      <c r="G23" s="60"/>
      <c r="H23" s="60">
        <v>6</v>
      </c>
      <c r="I23" s="60">
        <v>522500</v>
      </c>
      <c r="J23" s="60"/>
      <c r="K23" s="60"/>
      <c r="L23" s="60"/>
      <c r="M23" s="60">
        <v>87000</v>
      </c>
      <c r="N23" s="110">
        <f t="shared" si="6"/>
        <v>26</v>
      </c>
      <c r="O23" s="130">
        <f t="shared" si="7"/>
        <v>2352800</v>
      </c>
      <c r="P23" s="60"/>
      <c r="Q23" s="130">
        <f t="shared" si="12"/>
        <v>90000</v>
      </c>
      <c r="R23" s="130">
        <f t="shared" si="8"/>
        <v>136610</v>
      </c>
      <c r="S23" s="32">
        <f t="shared" si="9"/>
        <v>0.99964875821393551</v>
      </c>
      <c r="T23" s="110">
        <f t="shared" si="10"/>
        <v>403630100</v>
      </c>
      <c r="U23" s="32">
        <f t="shared" si="11"/>
        <v>0.98769994171145159</v>
      </c>
      <c r="V23" s="60"/>
      <c r="W23" s="60"/>
      <c r="X23" s="60"/>
      <c r="Y23" s="60"/>
      <c r="Z23" s="81"/>
      <c r="AA23" s="81"/>
      <c r="AB23" s="60">
        <v>90000</v>
      </c>
      <c r="AC23" s="60">
        <v>403630100</v>
      </c>
      <c r="AD23" s="60"/>
      <c r="AE23" s="60"/>
      <c r="AF23" s="60"/>
      <c r="AG23" s="60"/>
      <c r="AH23" s="60"/>
      <c r="AI23" s="60"/>
      <c r="AJ23" s="60"/>
      <c r="AK23" s="60"/>
    </row>
    <row r="24" spans="1:37" ht="15.4" x14ac:dyDescent="0.45">
      <c r="A24" s="60">
        <f t="shared" si="5"/>
        <v>95000</v>
      </c>
      <c r="B24" s="60">
        <v>15</v>
      </c>
      <c r="C24" s="60">
        <v>1388900</v>
      </c>
      <c r="D24" s="60">
        <v>0</v>
      </c>
      <c r="E24" s="60">
        <v>0</v>
      </c>
      <c r="F24" s="60"/>
      <c r="G24" s="60"/>
      <c r="H24" s="60">
        <v>4</v>
      </c>
      <c r="I24" s="60">
        <v>366200</v>
      </c>
      <c r="J24" s="60"/>
      <c r="K24" s="60"/>
      <c r="L24" s="60"/>
      <c r="M24" s="60">
        <v>90700</v>
      </c>
      <c r="N24" s="110">
        <f t="shared" si="6"/>
        <v>19</v>
      </c>
      <c r="O24" s="130">
        <f t="shared" si="7"/>
        <v>1845800</v>
      </c>
      <c r="P24" s="60"/>
      <c r="Q24" s="130">
        <f t="shared" si="12"/>
        <v>95000</v>
      </c>
      <c r="R24" s="130">
        <f t="shared" si="8"/>
        <v>136629</v>
      </c>
      <c r="S24" s="32">
        <f t="shared" si="9"/>
        <v>0.99978779142091934</v>
      </c>
      <c r="T24" s="110">
        <f t="shared" si="10"/>
        <v>405475900</v>
      </c>
      <c r="U24" s="32">
        <f t="shared" si="11"/>
        <v>0.99221669245033606</v>
      </c>
      <c r="V24" s="60"/>
      <c r="W24" s="60"/>
      <c r="X24" s="60"/>
      <c r="Y24" s="60"/>
      <c r="Z24" s="81"/>
      <c r="AA24" s="81"/>
      <c r="AB24" s="60">
        <v>95000</v>
      </c>
      <c r="AC24" s="60">
        <v>405475900</v>
      </c>
      <c r="AD24" s="60"/>
      <c r="AE24" s="60"/>
      <c r="AF24" s="60"/>
      <c r="AG24" s="60"/>
      <c r="AH24" s="60"/>
      <c r="AI24" s="60"/>
      <c r="AJ24" s="60"/>
      <c r="AK24" s="60"/>
    </row>
    <row r="25" spans="1:37" ht="15.4" x14ac:dyDescent="0.45">
      <c r="A25" s="60">
        <f t="shared" si="5"/>
        <v>100000</v>
      </c>
      <c r="B25" s="60">
        <v>9</v>
      </c>
      <c r="C25" s="60">
        <v>878400</v>
      </c>
      <c r="D25" s="60">
        <v>1</v>
      </c>
      <c r="E25" s="60">
        <v>97300</v>
      </c>
      <c r="F25" s="60"/>
      <c r="G25" s="60"/>
      <c r="H25" s="60">
        <v>0</v>
      </c>
      <c r="I25" s="60">
        <v>0</v>
      </c>
      <c r="J25" s="60"/>
      <c r="K25" s="60"/>
      <c r="L25" s="60"/>
      <c r="M25" s="60">
        <v>97900</v>
      </c>
      <c r="N25" s="110">
        <f t="shared" si="6"/>
        <v>10</v>
      </c>
      <c r="O25" s="130">
        <f t="shared" si="7"/>
        <v>1073600</v>
      </c>
      <c r="P25" s="60"/>
      <c r="Q25" s="130">
        <f t="shared" si="12"/>
        <v>100000</v>
      </c>
      <c r="R25" s="130">
        <f t="shared" si="8"/>
        <v>136639</v>
      </c>
      <c r="S25" s="32">
        <f t="shared" si="9"/>
        <v>0.99986096679301617</v>
      </c>
      <c r="T25" s="110">
        <f t="shared" si="10"/>
        <v>406549500</v>
      </c>
      <c r="U25" s="32">
        <f t="shared" si="11"/>
        <v>0.99484383709941304</v>
      </c>
      <c r="V25" s="60"/>
      <c r="W25" s="60"/>
      <c r="X25" s="60"/>
      <c r="Y25" s="60"/>
      <c r="Z25" s="81"/>
      <c r="AA25" s="81"/>
      <c r="AB25" s="60">
        <v>100000</v>
      </c>
      <c r="AC25" s="60">
        <v>406549500</v>
      </c>
      <c r="AD25" s="60"/>
      <c r="AE25" s="60"/>
      <c r="AF25" s="60"/>
      <c r="AG25" s="60"/>
      <c r="AH25" s="60"/>
      <c r="AI25" s="60"/>
      <c r="AJ25" s="60"/>
      <c r="AK25" s="60"/>
    </row>
    <row r="26" spans="1:37" ht="15.4" x14ac:dyDescent="0.45">
      <c r="A26" s="60">
        <f t="shared" si="5"/>
        <v>105000</v>
      </c>
      <c r="B26" s="60">
        <v>7</v>
      </c>
      <c r="C26" s="60">
        <v>721600</v>
      </c>
      <c r="D26" s="60">
        <v>0</v>
      </c>
      <c r="E26" s="60">
        <v>0</v>
      </c>
      <c r="F26" s="60"/>
      <c r="G26" s="60"/>
      <c r="H26" s="60">
        <v>3</v>
      </c>
      <c r="I26" s="60">
        <v>310800</v>
      </c>
      <c r="J26" s="60"/>
      <c r="K26" s="60"/>
      <c r="L26" s="60"/>
      <c r="M26" s="60">
        <v>103400</v>
      </c>
      <c r="N26" s="110">
        <f t="shared" si="6"/>
        <v>10</v>
      </c>
      <c r="O26" s="130">
        <f t="shared" si="7"/>
        <v>1135800</v>
      </c>
      <c r="P26" s="60"/>
      <c r="Q26" s="130">
        <f t="shared" si="12"/>
        <v>105000</v>
      </c>
      <c r="R26" s="130">
        <f t="shared" si="8"/>
        <v>136649</v>
      </c>
      <c r="S26" s="32">
        <f t="shared" si="9"/>
        <v>0.99993414216511289</v>
      </c>
      <c r="T26" s="110">
        <f t="shared" si="10"/>
        <v>407685300</v>
      </c>
      <c r="U26" s="32">
        <f t="shared" si="11"/>
        <v>0.99762318778162395</v>
      </c>
      <c r="V26" s="60"/>
      <c r="W26" s="60"/>
      <c r="X26" s="60"/>
      <c r="Y26" s="60"/>
      <c r="Z26" s="81"/>
      <c r="AA26" s="81"/>
      <c r="AB26" s="60">
        <v>105000</v>
      </c>
      <c r="AC26" s="60">
        <v>407685300</v>
      </c>
      <c r="AD26" s="60"/>
      <c r="AE26" s="60"/>
      <c r="AF26" s="60"/>
      <c r="AG26" s="60"/>
      <c r="AH26" s="60"/>
      <c r="AI26" s="60"/>
      <c r="AJ26" s="60"/>
      <c r="AK26" s="60"/>
    </row>
    <row r="27" spans="1:37" ht="17.649999999999999" x14ac:dyDescent="0.75">
      <c r="A27" s="102">
        <v>110000</v>
      </c>
      <c r="B27" s="211">
        <v>4</v>
      </c>
      <c r="C27" s="211">
        <v>429500</v>
      </c>
      <c r="D27" s="211">
        <v>1</v>
      </c>
      <c r="E27" s="211">
        <v>105500</v>
      </c>
      <c r="F27" s="211">
        <v>0</v>
      </c>
      <c r="G27" s="211">
        <v>0</v>
      </c>
      <c r="H27" s="211">
        <v>4</v>
      </c>
      <c r="I27" s="211">
        <v>436300</v>
      </c>
      <c r="J27" s="211">
        <v>0</v>
      </c>
      <c r="K27" s="211">
        <v>0</v>
      </c>
      <c r="L27" s="211">
        <v>0</v>
      </c>
      <c r="M27" s="211">
        <v>0</v>
      </c>
      <c r="N27" s="325">
        <f t="shared" si="2"/>
        <v>9</v>
      </c>
      <c r="O27" s="211">
        <f t="shared" si="2"/>
        <v>971300</v>
      </c>
      <c r="P27" s="211"/>
      <c r="Q27" s="130">
        <f t="shared" si="12"/>
        <v>110000</v>
      </c>
      <c r="R27" s="130">
        <f t="shared" si="8"/>
        <v>136658</v>
      </c>
      <c r="S27" s="32">
        <f t="shared" si="9"/>
        <v>1</v>
      </c>
      <c r="T27" s="110">
        <f t="shared" si="10"/>
        <v>408656600</v>
      </c>
      <c r="U27" s="32">
        <f t="shared" si="11"/>
        <v>1</v>
      </c>
      <c r="V27" s="60"/>
      <c r="W27" s="60">
        <f>N27</f>
        <v>9</v>
      </c>
      <c r="X27" s="60">
        <f>O27</f>
        <v>971300</v>
      </c>
      <c r="Y27" s="60">
        <f>X27/W27</f>
        <v>107922.22222222222</v>
      </c>
      <c r="Z27" s="81">
        <f>X27/$O$28</f>
        <v>2.3768122183760155E-3</v>
      </c>
      <c r="AA27" s="81"/>
      <c r="AB27" s="60">
        <v>110000</v>
      </c>
      <c r="AC27" s="60">
        <v>408656600</v>
      </c>
      <c r="AD27" s="60"/>
      <c r="AE27" s="60"/>
      <c r="AF27" s="60"/>
      <c r="AG27" s="60"/>
      <c r="AH27" s="60"/>
      <c r="AI27" s="60"/>
      <c r="AJ27" s="60"/>
      <c r="AK27" s="60"/>
    </row>
    <row r="28" spans="1:37" ht="15.4" x14ac:dyDescent="0.45">
      <c r="A28" s="60" t="s">
        <v>18</v>
      </c>
      <c r="B28" s="60">
        <f t="shared" ref="B28:O28" si="13">SUM(B5:B27)</f>
        <v>135393</v>
      </c>
      <c r="C28" s="60">
        <f t="shared" si="13"/>
        <v>393933900</v>
      </c>
      <c r="D28" s="60">
        <f t="shared" si="13"/>
        <v>645</v>
      </c>
      <c r="E28" s="60">
        <f t="shared" si="13"/>
        <v>4962700</v>
      </c>
      <c r="F28" s="60">
        <f t="shared" si="13"/>
        <v>12</v>
      </c>
      <c r="G28" s="60">
        <f t="shared" si="13"/>
        <v>42100</v>
      </c>
      <c r="H28" s="60">
        <f t="shared" si="13"/>
        <v>597</v>
      </c>
      <c r="I28" s="60">
        <f t="shared" si="13"/>
        <v>9143000</v>
      </c>
      <c r="J28" s="60">
        <f t="shared" si="13"/>
        <v>0</v>
      </c>
      <c r="K28" s="60">
        <f t="shared" si="13"/>
        <v>0</v>
      </c>
      <c r="L28" s="60">
        <f t="shared" si="13"/>
        <v>11</v>
      </c>
      <c r="M28" s="60">
        <f t="shared" si="13"/>
        <v>574900</v>
      </c>
      <c r="N28" s="60">
        <f t="shared" si="13"/>
        <v>136658</v>
      </c>
      <c r="O28" s="60">
        <f t="shared" si="13"/>
        <v>408656600</v>
      </c>
      <c r="P28" s="60"/>
      <c r="Q28" s="60"/>
      <c r="R28" s="60"/>
      <c r="S28" s="36"/>
      <c r="T28" s="110"/>
      <c r="U28" s="13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</row>
    <row r="29" spans="1:37" ht="15.4" x14ac:dyDescent="0.4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130"/>
      <c r="N29" s="130"/>
      <c r="O29" s="60"/>
      <c r="P29" s="60"/>
      <c r="Q29" s="60"/>
      <c r="R29" s="60"/>
      <c r="S29" s="36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</row>
    <row r="30" spans="1:37" ht="17.649999999999999" x14ac:dyDescent="0.7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130"/>
      <c r="N30" s="344" t="s">
        <v>377</v>
      </c>
      <c r="O30" s="60">
        <v>428635000</v>
      </c>
      <c r="P30" s="60"/>
      <c r="Q30" s="60"/>
      <c r="R30" s="60"/>
      <c r="S30" s="36"/>
      <c r="T30" s="60"/>
      <c r="U30" s="326"/>
      <c r="V30" s="327"/>
      <c r="W30" s="328" t="s">
        <v>341</v>
      </c>
      <c r="X30" s="328" t="s">
        <v>360</v>
      </c>
      <c r="Y30" s="329" t="s">
        <v>370</v>
      </c>
      <c r="Z30" s="329" t="s">
        <v>371</v>
      </c>
      <c r="AA30" s="330" t="s">
        <v>372</v>
      </c>
      <c r="AB30" s="60"/>
      <c r="AC30" s="60"/>
      <c r="AD30" s="60"/>
      <c r="AE30" s="60"/>
      <c r="AF30" s="60"/>
      <c r="AG30" s="60"/>
      <c r="AH30" s="60"/>
      <c r="AI30" s="60"/>
      <c r="AJ30" s="60"/>
      <c r="AK30" s="60"/>
    </row>
    <row r="31" spans="1:37" ht="6.95" customHeight="1" x14ac:dyDescent="0.45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111"/>
      <c r="O31" s="60"/>
      <c r="P31" s="60"/>
      <c r="Q31" s="60"/>
      <c r="R31" s="60"/>
      <c r="S31" s="36"/>
      <c r="T31" s="60"/>
      <c r="U31" s="331"/>
      <c r="V31" s="332" t="s">
        <v>370</v>
      </c>
      <c r="W31" s="301">
        <f>W7</f>
        <v>131042</v>
      </c>
      <c r="X31" s="301">
        <f>X7</f>
        <v>293488000</v>
      </c>
      <c r="Y31" s="301">
        <f>X31</f>
        <v>293488000</v>
      </c>
      <c r="Z31" s="301"/>
      <c r="AA31" s="333"/>
      <c r="AB31" s="60"/>
      <c r="AC31" s="60"/>
      <c r="AD31" s="60"/>
      <c r="AE31" s="60"/>
      <c r="AF31" s="60"/>
      <c r="AG31" s="60"/>
      <c r="AH31" s="60"/>
      <c r="AI31" s="60"/>
      <c r="AJ31" s="60"/>
      <c r="AK31" s="60"/>
    </row>
    <row r="32" spans="1:37" ht="17.649999999999999" x14ac:dyDescent="0.75">
      <c r="A32" s="60"/>
      <c r="F32" s="60"/>
      <c r="G32" s="60"/>
      <c r="H32" s="324" t="s">
        <v>380</v>
      </c>
      <c r="J32" s="60"/>
      <c r="K32" s="60"/>
      <c r="L32" s="60"/>
      <c r="M32" s="60"/>
      <c r="N32" s="109" t="s">
        <v>379</v>
      </c>
      <c r="O32" s="60">
        <f>O28-C28</f>
        <v>14722700</v>
      </c>
      <c r="P32" s="60"/>
      <c r="Q32" s="60"/>
      <c r="R32" s="60"/>
      <c r="S32" s="36"/>
      <c r="T32" s="60"/>
      <c r="U32" s="331"/>
      <c r="V32" s="332" t="s">
        <v>371</v>
      </c>
      <c r="W32" s="301">
        <f>W20</f>
        <v>5503</v>
      </c>
      <c r="X32" s="301">
        <f>X20</f>
        <v>104528000</v>
      </c>
      <c r="Y32" s="301">
        <f>W32*10000</f>
        <v>55030000</v>
      </c>
      <c r="Z32" s="301">
        <f>X32-Y32</f>
        <v>49498000</v>
      </c>
      <c r="AA32" s="333"/>
      <c r="AB32" s="60"/>
      <c r="AC32" s="60"/>
      <c r="AD32" s="60"/>
      <c r="AE32" s="60"/>
      <c r="AF32" s="60"/>
      <c r="AG32" s="60"/>
      <c r="AH32" s="60"/>
      <c r="AI32" s="60"/>
      <c r="AJ32" s="60"/>
      <c r="AK32" s="60"/>
    </row>
    <row r="33" spans="1:37" ht="6.95" customHeight="1" x14ac:dyDescent="0.75">
      <c r="A33" s="60"/>
      <c r="F33" s="60"/>
      <c r="G33" s="60"/>
      <c r="H33" s="60"/>
      <c r="J33" s="60"/>
      <c r="K33" s="60"/>
      <c r="L33" s="60"/>
      <c r="M33" s="60"/>
      <c r="N33" s="111"/>
      <c r="O33" s="60"/>
      <c r="P33" s="60"/>
      <c r="Q33" s="60"/>
      <c r="R33" s="60"/>
      <c r="S33" s="36"/>
      <c r="T33" s="60"/>
      <c r="U33" s="331"/>
      <c r="V33" s="332" t="s">
        <v>372</v>
      </c>
      <c r="W33" s="301">
        <f>W27</f>
        <v>9</v>
      </c>
      <c r="X33" s="334">
        <f>X27</f>
        <v>971300</v>
      </c>
      <c r="Y33" s="334">
        <f>W33*10000</f>
        <v>90000</v>
      </c>
      <c r="Z33" s="334">
        <f>W33*65000</f>
        <v>585000</v>
      </c>
      <c r="AA33" s="335">
        <f>X33-Y33-Z33</f>
        <v>296300</v>
      </c>
      <c r="AB33" s="60"/>
      <c r="AC33" s="60"/>
      <c r="AD33" s="60"/>
      <c r="AE33" s="60"/>
      <c r="AF33" s="60"/>
      <c r="AG33" s="60"/>
      <c r="AH33" s="60"/>
      <c r="AI33" s="60"/>
      <c r="AJ33" s="60"/>
      <c r="AK33" s="60"/>
    </row>
    <row r="34" spans="1:37" ht="15.4" x14ac:dyDescent="0.45">
      <c r="A34" s="60"/>
      <c r="F34" s="60"/>
      <c r="G34" s="60"/>
      <c r="H34" s="60">
        <v>1403</v>
      </c>
      <c r="J34" s="60"/>
      <c r="K34" s="60"/>
      <c r="L34" s="60"/>
      <c r="M34" s="60"/>
      <c r="N34" s="109" t="s">
        <v>381</v>
      </c>
      <c r="O34" s="60">
        <v>21345700</v>
      </c>
      <c r="P34" s="60"/>
      <c r="R34" s="60"/>
      <c r="S34" s="36"/>
      <c r="T34" s="60"/>
      <c r="U34" s="336"/>
      <c r="V34" s="337"/>
      <c r="W34" s="337"/>
      <c r="X34" s="338">
        <f>SUM(X31:X33)</f>
        <v>398987300</v>
      </c>
      <c r="Y34" s="338">
        <f>SUM(Y31:Y33)</f>
        <v>348608000</v>
      </c>
      <c r="Z34" s="338">
        <f>SUM(Z31:Z33)</f>
        <v>50083000</v>
      </c>
      <c r="AA34" s="339">
        <f>SUM(AA31:AA33)</f>
        <v>296300</v>
      </c>
      <c r="AB34" s="60"/>
      <c r="AC34" s="60"/>
      <c r="AD34" s="60"/>
      <c r="AE34" s="60"/>
      <c r="AF34" s="60"/>
      <c r="AG34" s="60"/>
      <c r="AH34" s="60"/>
      <c r="AI34" s="60"/>
      <c r="AJ34" s="60"/>
      <c r="AK34" s="60"/>
    </row>
    <row r="35" spans="1:37" ht="17.649999999999999" x14ac:dyDescent="0.75">
      <c r="A35" s="60"/>
      <c r="B35" s="60"/>
      <c r="C35" s="149"/>
      <c r="D35" s="60"/>
      <c r="E35" s="60"/>
      <c r="F35" s="60"/>
      <c r="G35" s="60"/>
      <c r="H35" s="211">
        <v>138624</v>
      </c>
      <c r="J35" s="60"/>
      <c r="K35" s="60"/>
      <c r="L35" s="60"/>
      <c r="M35" s="60"/>
      <c r="N35" s="109" t="s">
        <v>382</v>
      </c>
      <c r="O35" s="211">
        <v>408232700</v>
      </c>
      <c r="P35" s="60"/>
      <c r="R35" s="60"/>
      <c r="S35" s="36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</row>
    <row r="36" spans="1:37" ht="15.4" x14ac:dyDescent="0.45">
      <c r="A36" s="60"/>
      <c r="B36" s="60"/>
      <c r="C36" s="60"/>
      <c r="D36" s="60"/>
      <c r="E36" s="60"/>
      <c r="F36" s="60"/>
      <c r="G36" s="270" t="s">
        <v>383</v>
      </c>
      <c r="H36" s="60">
        <f>H34+H35</f>
        <v>140027</v>
      </c>
      <c r="J36" s="60"/>
      <c r="K36" s="60"/>
      <c r="L36" s="60"/>
      <c r="M36" s="60"/>
      <c r="N36" s="109" t="s">
        <v>378</v>
      </c>
      <c r="O36" s="60">
        <f>O34+O35</f>
        <v>429578400</v>
      </c>
      <c r="P36" s="60"/>
      <c r="R36" s="60"/>
      <c r="S36" s="36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</row>
    <row r="37" spans="1:37" ht="15.4" x14ac:dyDescent="0.45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P37" s="60"/>
      <c r="Q37" s="60"/>
      <c r="R37" s="60"/>
      <c r="S37" s="36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</row>
    <row r="38" spans="1:37" ht="15.4" x14ac:dyDescent="0.4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270"/>
      <c r="O38" s="60"/>
      <c r="P38" s="60"/>
      <c r="Q38" s="60"/>
      <c r="R38" s="60"/>
      <c r="S38" s="36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</row>
    <row r="39" spans="1:37" ht="15.4" x14ac:dyDescent="0.4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P39" s="60"/>
      <c r="Q39" s="60"/>
      <c r="R39" s="60"/>
      <c r="S39" s="36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</row>
    <row r="40" spans="1:37" ht="15.4" x14ac:dyDescent="0.4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P40" s="60"/>
      <c r="Q40" s="60"/>
      <c r="R40" s="60"/>
      <c r="S40" s="36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</row>
    <row r="41" spans="1:37" ht="15.4" x14ac:dyDescent="0.4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P41" s="60"/>
      <c r="Q41" s="60"/>
      <c r="R41" s="60"/>
      <c r="S41" s="36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</row>
  </sheetData>
  <mergeCells count="11">
    <mergeCell ref="L3:M3"/>
    <mergeCell ref="B3:C3"/>
    <mergeCell ref="D3:E3"/>
    <mergeCell ref="F3:G3"/>
    <mergeCell ref="H3:I3"/>
    <mergeCell ref="J3:K3"/>
    <mergeCell ref="N3:O3"/>
    <mergeCell ref="R2:U2"/>
    <mergeCell ref="W3:Y3"/>
    <mergeCell ref="R3:S3"/>
    <mergeCell ref="T3:U3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3"/>
  <sheetViews>
    <sheetView workbookViewId="0">
      <selection activeCell="G15" sqref="G15"/>
    </sheetView>
  </sheetViews>
  <sheetFormatPr defaultColWidth="8.88671875" defaultRowHeight="14.25" x14ac:dyDescent="0.45"/>
  <cols>
    <col min="1" max="1" width="2.33203125" style="1" customWidth="1"/>
    <col min="2" max="2" width="10.6640625" style="1" customWidth="1"/>
    <col min="3" max="3" width="8.88671875" style="1"/>
    <col min="4" max="4" width="9" style="1" bestFit="1" customWidth="1"/>
    <col min="5" max="7" width="9.77734375" style="1" customWidth="1"/>
    <col min="8" max="8" width="8.88671875" style="1"/>
    <col min="9" max="9" width="10.5546875" style="1" customWidth="1"/>
    <col min="10" max="10" width="8.88671875" style="1"/>
    <col min="11" max="11" width="9.5546875" style="1" customWidth="1"/>
    <col min="12" max="14" width="8.88671875" style="1"/>
    <col min="15" max="15" width="9.6640625" style="1" customWidth="1"/>
    <col min="16" max="16" width="10.77734375" style="1" customWidth="1"/>
    <col min="17" max="17" width="9.109375" style="1" customWidth="1"/>
    <col min="18" max="18" width="9.33203125" style="1" customWidth="1"/>
    <col min="19" max="19" width="10.21875" style="1" customWidth="1"/>
    <col min="20" max="16384" width="8.88671875" style="1"/>
  </cols>
  <sheetData>
    <row r="1" spans="1:21" x14ac:dyDescent="0.45">
      <c r="A1" s="3"/>
    </row>
    <row r="2" spans="1:21" x14ac:dyDescent="0.45">
      <c r="B2" s="208" t="s">
        <v>319</v>
      </c>
      <c r="E2" s="207"/>
      <c r="F2" s="207"/>
      <c r="G2" s="207"/>
    </row>
    <row r="3" spans="1:21" x14ac:dyDescent="0.45">
      <c r="D3" s="208"/>
      <c r="E3" s="207"/>
      <c r="F3" s="207"/>
      <c r="G3" s="207"/>
    </row>
    <row r="4" spans="1:21" x14ac:dyDescent="0.45">
      <c r="B4" s="209" t="s">
        <v>138</v>
      </c>
      <c r="C4" s="8"/>
      <c r="D4" s="8"/>
      <c r="E4" s="8"/>
      <c r="F4" s="8"/>
      <c r="I4" s="209" t="s">
        <v>223</v>
      </c>
      <c r="O4" s="209" t="s">
        <v>320</v>
      </c>
      <c r="P4" s="59"/>
      <c r="Q4" s="59"/>
      <c r="R4" s="60"/>
    </row>
    <row r="5" spans="1:21" x14ac:dyDescent="0.45">
      <c r="B5" s="8" t="s">
        <v>139</v>
      </c>
      <c r="C5" s="8"/>
      <c r="D5" s="23">
        <f>738578+1923</f>
        <v>740501</v>
      </c>
      <c r="E5" s="8"/>
      <c r="F5" s="61"/>
      <c r="K5" s="120"/>
      <c r="L5" s="120"/>
      <c r="M5" s="120"/>
      <c r="O5" s="8"/>
      <c r="P5" s="59"/>
      <c r="Q5" s="59"/>
      <c r="R5" s="60"/>
      <c r="U5" s="130"/>
    </row>
    <row r="6" spans="1:21" ht="16.5" x14ac:dyDescent="0.75">
      <c r="B6" s="8" t="s">
        <v>140</v>
      </c>
      <c r="C6" s="8"/>
      <c r="D6" s="23">
        <v>461605</v>
      </c>
      <c r="E6" s="8"/>
      <c r="F6" s="8"/>
      <c r="I6" s="1" t="s">
        <v>438</v>
      </c>
      <c r="K6" s="60">
        <f>Wages!I38</f>
        <v>1711792.7458500003</v>
      </c>
      <c r="L6" s="60" t="s">
        <v>316</v>
      </c>
      <c r="M6" s="65"/>
      <c r="P6" s="383" t="s">
        <v>466</v>
      </c>
      <c r="Q6" s="383" t="s">
        <v>467</v>
      </c>
      <c r="R6" s="383" t="s">
        <v>468</v>
      </c>
      <c r="S6" s="383" t="s">
        <v>469</v>
      </c>
      <c r="U6" s="130"/>
    </row>
    <row r="7" spans="1:21" ht="16.5" x14ac:dyDescent="0.75">
      <c r="B7" s="8" t="s">
        <v>141</v>
      </c>
      <c r="C7" s="8"/>
      <c r="D7" s="23"/>
      <c r="E7" s="8"/>
      <c r="F7" s="8"/>
      <c r="I7" s="1" t="s">
        <v>439</v>
      </c>
      <c r="K7" s="211">
        <f>SAO!E18</f>
        <v>1409099</v>
      </c>
      <c r="L7" s="210"/>
      <c r="M7" s="60"/>
      <c r="P7" s="383" t="s">
        <v>478</v>
      </c>
      <c r="Q7" s="383" t="s">
        <v>470</v>
      </c>
      <c r="R7" s="383" t="s">
        <v>471</v>
      </c>
      <c r="S7" s="383" t="s">
        <v>466</v>
      </c>
      <c r="U7" s="130"/>
    </row>
    <row r="8" spans="1:21" ht="16.5" x14ac:dyDescent="0.75">
      <c r="B8" s="1" t="s">
        <v>143</v>
      </c>
      <c r="C8" s="23">
        <v>11576</v>
      </c>
      <c r="D8" s="23"/>
      <c r="E8" s="8"/>
      <c r="F8" s="8"/>
      <c r="I8" s="1" t="s">
        <v>224</v>
      </c>
      <c r="K8" s="60"/>
      <c r="L8" s="269">
        <f>K6-K7</f>
        <v>302693.7458500003</v>
      </c>
      <c r="M8" s="211"/>
      <c r="O8" s="8" t="s">
        <v>472</v>
      </c>
      <c r="P8" s="59">
        <v>711.28</v>
      </c>
      <c r="Q8" s="384">
        <v>0.22</v>
      </c>
      <c r="R8" s="59">
        <f>P8*Q8</f>
        <v>156.48159999999999</v>
      </c>
      <c r="S8" s="59">
        <f>P8-R8</f>
        <v>554.79840000000002</v>
      </c>
      <c r="U8" s="130"/>
    </row>
    <row r="9" spans="1:21" x14ac:dyDescent="0.45">
      <c r="B9" s="8" t="s">
        <v>142</v>
      </c>
      <c r="C9" s="23">
        <v>29787</v>
      </c>
      <c r="D9" s="23"/>
      <c r="E9" s="8"/>
      <c r="F9" s="8"/>
      <c r="K9" s="60"/>
      <c r="L9" s="210"/>
      <c r="M9" s="60"/>
      <c r="O9" s="8" t="s">
        <v>473</v>
      </c>
      <c r="P9" s="59">
        <v>19.68</v>
      </c>
      <c r="Q9" s="384">
        <v>0.6</v>
      </c>
      <c r="R9" s="59">
        <f t="shared" ref="R9:R10" si="0">P9*Q9</f>
        <v>11.808</v>
      </c>
      <c r="S9" s="59">
        <f t="shared" ref="S9:S10" si="1">P9-R9</f>
        <v>7.8719999999999999</v>
      </c>
      <c r="T9" s="130"/>
      <c r="U9" s="130"/>
    </row>
    <row r="10" spans="1:21" ht="16.5" x14ac:dyDescent="0.75">
      <c r="B10" s="8" t="s">
        <v>144</v>
      </c>
      <c r="C10" s="23">
        <v>32</v>
      </c>
      <c r="D10" s="23"/>
      <c r="E10" s="8"/>
      <c r="F10" s="8"/>
      <c r="K10" s="60"/>
      <c r="L10" s="210"/>
      <c r="M10" s="60"/>
      <c r="O10" s="8" t="s">
        <v>474</v>
      </c>
      <c r="P10" s="59">
        <v>5.87</v>
      </c>
      <c r="Q10" s="384">
        <v>0</v>
      </c>
      <c r="R10" s="59">
        <f t="shared" si="0"/>
        <v>0</v>
      </c>
      <c r="S10" s="385">
        <f t="shared" si="1"/>
        <v>5.87</v>
      </c>
      <c r="U10" s="130"/>
    </row>
    <row r="11" spans="1:21" ht="16.5" x14ac:dyDescent="0.75">
      <c r="B11" s="8" t="s">
        <v>145</v>
      </c>
      <c r="C11" s="133">
        <v>0</v>
      </c>
      <c r="D11" s="23"/>
      <c r="E11" s="8"/>
      <c r="F11" s="8"/>
      <c r="I11" s="209" t="s">
        <v>315</v>
      </c>
      <c r="O11" s="8"/>
      <c r="P11" s="59"/>
      <c r="R11" s="386" t="s">
        <v>475</v>
      </c>
      <c r="S11" s="59">
        <f>SUM(S8:S10)</f>
        <v>568.54039999999998</v>
      </c>
      <c r="T11" s="130"/>
      <c r="U11" s="130"/>
    </row>
    <row r="12" spans="1:21" x14ac:dyDescent="0.45">
      <c r="B12" s="8"/>
      <c r="C12" s="8"/>
      <c r="D12" s="23">
        <f>SUM(C8:C11)</f>
        <v>41395</v>
      </c>
      <c r="E12" s="8"/>
      <c r="F12" s="8"/>
      <c r="O12" s="8"/>
      <c r="P12" s="59"/>
      <c r="R12" s="386" t="s">
        <v>559</v>
      </c>
      <c r="S12" s="59">
        <f>S11*12*30</f>
        <v>204674.54399999999</v>
      </c>
      <c r="T12" s="130"/>
    </row>
    <row r="13" spans="1:21" ht="16.5" x14ac:dyDescent="0.75">
      <c r="B13" s="8" t="s">
        <v>252</v>
      </c>
      <c r="C13" s="8">
        <v>0</v>
      </c>
      <c r="D13" s="23"/>
      <c r="E13" s="8"/>
      <c r="F13" s="8"/>
      <c r="I13" s="60" t="s">
        <v>444</v>
      </c>
      <c r="J13" s="60"/>
      <c r="K13" s="371">
        <f>Wages!M38</f>
        <v>126660.41599999998</v>
      </c>
      <c r="L13" s="60" t="s">
        <v>316</v>
      </c>
      <c r="M13" s="60"/>
      <c r="O13" s="8"/>
      <c r="P13" s="59"/>
      <c r="R13" s="386" t="s">
        <v>476</v>
      </c>
      <c r="S13" s="385">
        <f>K29</f>
        <v>197175</v>
      </c>
    </row>
    <row r="14" spans="1:21" ht="16.5" x14ac:dyDescent="0.75">
      <c r="B14" s="8" t="s">
        <v>146</v>
      </c>
      <c r="C14" s="8">
        <v>51986</v>
      </c>
      <c r="D14" s="23"/>
      <c r="E14" s="8"/>
      <c r="F14" s="8"/>
      <c r="I14" s="60" t="s">
        <v>440</v>
      </c>
      <c r="J14" s="60"/>
      <c r="K14" s="211">
        <f>K28</f>
        <v>88572</v>
      </c>
      <c r="L14" s="60" t="s">
        <v>445</v>
      </c>
      <c r="M14" s="60"/>
      <c r="O14" s="8"/>
      <c r="P14" s="59"/>
      <c r="Q14" s="387"/>
      <c r="R14" s="388" t="s">
        <v>477</v>
      </c>
      <c r="S14" s="387">
        <f>S12-S13</f>
        <v>7499.5439999999944</v>
      </c>
    </row>
    <row r="15" spans="1:21" x14ac:dyDescent="0.45">
      <c r="B15" s="8" t="s">
        <v>147</v>
      </c>
      <c r="C15" s="67">
        <v>185515</v>
      </c>
      <c r="D15" s="23"/>
      <c r="E15" s="8"/>
      <c r="F15" s="8"/>
      <c r="I15" s="185" t="s">
        <v>317</v>
      </c>
      <c r="J15" s="111"/>
      <c r="K15" s="111">
        <f>K13-K14</f>
        <v>38088.415999999983</v>
      </c>
      <c r="M15" s="60"/>
      <c r="Q15" s="60"/>
      <c r="R15" s="60"/>
      <c r="S15" s="60"/>
    </row>
    <row r="16" spans="1:21" x14ac:dyDescent="0.45">
      <c r="B16" s="8"/>
      <c r="C16" s="8"/>
      <c r="D16" s="23">
        <f>SUM(C13:C15)</f>
        <v>237501</v>
      </c>
      <c r="E16" s="62">
        <f>D16/D5</f>
        <v>0.32073015431444385</v>
      </c>
      <c r="F16" s="8" t="s">
        <v>148</v>
      </c>
      <c r="L16" s="60"/>
      <c r="M16" s="60"/>
      <c r="Q16" s="60"/>
      <c r="R16" s="60"/>
      <c r="S16" s="60"/>
      <c r="U16" s="23"/>
    </row>
    <row r="17" spans="2:21" x14ac:dyDescent="0.45">
      <c r="B17" s="63" t="s">
        <v>149</v>
      </c>
      <c r="C17" s="8">
        <f>SUM(D6:D16)</f>
        <v>740501</v>
      </c>
      <c r="E17" s="212">
        <v>0.15</v>
      </c>
      <c r="F17" s="8" t="s">
        <v>150</v>
      </c>
      <c r="L17" s="60"/>
      <c r="M17" s="60"/>
      <c r="O17" s="209" t="s">
        <v>479</v>
      </c>
      <c r="Q17" s="60"/>
      <c r="R17" s="60"/>
      <c r="S17" s="60"/>
      <c r="U17" s="23"/>
    </row>
    <row r="18" spans="2:21" x14ac:dyDescent="0.45">
      <c r="B18" s="64"/>
      <c r="C18" s="8"/>
      <c r="D18" s="8"/>
      <c r="E18" s="62">
        <f>E16-E17</f>
        <v>0.17073015431444385</v>
      </c>
      <c r="F18" s="8" t="s">
        <v>151</v>
      </c>
      <c r="I18" s="209" t="s">
        <v>225</v>
      </c>
      <c r="Q18" s="268" t="s">
        <v>432</v>
      </c>
      <c r="R18" s="60">
        <v>12250</v>
      </c>
      <c r="S18" s="60"/>
      <c r="U18" s="23"/>
    </row>
    <row r="19" spans="2:21" ht="16.5" x14ac:dyDescent="0.75">
      <c r="I19" s="389"/>
      <c r="K19" s="268" t="s">
        <v>448</v>
      </c>
      <c r="L19" s="119">
        <f>Wages!I38+SAO!H19</f>
        <v>1741792.7458500003</v>
      </c>
      <c r="Q19" s="268" t="s">
        <v>480</v>
      </c>
      <c r="R19" s="211">
        <v>4725</v>
      </c>
      <c r="S19" s="60"/>
      <c r="U19" s="23"/>
    </row>
    <row r="20" spans="2:21" x14ac:dyDescent="0.45">
      <c r="K20" s="268" t="s">
        <v>226</v>
      </c>
      <c r="L20" s="66">
        <v>7.6499999999999999E-2</v>
      </c>
      <c r="Q20" s="268" t="s">
        <v>481</v>
      </c>
      <c r="R20" s="60">
        <f>R18+R19</f>
        <v>16975</v>
      </c>
      <c r="S20" s="60"/>
      <c r="U20" s="23"/>
    </row>
    <row r="21" spans="2:21" ht="16.5" x14ac:dyDescent="0.75">
      <c r="K21" s="268" t="s">
        <v>449</v>
      </c>
      <c r="L21" s="119">
        <f>L19*L20</f>
        <v>133247.14505752502</v>
      </c>
      <c r="Q21" s="268" t="s">
        <v>482</v>
      </c>
      <c r="R21" s="211">
        <f>-K27</f>
        <v>-5540</v>
      </c>
      <c r="S21" s="211"/>
      <c r="U21" s="23"/>
    </row>
    <row r="22" spans="2:21" x14ac:dyDescent="0.45">
      <c r="B22" s="209" t="s">
        <v>152</v>
      </c>
      <c r="K22" s="268" t="s">
        <v>450</v>
      </c>
      <c r="L22" s="375">
        <v>111579</v>
      </c>
      <c r="O22" s="389"/>
      <c r="Q22" s="376" t="s">
        <v>483</v>
      </c>
      <c r="R22" s="310">
        <f>R20+R21</f>
        <v>11435</v>
      </c>
      <c r="S22" s="3"/>
      <c r="U22" s="23"/>
    </row>
    <row r="23" spans="2:21" ht="16.5" x14ac:dyDescent="0.75">
      <c r="B23" s="58"/>
      <c r="K23" s="376" t="s">
        <v>153</v>
      </c>
      <c r="L23" s="132">
        <f>L21-L22</f>
        <v>21668.14505752502</v>
      </c>
      <c r="N23" s="60"/>
      <c r="O23" s="23"/>
      <c r="P23" s="23"/>
      <c r="Q23" s="268"/>
      <c r="R23" s="162"/>
      <c r="S23" s="162"/>
      <c r="U23" s="23"/>
    </row>
    <row r="24" spans="2:21" x14ac:dyDescent="0.45">
      <c r="B24" s="1" t="s">
        <v>318</v>
      </c>
      <c r="N24" s="60"/>
      <c r="O24" s="23"/>
      <c r="P24" s="23"/>
      <c r="Q24" s="23"/>
      <c r="R24" s="23"/>
      <c r="S24" s="23"/>
      <c r="T24" s="23"/>
      <c r="U24" s="23"/>
    </row>
    <row r="25" spans="2:21" ht="16.5" x14ac:dyDescent="0.75">
      <c r="I25" s="209" t="s">
        <v>431</v>
      </c>
      <c r="O25" s="23"/>
      <c r="P25" s="23"/>
      <c r="Q25" s="23"/>
      <c r="R25" s="23"/>
      <c r="S25" s="133"/>
      <c r="T25" s="23"/>
      <c r="U25" s="23"/>
    </row>
    <row r="26" spans="2:21" x14ac:dyDescent="0.45">
      <c r="O26" s="23"/>
      <c r="P26" s="23"/>
      <c r="Q26" s="269"/>
      <c r="R26" s="23"/>
      <c r="S26" s="23"/>
      <c r="T26" s="23"/>
      <c r="U26" s="23"/>
    </row>
    <row r="27" spans="2:21" x14ac:dyDescent="0.45">
      <c r="J27" s="123" t="s">
        <v>432</v>
      </c>
      <c r="K27" s="23">
        <v>5540</v>
      </c>
      <c r="O27" s="272"/>
      <c r="P27" s="23"/>
      <c r="Q27" s="23"/>
      <c r="R27" s="23"/>
      <c r="S27" s="23"/>
      <c r="T27" s="23"/>
      <c r="U27" s="23"/>
    </row>
    <row r="28" spans="2:21" x14ac:dyDescent="0.45">
      <c r="J28" s="368" t="s">
        <v>433</v>
      </c>
      <c r="K28" s="23">
        <v>88572</v>
      </c>
      <c r="O28" s="23"/>
      <c r="P28" s="23"/>
      <c r="Q28" s="68"/>
      <c r="R28" s="68"/>
      <c r="S28" s="68"/>
      <c r="T28" s="23"/>
      <c r="U28" s="23"/>
    </row>
    <row r="29" spans="2:21" x14ac:dyDescent="0.45">
      <c r="J29" s="123" t="s">
        <v>434</v>
      </c>
      <c r="K29" s="23">
        <v>197175</v>
      </c>
      <c r="O29" s="23"/>
      <c r="P29" s="23"/>
      <c r="Q29" s="68"/>
      <c r="R29" s="68"/>
      <c r="S29" s="68"/>
      <c r="T29" s="23"/>
      <c r="U29" s="23"/>
    </row>
    <row r="30" spans="2:21" x14ac:dyDescent="0.45">
      <c r="J30" s="123" t="s">
        <v>435</v>
      </c>
      <c r="K30" s="23">
        <v>5140</v>
      </c>
      <c r="O30" s="23"/>
      <c r="P30" s="23"/>
      <c r="Q30" s="23"/>
      <c r="R30" s="23"/>
      <c r="S30" s="23"/>
      <c r="T30" s="23"/>
      <c r="U30" s="23"/>
    </row>
    <row r="31" spans="2:21" x14ac:dyDescent="0.45">
      <c r="J31" s="123" t="s">
        <v>436</v>
      </c>
      <c r="K31" s="23">
        <v>29111</v>
      </c>
      <c r="O31" s="23"/>
      <c r="P31" s="23"/>
      <c r="Q31" s="23"/>
      <c r="R31" s="23"/>
      <c r="S31" s="23"/>
      <c r="T31" s="23"/>
      <c r="U31" s="23"/>
    </row>
    <row r="32" spans="2:21" ht="16.5" x14ac:dyDescent="0.75">
      <c r="J32" s="123" t="s">
        <v>437</v>
      </c>
      <c r="K32" s="133">
        <v>16632</v>
      </c>
      <c r="O32" s="23"/>
      <c r="P32" s="23"/>
      <c r="Q32" s="23"/>
      <c r="R32" s="23"/>
      <c r="S32" s="23"/>
      <c r="T32" s="23"/>
      <c r="U32" s="23"/>
    </row>
    <row r="33" spans="11:21" ht="16.5" x14ac:dyDescent="0.75">
      <c r="K33" s="23">
        <f>SUM(K27:K32)</f>
        <v>342170</v>
      </c>
      <c r="O33" s="23"/>
      <c r="P33" s="23"/>
      <c r="Q33" s="133"/>
      <c r="R33" s="23"/>
      <c r="S33" s="133"/>
      <c r="T33" s="23"/>
      <c r="U33" s="23"/>
    </row>
    <row r="34" spans="11:21" x14ac:dyDescent="0.45">
      <c r="O34" s="23"/>
      <c r="P34" s="269"/>
      <c r="Q34" s="23"/>
      <c r="R34" s="23"/>
      <c r="S34" s="23"/>
      <c r="T34" s="23"/>
      <c r="U34" s="23"/>
    </row>
    <row r="35" spans="11:21" x14ac:dyDescent="0.45">
      <c r="O35" s="23"/>
      <c r="P35" s="23"/>
      <c r="Q35" s="23"/>
      <c r="R35" s="23"/>
      <c r="S35" s="23"/>
      <c r="T35" s="23"/>
      <c r="U35" s="23"/>
    </row>
    <row r="36" spans="11:21" x14ac:dyDescent="0.45">
      <c r="O36" s="23"/>
      <c r="P36" s="23"/>
      <c r="Q36" s="23"/>
      <c r="R36" s="23"/>
      <c r="S36" s="23"/>
      <c r="T36" s="23"/>
    </row>
    <row r="37" spans="11:21" x14ac:dyDescent="0.45">
      <c r="O37" s="23"/>
      <c r="P37" s="23"/>
      <c r="Q37" s="23"/>
      <c r="R37" s="23"/>
      <c r="S37" s="23"/>
      <c r="T37" s="23"/>
    </row>
    <row r="38" spans="11:21" x14ac:dyDescent="0.45">
      <c r="O38" s="23"/>
      <c r="P38" s="23"/>
      <c r="Q38" s="23"/>
      <c r="R38" s="23"/>
      <c r="S38" s="23"/>
      <c r="T38" s="23"/>
    </row>
    <row r="39" spans="11:21" x14ac:dyDescent="0.45">
      <c r="O39" s="23"/>
      <c r="P39" s="23"/>
      <c r="Q39" s="23"/>
      <c r="R39" s="23"/>
      <c r="S39" s="23"/>
      <c r="T39" s="23"/>
    </row>
    <row r="40" spans="11:21" x14ac:dyDescent="0.45">
      <c r="O40" s="23"/>
      <c r="P40" s="23"/>
      <c r="Q40" s="23"/>
      <c r="R40" s="23"/>
      <c r="S40" s="23"/>
      <c r="T40" s="23"/>
    </row>
    <row r="41" spans="11:21" x14ac:dyDescent="0.45">
      <c r="O41" s="23"/>
      <c r="P41" s="23"/>
      <c r="Q41" s="23"/>
      <c r="R41" s="23"/>
      <c r="S41" s="23"/>
      <c r="T41" s="23"/>
    </row>
    <row r="42" spans="11:21" x14ac:dyDescent="0.45">
      <c r="O42" s="23"/>
      <c r="P42" s="23"/>
      <c r="Q42" s="23"/>
      <c r="R42" s="23"/>
      <c r="S42" s="23"/>
      <c r="T42" s="23"/>
    </row>
    <row r="43" spans="11:21" x14ac:dyDescent="0.45">
      <c r="T43" s="23"/>
    </row>
  </sheetData>
  <pageMargins left="0.7" right="0.7" top="0.75" bottom="0.75" header="0.3" footer="0.3"/>
  <pageSetup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V61"/>
  <sheetViews>
    <sheetView workbookViewId="0">
      <selection activeCell="T28" sqref="T27:T28"/>
    </sheetView>
  </sheetViews>
  <sheetFormatPr defaultRowHeight="15" x14ac:dyDescent="0.4"/>
  <cols>
    <col min="2" max="2" width="9.6640625" customWidth="1"/>
    <col min="3" max="3" width="8.77734375" customWidth="1"/>
    <col min="4" max="4" width="6.77734375" customWidth="1"/>
    <col min="5" max="5" width="8.77734375" customWidth="1"/>
    <col min="6" max="6" width="6.77734375" customWidth="1"/>
    <col min="7" max="7" width="7.5546875" customWidth="1"/>
    <col min="8" max="9" width="8.21875" customWidth="1"/>
    <col min="10" max="10" width="13.33203125" customWidth="1"/>
    <col min="11" max="12" width="8.77734375" customWidth="1"/>
    <col min="13" max="14" width="7.77734375" customWidth="1"/>
    <col min="15" max="16" width="8.21875" customWidth="1"/>
    <col min="18" max="18" width="16.44140625" customWidth="1"/>
    <col min="19" max="19" width="7.77734375" customWidth="1"/>
    <col min="20" max="20" width="9.88671875" customWidth="1"/>
    <col min="21" max="22" width="7.77734375" customWidth="1"/>
  </cols>
  <sheetData>
    <row r="2" spans="2:22" ht="15.75" x14ac:dyDescent="0.5">
      <c r="R2" s="598" t="s">
        <v>199</v>
      </c>
      <c r="S2" s="598"/>
      <c r="T2" s="598"/>
      <c r="U2" s="598"/>
      <c r="V2" s="598"/>
    </row>
    <row r="3" spans="2:22" ht="15.75" x14ac:dyDescent="0.5">
      <c r="R3" s="599" t="s">
        <v>203</v>
      </c>
      <c r="S3" s="599"/>
      <c r="T3" s="599"/>
      <c r="U3" s="599"/>
      <c r="V3" s="599"/>
    </row>
    <row r="4" spans="2:22" ht="15.4" x14ac:dyDescent="0.45">
      <c r="R4" s="532"/>
      <c r="S4" s="600" t="s">
        <v>201</v>
      </c>
      <c r="T4" s="600"/>
      <c r="U4" s="536" t="s">
        <v>200</v>
      </c>
      <c r="V4" s="536" t="s">
        <v>11</v>
      </c>
    </row>
    <row r="5" spans="2:22" ht="17.649999999999999" x14ac:dyDescent="0.75">
      <c r="R5" s="551"/>
      <c r="S5" s="536" t="s">
        <v>198</v>
      </c>
      <c r="T5" s="552" t="s">
        <v>10</v>
      </c>
      <c r="U5" s="536" t="s">
        <v>192</v>
      </c>
      <c r="V5" s="536" t="s">
        <v>192</v>
      </c>
    </row>
    <row r="6" spans="2:22" ht="15.4" x14ac:dyDescent="0.45">
      <c r="R6" s="553" t="s">
        <v>202</v>
      </c>
      <c r="S6" s="540">
        <f>Rates!F36</f>
        <v>3.1</v>
      </c>
      <c r="T6" s="540">
        <f>Rates!L36</f>
        <v>3.34</v>
      </c>
      <c r="U6" s="554">
        <f>T6-S6</f>
        <v>0.23999999999999977</v>
      </c>
      <c r="V6" s="555">
        <f>ROUND(U6/S6,4)</f>
        <v>7.7399999999999997E-2</v>
      </c>
    </row>
    <row r="9" spans="2:22" ht="15.75" x14ac:dyDescent="0.5">
      <c r="B9" s="598" t="s">
        <v>199</v>
      </c>
      <c r="C9" s="598"/>
      <c r="D9" s="598"/>
      <c r="E9" s="598"/>
      <c r="F9" s="598"/>
      <c r="G9" s="598"/>
      <c r="H9" s="598"/>
      <c r="I9" s="531"/>
      <c r="J9" s="531"/>
      <c r="K9" s="531"/>
      <c r="L9" s="531"/>
      <c r="M9" s="531"/>
      <c r="N9" s="531"/>
      <c r="O9" s="531"/>
      <c r="P9" s="531"/>
    </row>
    <row r="10" spans="2:22" ht="8.1" customHeight="1" x14ac:dyDescent="0.4">
      <c r="B10" s="532"/>
      <c r="C10" s="532"/>
      <c r="D10" s="532"/>
      <c r="E10" s="532"/>
      <c r="F10" s="532"/>
      <c r="G10" s="532"/>
      <c r="H10" s="532"/>
      <c r="I10" s="532"/>
      <c r="J10" s="532"/>
      <c r="K10" s="532"/>
      <c r="L10" s="532"/>
      <c r="M10" s="532"/>
      <c r="N10" s="532"/>
      <c r="O10" s="532"/>
      <c r="P10" s="532"/>
    </row>
    <row r="11" spans="2:22" ht="15" customHeight="1" x14ac:dyDescent="0.45">
      <c r="B11" s="601" t="s">
        <v>560</v>
      </c>
      <c r="C11" s="601"/>
      <c r="D11" s="601"/>
      <c r="E11" s="601"/>
      <c r="F11" s="601"/>
      <c r="G11" s="601"/>
      <c r="H11" s="601"/>
      <c r="I11" s="533"/>
      <c r="J11" s="601" t="s">
        <v>571</v>
      </c>
      <c r="K11" s="601"/>
      <c r="L11" s="601"/>
      <c r="M11" s="601"/>
      <c r="N11" s="601"/>
      <c r="O11" s="533"/>
      <c r="P11" s="533"/>
      <c r="R11" s="37"/>
      <c r="S11" s="597"/>
      <c r="T11" s="597"/>
      <c r="U11" s="319" t="s">
        <v>200</v>
      </c>
      <c r="V11" s="319" t="s">
        <v>11</v>
      </c>
    </row>
    <row r="12" spans="2:22" ht="15" customHeight="1" x14ac:dyDescent="0.45">
      <c r="B12" s="534"/>
      <c r="C12" s="602" t="s">
        <v>198</v>
      </c>
      <c r="D12" s="602"/>
      <c r="E12" s="602" t="s">
        <v>10</v>
      </c>
      <c r="F12" s="602"/>
      <c r="G12" s="545" t="s">
        <v>200</v>
      </c>
      <c r="H12" s="545" t="s">
        <v>11</v>
      </c>
      <c r="I12" s="545"/>
      <c r="J12" s="543"/>
      <c r="K12" s="604" t="s">
        <v>568</v>
      </c>
      <c r="L12" s="604"/>
      <c r="M12" s="536" t="s">
        <v>200</v>
      </c>
      <c r="N12" s="536" t="s">
        <v>11</v>
      </c>
      <c r="O12" s="545"/>
      <c r="P12" s="545"/>
      <c r="R12" s="37"/>
      <c r="S12" s="319" t="s">
        <v>198</v>
      </c>
      <c r="T12" s="319" t="s">
        <v>10</v>
      </c>
      <c r="U12" s="319" t="s">
        <v>192</v>
      </c>
      <c r="V12" s="319" t="s">
        <v>192</v>
      </c>
    </row>
    <row r="13" spans="2:22" ht="15" customHeight="1" x14ac:dyDescent="0.75">
      <c r="B13" s="535" t="s">
        <v>529</v>
      </c>
      <c r="C13" s="550" t="s">
        <v>561</v>
      </c>
      <c r="D13" s="550" t="s">
        <v>336</v>
      </c>
      <c r="E13" s="550" t="s">
        <v>561</v>
      </c>
      <c r="F13" s="550" t="s">
        <v>336</v>
      </c>
      <c r="G13" s="544" t="s">
        <v>192</v>
      </c>
      <c r="H13" s="544" t="s">
        <v>192</v>
      </c>
      <c r="I13" s="544"/>
      <c r="J13" s="548" t="s">
        <v>569</v>
      </c>
      <c r="K13" s="535" t="s">
        <v>198</v>
      </c>
      <c r="L13" s="535" t="s">
        <v>10</v>
      </c>
      <c r="M13" s="536" t="s">
        <v>192</v>
      </c>
      <c r="N13" s="536" t="s">
        <v>192</v>
      </c>
      <c r="O13" s="544"/>
      <c r="P13" s="544"/>
      <c r="R13" s="23">
        <v>2750000</v>
      </c>
      <c r="S13" s="37">
        <f>S6*2750</f>
        <v>8525</v>
      </c>
      <c r="T13" s="37">
        <f>T6*2750</f>
        <v>9185</v>
      </c>
      <c r="U13" s="318">
        <f>T13-S13</f>
        <v>660</v>
      </c>
      <c r="V13" s="81">
        <f>ROUND(U13/S13,4)</f>
        <v>7.7399999999999997E-2</v>
      </c>
    </row>
    <row r="14" spans="2:22" ht="15" customHeight="1" x14ac:dyDescent="0.45">
      <c r="B14" s="537" t="s">
        <v>562</v>
      </c>
      <c r="C14" s="538">
        <v>1500</v>
      </c>
      <c r="D14" s="539">
        <f>Rates!$F$12</f>
        <v>16.399999999999999</v>
      </c>
      <c r="E14" s="538">
        <v>1500</v>
      </c>
      <c r="F14" s="539">
        <f>Rates!L12</f>
        <v>18.329999999999998</v>
      </c>
      <c r="G14" s="540">
        <f>ROUND(F14-D14,2)</f>
        <v>1.93</v>
      </c>
      <c r="H14" s="541">
        <f>G14/D14</f>
        <v>0.1176829268292683</v>
      </c>
      <c r="I14" s="541"/>
      <c r="J14" s="549" t="s">
        <v>570</v>
      </c>
      <c r="K14" s="539">
        <f>Rates!F13</f>
        <v>6.14</v>
      </c>
      <c r="L14" s="539">
        <f>Rates!L13</f>
        <v>8.6499999999999986</v>
      </c>
      <c r="M14" s="540">
        <f>L14-K14</f>
        <v>2.5099999999999989</v>
      </c>
      <c r="N14" s="541">
        <f>M14/K14</f>
        <v>0.40879478827361548</v>
      </c>
      <c r="O14" s="541"/>
      <c r="P14" s="541"/>
    </row>
    <row r="15" spans="2:22" ht="15" customHeight="1" x14ac:dyDescent="0.45">
      <c r="B15" s="537" t="s">
        <v>563</v>
      </c>
      <c r="C15" s="538">
        <v>1500</v>
      </c>
      <c r="D15" s="546">
        <f>Rates!$F$12</f>
        <v>16.399999999999999</v>
      </c>
      <c r="E15" s="538">
        <v>5000</v>
      </c>
      <c r="F15" s="542">
        <f>Rates!L16</f>
        <v>49.67</v>
      </c>
      <c r="G15" s="547">
        <f t="shared" ref="G15:G19" si="0">ROUND(F15-D15,2)</f>
        <v>33.270000000000003</v>
      </c>
      <c r="H15" s="541">
        <f t="shared" ref="H15:H19" si="1">G15/D15</f>
        <v>2.0286585365853664</v>
      </c>
      <c r="I15" s="541"/>
      <c r="J15" s="541"/>
      <c r="K15" s="541"/>
      <c r="L15" s="541"/>
      <c r="M15" s="541"/>
      <c r="N15" s="541"/>
      <c r="O15" s="541"/>
      <c r="P15" s="541"/>
    </row>
    <row r="16" spans="2:22" ht="15" customHeight="1" x14ac:dyDescent="0.45">
      <c r="B16" s="537" t="s">
        <v>567</v>
      </c>
      <c r="C16" s="538">
        <v>1500</v>
      </c>
      <c r="D16" s="546">
        <f>Rates!$F$12</f>
        <v>16.399999999999999</v>
      </c>
      <c r="E16" s="538">
        <v>10000</v>
      </c>
      <c r="F16" s="542">
        <f>Rates!L20</f>
        <v>93.99</v>
      </c>
      <c r="G16" s="547">
        <f t="shared" si="0"/>
        <v>77.59</v>
      </c>
      <c r="H16" s="541">
        <f t="shared" si="1"/>
        <v>4.7310975609756101</v>
      </c>
      <c r="I16" s="541"/>
      <c r="J16" s="541"/>
      <c r="K16" s="541"/>
      <c r="L16" s="541"/>
      <c r="M16" s="541"/>
      <c r="N16" s="541"/>
      <c r="O16" s="541"/>
      <c r="P16" s="541"/>
    </row>
    <row r="17" spans="1:19" ht="15" customHeight="1" x14ac:dyDescent="0.45">
      <c r="B17" s="537" t="s">
        <v>564</v>
      </c>
      <c r="C17" s="538">
        <v>1500</v>
      </c>
      <c r="D17" s="546">
        <f>Rates!$F$12</f>
        <v>16.399999999999999</v>
      </c>
      <c r="E17" s="538">
        <v>16000</v>
      </c>
      <c r="F17" s="542">
        <f>Rates!L24</f>
        <v>148.82</v>
      </c>
      <c r="G17" s="547">
        <f t="shared" si="0"/>
        <v>132.41999999999999</v>
      </c>
      <c r="H17" s="541">
        <f t="shared" si="1"/>
        <v>8.0743902439024389</v>
      </c>
      <c r="I17" s="541"/>
      <c r="J17" s="541"/>
      <c r="K17" s="541"/>
      <c r="L17" s="541"/>
      <c r="M17" s="541"/>
      <c r="N17" s="541"/>
      <c r="O17" s="541"/>
      <c r="P17" s="541"/>
    </row>
    <row r="18" spans="1:19" ht="15" customHeight="1" x14ac:dyDescent="0.45">
      <c r="A18" s="37"/>
      <c r="B18" s="537" t="s">
        <v>565</v>
      </c>
      <c r="C18" s="538">
        <v>1500</v>
      </c>
      <c r="D18" s="546">
        <f>Rates!$F$12</f>
        <v>16.399999999999999</v>
      </c>
      <c r="E18" s="538">
        <v>30000</v>
      </c>
      <c r="F18" s="542">
        <f>Rates!L28</f>
        <v>291.55</v>
      </c>
      <c r="G18" s="547">
        <f t="shared" si="0"/>
        <v>275.14999999999998</v>
      </c>
      <c r="H18" s="541">
        <f t="shared" si="1"/>
        <v>16.777439024390244</v>
      </c>
      <c r="I18" s="541"/>
      <c r="J18" s="541"/>
      <c r="K18" s="541"/>
      <c r="L18" s="541"/>
      <c r="M18" s="541"/>
      <c r="N18" s="541"/>
      <c r="O18" s="541"/>
      <c r="P18" s="541"/>
      <c r="Q18" s="37"/>
      <c r="R18" s="37"/>
      <c r="S18" s="37"/>
    </row>
    <row r="19" spans="1:19" ht="15" customHeight="1" x14ac:dyDescent="0.45">
      <c r="A19" s="37"/>
      <c r="B19" s="537" t="s">
        <v>566</v>
      </c>
      <c r="C19" s="538">
        <v>1500</v>
      </c>
      <c r="D19" s="546">
        <f>Rates!$F$12</f>
        <v>16.399999999999999</v>
      </c>
      <c r="E19" s="538">
        <v>50000</v>
      </c>
      <c r="F19" s="542">
        <f>Rates!L32</f>
        <v>491.25</v>
      </c>
      <c r="G19" s="547">
        <f t="shared" si="0"/>
        <v>474.85</v>
      </c>
      <c r="H19" s="541">
        <f t="shared" si="1"/>
        <v>28.954268292682929</v>
      </c>
      <c r="I19" s="541"/>
      <c r="J19" s="541"/>
      <c r="K19" s="541"/>
      <c r="L19" s="541"/>
      <c r="M19" s="541"/>
      <c r="N19" s="541"/>
      <c r="O19" s="541"/>
      <c r="P19" s="541"/>
      <c r="Q19" s="37"/>
      <c r="R19" s="37"/>
      <c r="S19" s="37"/>
    </row>
    <row r="20" spans="1:19" ht="15" customHeight="1" x14ac:dyDescent="0.45">
      <c r="A20" s="37"/>
      <c r="B20" s="537"/>
      <c r="C20" s="538"/>
      <c r="D20" s="546"/>
      <c r="E20" s="538"/>
      <c r="F20" s="542"/>
      <c r="G20" s="547"/>
      <c r="H20" s="541"/>
      <c r="I20" s="541"/>
      <c r="J20" s="541"/>
      <c r="K20" s="541"/>
      <c r="L20" s="541"/>
      <c r="M20" s="541"/>
      <c r="N20" s="541"/>
      <c r="O20" s="541"/>
      <c r="P20" s="541"/>
      <c r="Q20" s="37"/>
      <c r="R20" s="37"/>
      <c r="S20" s="37"/>
    </row>
    <row r="21" spans="1:19" ht="15" customHeight="1" x14ac:dyDescent="0.45">
      <c r="A21" s="37"/>
      <c r="B21" s="537"/>
      <c r="C21" s="601"/>
      <c r="D21" s="601"/>
      <c r="E21" s="601"/>
      <c r="F21" s="601"/>
      <c r="G21" s="601"/>
      <c r="H21" s="541"/>
      <c r="I21" s="541"/>
      <c r="J21" s="541"/>
      <c r="K21" s="541"/>
      <c r="L21" s="541"/>
      <c r="M21" s="541"/>
      <c r="N21" s="541"/>
      <c r="O21" s="541"/>
      <c r="P21" s="541"/>
      <c r="Q21" s="37"/>
      <c r="R21" s="37"/>
      <c r="S21" s="37"/>
    </row>
    <row r="22" spans="1:19" ht="15" customHeight="1" x14ac:dyDescent="0.75">
      <c r="A22" s="37"/>
      <c r="B22" s="537"/>
      <c r="C22" s="603"/>
      <c r="D22" s="603"/>
      <c r="E22" s="548"/>
      <c r="F22" s="533"/>
      <c r="G22" s="533"/>
      <c r="H22" s="541"/>
      <c r="I22" s="541"/>
      <c r="J22" s="541"/>
      <c r="K22" s="541"/>
      <c r="L22" s="541"/>
      <c r="M22" s="541"/>
      <c r="N22" s="541"/>
      <c r="O22" s="541"/>
      <c r="P22" s="541"/>
      <c r="Q22" s="37"/>
      <c r="R22" s="37"/>
      <c r="S22" s="37"/>
    </row>
    <row r="23" spans="1:19" ht="15" customHeight="1" x14ac:dyDescent="0.45">
      <c r="A23" s="37"/>
      <c r="B23" s="537"/>
      <c r="C23" s="543"/>
      <c r="D23" s="604"/>
      <c r="E23" s="604"/>
      <c r="F23" s="536"/>
      <c r="G23" s="536"/>
      <c r="H23" s="541"/>
      <c r="I23" s="541"/>
      <c r="J23" s="541"/>
      <c r="K23" s="541"/>
      <c r="L23" s="541"/>
      <c r="M23" s="541"/>
      <c r="N23" s="541"/>
      <c r="O23" s="541"/>
      <c r="P23" s="541"/>
      <c r="Q23" s="37"/>
      <c r="R23" s="37"/>
      <c r="S23" s="37"/>
    </row>
    <row r="24" spans="1:19" ht="15" customHeight="1" x14ac:dyDescent="0.75">
      <c r="A24" s="37"/>
      <c r="B24" s="537"/>
      <c r="C24" s="548"/>
      <c r="D24" s="535"/>
      <c r="E24" s="535"/>
      <c r="F24" s="536"/>
      <c r="G24" s="536"/>
      <c r="H24" s="541"/>
      <c r="I24" s="541"/>
      <c r="J24" s="541"/>
      <c r="K24" s="541"/>
      <c r="L24" s="541"/>
      <c r="M24" s="541"/>
      <c r="N24" s="541"/>
      <c r="O24" s="541"/>
      <c r="P24" s="541"/>
      <c r="Q24" s="37"/>
      <c r="R24" s="37"/>
      <c r="S24" s="37"/>
    </row>
    <row r="25" spans="1:19" ht="15" customHeight="1" x14ac:dyDescent="0.45">
      <c r="A25" s="37"/>
      <c r="B25" s="537"/>
      <c r="C25" s="549"/>
      <c r="D25" s="539"/>
      <c r="E25" s="539"/>
      <c r="F25" s="540"/>
      <c r="G25" s="541"/>
      <c r="H25" s="541"/>
      <c r="I25" s="541"/>
      <c r="J25" s="541"/>
      <c r="K25" s="541"/>
      <c r="L25" s="541"/>
      <c r="M25" s="541"/>
      <c r="N25" s="541"/>
      <c r="O25" s="541"/>
      <c r="P25" s="541"/>
      <c r="Q25" s="37"/>
      <c r="R25" s="37"/>
      <c r="S25" s="37"/>
    </row>
    <row r="26" spans="1:19" ht="15" customHeight="1" x14ac:dyDescent="0.45">
      <c r="A26" s="37"/>
      <c r="B26" s="537"/>
      <c r="C26" s="538"/>
      <c r="D26" s="546"/>
      <c r="E26" s="538"/>
      <c r="F26" s="542"/>
      <c r="G26" s="547"/>
      <c r="H26" s="541"/>
      <c r="I26" s="541"/>
      <c r="J26" s="541"/>
      <c r="K26" s="541"/>
      <c r="L26" s="541"/>
      <c r="M26" s="541"/>
      <c r="N26" s="541"/>
      <c r="O26" s="541"/>
      <c r="P26" s="541"/>
      <c r="Q26" s="37"/>
      <c r="R26" s="37"/>
      <c r="S26" s="37"/>
    </row>
    <row r="27" spans="1:19" ht="15" customHeight="1" x14ac:dyDescent="0.45">
      <c r="A27" s="37"/>
      <c r="B27" s="164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</row>
    <row r="28" spans="1:19" ht="15" customHeight="1" x14ac:dyDescent="0.45">
      <c r="A28" s="37"/>
      <c r="B28" s="164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29" spans="1:19" ht="15" customHeight="1" x14ac:dyDescent="0.4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</row>
    <row r="30" spans="1:19" ht="15" customHeight="1" x14ac:dyDescent="0.45">
      <c r="A30" s="37"/>
      <c r="B30" s="37"/>
      <c r="C30" s="597"/>
      <c r="D30" s="597"/>
      <c r="E30" s="319"/>
      <c r="F30" s="319" t="s">
        <v>200</v>
      </c>
      <c r="G30" s="319" t="s">
        <v>11</v>
      </c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1:19" ht="15" customHeight="1" x14ac:dyDescent="0.45">
      <c r="A31" s="37"/>
      <c r="B31" s="37"/>
      <c r="C31" s="319" t="s">
        <v>198</v>
      </c>
      <c r="D31" s="319" t="s">
        <v>10</v>
      </c>
      <c r="E31" s="319"/>
      <c r="F31" s="319" t="s">
        <v>192</v>
      </c>
      <c r="G31" s="319" t="s">
        <v>192</v>
      </c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19" ht="15" customHeight="1" x14ac:dyDescent="0.45">
      <c r="A32" s="37"/>
      <c r="B32" s="320" t="s">
        <v>358</v>
      </c>
      <c r="C32" s="37">
        <f>ROUND(D14+1.5*K14,2)</f>
        <v>25.61</v>
      </c>
      <c r="D32" s="37">
        <f>ROUND(F14+1.5*L14,2)</f>
        <v>31.31</v>
      </c>
      <c r="E32" s="37"/>
      <c r="F32" s="318">
        <f>D32-C32</f>
        <v>5.6999999999999993</v>
      </c>
      <c r="G32" s="81">
        <f>ROUND(F32/C32,4)</f>
        <v>0.22259999999999999</v>
      </c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1:19" ht="15" customHeight="1" x14ac:dyDescent="0.4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</row>
    <row r="34" spans="1:19" ht="15" customHeight="1" x14ac:dyDescent="0.4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</row>
    <row r="35" spans="1:19" ht="15" customHeight="1" x14ac:dyDescent="0.4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ht="15" customHeight="1" x14ac:dyDescent="0.4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1:19" ht="15" customHeight="1" x14ac:dyDescent="0.4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1:19" ht="15" customHeight="1" x14ac:dyDescent="0.4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</row>
    <row r="39" spans="1:19" ht="15" customHeight="1" x14ac:dyDescent="0.4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</row>
    <row r="40" spans="1:19" ht="15" customHeight="1" x14ac:dyDescent="0.4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</row>
    <row r="41" spans="1:19" ht="15" customHeight="1" x14ac:dyDescent="0.4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  <row r="42" spans="1:19" ht="15" customHeight="1" x14ac:dyDescent="0.4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</row>
    <row r="43" spans="1:19" ht="15" customHeight="1" x14ac:dyDescent="0.4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</row>
    <row r="44" spans="1:19" ht="15" customHeight="1" x14ac:dyDescent="0.4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</row>
    <row r="45" spans="1:19" ht="15" customHeight="1" x14ac:dyDescent="0.4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</row>
    <row r="46" spans="1:19" ht="15" customHeight="1" x14ac:dyDescent="0.4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</row>
    <row r="47" spans="1:19" ht="15" customHeight="1" x14ac:dyDescent="0.4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</row>
    <row r="48" spans="1:19" ht="15" customHeight="1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5" customHeight="1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5" customHeight="1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5" customHeight="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5" customHeight="1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5" customHeight="1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5" customHeight="1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5" customHeight="1" x14ac:dyDescent="0.4"/>
    <row r="56" spans="1:19" ht="15" customHeight="1" x14ac:dyDescent="0.4"/>
    <row r="57" spans="1:19" ht="15" customHeight="1" x14ac:dyDescent="0.4"/>
    <row r="58" spans="1:19" ht="15" customHeight="1" x14ac:dyDescent="0.4"/>
    <row r="59" spans="1:19" ht="15" customHeight="1" x14ac:dyDescent="0.4"/>
    <row r="60" spans="1:19" ht="15" customHeight="1" x14ac:dyDescent="0.4"/>
    <row r="61" spans="1:19" ht="15" customHeight="1" x14ac:dyDescent="0.4"/>
  </sheetData>
  <mergeCells count="14">
    <mergeCell ref="C30:D30"/>
    <mergeCell ref="S11:T11"/>
    <mergeCell ref="R2:V2"/>
    <mergeCell ref="R3:V3"/>
    <mergeCell ref="S4:T4"/>
    <mergeCell ref="B9:H9"/>
    <mergeCell ref="B11:H11"/>
    <mergeCell ref="C12:D12"/>
    <mergeCell ref="E12:F12"/>
    <mergeCell ref="C21:G21"/>
    <mergeCell ref="C22:D22"/>
    <mergeCell ref="D23:E23"/>
    <mergeCell ref="J11:N11"/>
    <mergeCell ref="K12:L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38"/>
  <sheetViews>
    <sheetView workbookViewId="0"/>
  </sheetViews>
  <sheetFormatPr defaultColWidth="8.88671875" defaultRowHeight="14.25" x14ac:dyDescent="0.45"/>
  <cols>
    <col min="1" max="1" width="8.88671875" style="120"/>
    <col min="2" max="2" width="11.33203125" style="1" customWidth="1"/>
    <col min="3" max="3" width="22.88671875" style="229" customWidth="1"/>
    <col min="4" max="4" width="8.33203125" style="1" bestFit="1" customWidth="1"/>
    <col min="5" max="6" width="8.88671875" style="1"/>
    <col min="7" max="7" width="2.21875" style="1" customWidth="1"/>
    <col min="8" max="8" width="8.88671875" style="23"/>
    <col min="9" max="9" width="10.77734375" style="1" customWidth="1"/>
    <col min="10" max="11" width="8.88671875" style="1"/>
    <col min="12" max="12" width="11.33203125" style="1" customWidth="1"/>
    <col min="13" max="13" width="10.77734375" style="37" customWidth="1"/>
    <col min="14" max="16384" width="8.88671875" style="1"/>
  </cols>
  <sheetData>
    <row r="2" spans="1:18" ht="15" customHeight="1" x14ac:dyDescent="0.45">
      <c r="D2" s="360" t="s">
        <v>534</v>
      </c>
      <c r="E2" s="360" t="s">
        <v>425</v>
      </c>
      <c r="F2" s="360" t="s">
        <v>427</v>
      </c>
      <c r="H2" s="372" t="s">
        <v>447</v>
      </c>
      <c r="I2" s="360" t="s">
        <v>428</v>
      </c>
      <c r="M2" s="369" t="s">
        <v>441</v>
      </c>
    </row>
    <row r="3" spans="1:18" ht="15" customHeight="1" x14ac:dyDescent="0.75">
      <c r="A3" s="169" t="s">
        <v>395</v>
      </c>
      <c r="B3" s="169" t="s">
        <v>396</v>
      </c>
      <c r="C3" s="361" t="s">
        <v>282</v>
      </c>
      <c r="D3" s="169" t="s">
        <v>283</v>
      </c>
      <c r="E3" s="169" t="s">
        <v>426</v>
      </c>
      <c r="F3" s="169" t="s">
        <v>426</v>
      </c>
      <c r="H3" s="362" t="s">
        <v>446</v>
      </c>
      <c r="I3" s="169" t="s">
        <v>314</v>
      </c>
      <c r="M3" s="169" t="s">
        <v>314</v>
      </c>
    </row>
    <row r="4" spans="1:18" ht="15.75" customHeight="1" x14ac:dyDescent="0.45">
      <c r="A4" s="120" t="s">
        <v>284</v>
      </c>
      <c r="B4" s="120" t="s">
        <v>397</v>
      </c>
      <c r="C4" s="248" t="s">
        <v>398</v>
      </c>
      <c r="D4" s="355">
        <v>28.52</v>
      </c>
      <c r="E4" s="356">
        <v>0</v>
      </c>
      <c r="F4" s="356">
        <v>0</v>
      </c>
      <c r="H4" s="23">
        <v>0</v>
      </c>
      <c r="I4" s="161">
        <f>(D4*E4)+(1.5*D4*F4)+H4</f>
        <v>0</v>
      </c>
      <c r="M4" s="37">
        <f>D4*E4</f>
        <v>0</v>
      </c>
    </row>
    <row r="5" spans="1:18" ht="15.75" customHeight="1" x14ac:dyDescent="0.45">
      <c r="A5" s="120" t="s">
        <v>285</v>
      </c>
      <c r="B5" s="120" t="s">
        <v>399</v>
      </c>
      <c r="C5" s="248" t="s">
        <v>286</v>
      </c>
      <c r="D5" s="357">
        <v>37.880000000000003</v>
      </c>
      <c r="E5" s="356">
        <v>0</v>
      </c>
      <c r="F5" s="356">
        <v>0</v>
      </c>
      <c r="I5" s="161"/>
      <c r="L5" s="23"/>
      <c r="N5" s="23"/>
      <c r="O5" s="23"/>
      <c r="P5" s="23"/>
      <c r="Q5" s="23"/>
      <c r="R5" s="23"/>
    </row>
    <row r="6" spans="1:18" ht="15.75" customHeight="1" x14ac:dyDescent="0.45">
      <c r="A6" s="120" t="s">
        <v>400</v>
      </c>
      <c r="B6" s="120" t="s">
        <v>399</v>
      </c>
      <c r="C6" s="461" t="s">
        <v>535</v>
      </c>
      <c r="D6" s="358">
        <v>64.900000000000006</v>
      </c>
      <c r="E6" s="356">
        <v>2080</v>
      </c>
      <c r="F6" s="356">
        <v>0</v>
      </c>
      <c r="H6" s="23">
        <v>500</v>
      </c>
      <c r="I6" s="161">
        <f t="shared" ref="I6:I35" si="0">(D6*E6)+(1.5*D6*F6)+H6</f>
        <v>135492</v>
      </c>
      <c r="L6" s="23"/>
      <c r="M6" s="37">
        <f>I6</f>
        <v>135492</v>
      </c>
      <c r="N6" s="23"/>
      <c r="O6" s="23"/>
      <c r="P6" s="23"/>
      <c r="Q6" s="23"/>
      <c r="R6" s="23"/>
    </row>
    <row r="7" spans="1:18" ht="15.75" customHeight="1" x14ac:dyDescent="0.45">
      <c r="A7" s="120" t="s">
        <v>287</v>
      </c>
      <c r="B7" s="120" t="s">
        <v>401</v>
      </c>
      <c r="C7" s="461" t="s">
        <v>288</v>
      </c>
      <c r="D7" s="359">
        <v>22.9</v>
      </c>
      <c r="E7" s="356">
        <v>2029.57</v>
      </c>
      <c r="F7" s="356">
        <v>32.89</v>
      </c>
      <c r="H7" s="23">
        <v>500</v>
      </c>
      <c r="I7" s="161">
        <f t="shared" si="0"/>
        <v>48106.924500000001</v>
      </c>
      <c r="L7" s="23"/>
      <c r="M7" s="37">
        <f>2080*D7</f>
        <v>47632</v>
      </c>
      <c r="N7" s="23"/>
      <c r="O7" s="23"/>
      <c r="P7" s="23"/>
      <c r="Q7" s="23"/>
      <c r="R7" s="23"/>
    </row>
    <row r="8" spans="1:18" ht="15.75" customHeight="1" x14ac:dyDescent="0.45">
      <c r="A8" s="120" t="s">
        <v>289</v>
      </c>
      <c r="B8" s="120" t="s">
        <v>56</v>
      </c>
      <c r="C8" s="461" t="s">
        <v>290</v>
      </c>
      <c r="D8" s="359">
        <v>27.07</v>
      </c>
      <c r="E8" s="356">
        <v>1662.25</v>
      </c>
      <c r="F8" s="356">
        <v>6.01</v>
      </c>
      <c r="H8" s="23">
        <v>500</v>
      </c>
      <c r="I8" s="161">
        <f t="shared" si="0"/>
        <v>45741.143550000001</v>
      </c>
      <c r="L8" s="23"/>
      <c r="M8" s="37">
        <f t="shared" ref="M8:M35" si="1">2080*D8</f>
        <v>56305.599999999999</v>
      </c>
      <c r="N8" s="23"/>
      <c r="O8" s="23"/>
      <c r="P8" s="23"/>
      <c r="Q8" s="23"/>
      <c r="R8" s="23"/>
    </row>
    <row r="9" spans="1:18" ht="15.75" customHeight="1" x14ac:dyDescent="0.45">
      <c r="A9" s="120" t="s">
        <v>291</v>
      </c>
      <c r="B9" s="120" t="s">
        <v>56</v>
      </c>
      <c r="C9" s="461" t="s">
        <v>292</v>
      </c>
      <c r="D9" s="359">
        <v>26.04</v>
      </c>
      <c r="E9" s="356">
        <v>2049.71</v>
      </c>
      <c r="F9" s="356">
        <v>51.11</v>
      </c>
      <c r="H9" s="23">
        <v>500</v>
      </c>
      <c r="I9" s="161">
        <f t="shared" si="0"/>
        <v>55870.805</v>
      </c>
      <c r="L9" s="23"/>
      <c r="M9" s="37">
        <f t="shared" si="1"/>
        <v>54163.199999999997</v>
      </c>
      <c r="N9" s="23"/>
      <c r="O9" s="23"/>
      <c r="P9" s="23"/>
      <c r="Q9" s="23"/>
      <c r="R9" s="23"/>
    </row>
    <row r="10" spans="1:18" ht="15.75" customHeight="1" x14ac:dyDescent="0.45">
      <c r="A10" s="120" t="s">
        <v>293</v>
      </c>
      <c r="B10" s="120" t="s">
        <v>397</v>
      </c>
      <c r="C10" s="461" t="s">
        <v>294</v>
      </c>
      <c r="D10" s="359">
        <v>27.32</v>
      </c>
      <c r="E10" s="356">
        <v>1936.5</v>
      </c>
      <c r="F10" s="356">
        <v>111.72</v>
      </c>
      <c r="H10" s="23">
        <v>500</v>
      </c>
      <c r="I10" s="161">
        <f t="shared" si="0"/>
        <v>57983.465600000003</v>
      </c>
      <c r="L10" s="23"/>
      <c r="M10" s="37">
        <f t="shared" si="1"/>
        <v>56825.599999999999</v>
      </c>
      <c r="N10" s="23"/>
      <c r="O10" s="23"/>
      <c r="P10" s="23"/>
      <c r="Q10" s="23"/>
      <c r="R10" s="23"/>
    </row>
    <row r="11" spans="1:18" ht="15.75" customHeight="1" x14ac:dyDescent="0.45">
      <c r="A11" s="120" t="s">
        <v>295</v>
      </c>
      <c r="B11" s="120" t="s">
        <v>402</v>
      </c>
      <c r="C11" s="461" t="s">
        <v>296</v>
      </c>
      <c r="D11" s="359">
        <v>27.32</v>
      </c>
      <c r="E11" s="373">
        <v>2080</v>
      </c>
      <c r="F11" s="356">
        <v>79.040000000000006</v>
      </c>
      <c r="H11" s="23">
        <v>500</v>
      </c>
      <c r="I11" s="161">
        <f t="shared" si="0"/>
        <v>60564.659200000002</v>
      </c>
      <c r="L11" s="23"/>
      <c r="M11" s="37">
        <f t="shared" si="1"/>
        <v>56825.599999999999</v>
      </c>
      <c r="N11" s="23"/>
      <c r="O11" s="23"/>
      <c r="P11" s="23"/>
      <c r="Q11" s="23"/>
      <c r="R11" s="23"/>
    </row>
    <row r="12" spans="1:18" ht="15.75" customHeight="1" x14ac:dyDescent="0.45">
      <c r="A12" s="120" t="s">
        <v>297</v>
      </c>
      <c r="B12" s="120" t="s">
        <v>56</v>
      </c>
      <c r="C12" s="461" t="s">
        <v>298</v>
      </c>
      <c r="D12" s="359">
        <v>27.07</v>
      </c>
      <c r="E12" s="356">
        <v>2076.83</v>
      </c>
      <c r="F12" s="356">
        <v>200.42</v>
      </c>
      <c r="H12" s="23">
        <v>500</v>
      </c>
      <c r="I12" s="161">
        <f t="shared" si="0"/>
        <v>64857.842199999999</v>
      </c>
      <c r="L12" s="23"/>
      <c r="M12" s="37">
        <f t="shared" si="1"/>
        <v>56305.599999999999</v>
      </c>
      <c r="N12" s="23"/>
      <c r="O12" s="23"/>
      <c r="P12" s="23"/>
      <c r="Q12" s="23"/>
      <c r="R12" s="23"/>
    </row>
    <row r="13" spans="1:18" ht="15.75" customHeight="1" x14ac:dyDescent="0.45">
      <c r="A13" s="120" t="s">
        <v>299</v>
      </c>
      <c r="B13" s="120" t="s">
        <v>56</v>
      </c>
      <c r="C13" s="461" t="s">
        <v>300</v>
      </c>
      <c r="D13" s="359">
        <v>32.729999999999997</v>
      </c>
      <c r="E13" s="356">
        <v>2076</v>
      </c>
      <c r="F13" s="356">
        <v>305.83999999999997</v>
      </c>
      <c r="H13" s="23">
        <v>500</v>
      </c>
      <c r="I13" s="161">
        <f t="shared" si="0"/>
        <v>83462.694799999997</v>
      </c>
      <c r="L13" s="23"/>
      <c r="M13" s="37">
        <f t="shared" si="1"/>
        <v>68078.399999999994</v>
      </c>
      <c r="N13" s="23"/>
      <c r="O13" s="23"/>
      <c r="P13" s="23"/>
      <c r="Q13" s="23"/>
      <c r="R13" s="23"/>
    </row>
    <row r="14" spans="1:18" ht="15.75" customHeight="1" x14ac:dyDescent="0.45">
      <c r="A14" s="120" t="s">
        <v>301</v>
      </c>
      <c r="B14" s="120" t="s">
        <v>402</v>
      </c>
      <c r="C14" s="461" t="s">
        <v>302</v>
      </c>
      <c r="D14" s="359">
        <v>25.04</v>
      </c>
      <c r="E14" s="356">
        <v>2076</v>
      </c>
      <c r="F14" s="356">
        <v>17.95</v>
      </c>
      <c r="H14" s="23">
        <v>500</v>
      </c>
      <c r="I14" s="161">
        <f t="shared" si="0"/>
        <v>53157.241999999998</v>
      </c>
      <c r="L14" s="23"/>
      <c r="M14" s="37">
        <f t="shared" si="1"/>
        <v>52083.199999999997</v>
      </c>
      <c r="N14" s="23"/>
      <c r="O14" s="23"/>
      <c r="P14" s="23"/>
      <c r="Q14" s="23"/>
      <c r="R14" s="23"/>
    </row>
    <row r="15" spans="1:18" ht="15.75" customHeight="1" x14ac:dyDescent="0.45">
      <c r="A15" s="120" t="s">
        <v>303</v>
      </c>
      <c r="B15" s="120" t="s">
        <v>401</v>
      </c>
      <c r="C15" s="460" t="s">
        <v>537</v>
      </c>
      <c r="D15" s="359">
        <v>21.51</v>
      </c>
      <c r="E15" s="356">
        <v>2080</v>
      </c>
      <c r="F15" s="356">
        <v>25.2</v>
      </c>
      <c r="H15" s="23">
        <v>500</v>
      </c>
      <c r="I15" s="161">
        <f t="shared" ref="I15" si="2">(D15*E15)+(1.5*D15*F15)+H15</f>
        <v>46053.878000000004</v>
      </c>
      <c r="L15" s="23"/>
      <c r="M15" s="37">
        <f t="shared" si="1"/>
        <v>44740.800000000003</v>
      </c>
      <c r="N15" s="23"/>
      <c r="O15" s="23"/>
      <c r="P15" s="23"/>
      <c r="Q15" s="23"/>
      <c r="R15" s="23"/>
    </row>
    <row r="16" spans="1:18" ht="15.75" customHeight="1" x14ac:dyDescent="0.45">
      <c r="A16" s="120" t="s">
        <v>304</v>
      </c>
      <c r="B16" s="120" t="s">
        <v>401</v>
      </c>
      <c r="C16" s="461" t="s">
        <v>305</v>
      </c>
      <c r="D16" s="359">
        <v>20.22</v>
      </c>
      <c r="E16" s="373">
        <v>2080</v>
      </c>
      <c r="F16" s="356">
        <v>7.09</v>
      </c>
      <c r="H16" s="23">
        <v>500</v>
      </c>
      <c r="I16" s="161">
        <f t="shared" si="0"/>
        <v>42772.6397</v>
      </c>
      <c r="L16" s="23"/>
      <c r="M16" s="37">
        <f t="shared" si="1"/>
        <v>42057.599999999999</v>
      </c>
      <c r="N16" s="23"/>
      <c r="O16" s="23"/>
      <c r="P16" s="23"/>
      <c r="Q16" s="23"/>
      <c r="R16" s="23"/>
    </row>
    <row r="17" spans="1:18" ht="15.75" customHeight="1" x14ac:dyDescent="0.45">
      <c r="B17" s="120" t="s">
        <v>399</v>
      </c>
      <c r="C17" s="460" t="s">
        <v>538</v>
      </c>
      <c r="D17" s="359">
        <v>26.59</v>
      </c>
      <c r="E17" s="356">
        <v>2063.2600000000002</v>
      </c>
      <c r="F17" s="356">
        <v>64.45</v>
      </c>
      <c r="H17" s="23">
        <v>500</v>
      </c>
      <c r="I17" s="161">
        <f t="shared" si="0"/>
        <v>57932.671650000004</v>
      </c>
      <c r="L17" s="23"/>
      <c r="M17" s="37">
        <f t="shared" si="1"/>
        <v>55307.199999999997</v>
      </c>
      <c r="N17" s="23"/>
      <c r="O17" s="23"/>
      <c r="P17" s="23"/>
      <c r="Q17" s="23">
        <f>30*624.4*12</f>
        <v>224784</v>
      </c>
      <c r="R17" s="23"/>
    </row>
    <row r="18" spans="1:18" ht="15.75" customHeight="1" x14ac:dyDescent="0.45">
      <c r="A18" s="120" t="s">
        <v>306</v>
      </c>
      <c r="B18" s="120" t="s">
        <v>56</v>
      </c>
      <c r="C18" s="461" t="s">
        <v>307</v>
      </c>
      <c r="D18" s="359">
        <v>25.04</v>
      </c>
      <c r="E18" s="356">
        <v>2077.98</v>
      </c>
      <c r="F18" s="356">
        <v>255.94</v>
      </c>
      <c r="H18" s="23">
        <v>500</v>
      </c>
      <c r="I18" s="161">
        <f t="shared" si="0"/>
        <v>62145.725600000005</v>
      </c>
      <c r="L18" s="23"/>
      <c r="M18" s="37">
        <f t="shared" si="1"/>
        <v>52083.199999999997</v>
      </c>
      <c r="N18" s="23"/>
      <c r="O18" s="23"/>
      <c r="P18" s="23"/>
      <c r="Q18" s="23"/>
      <c r="R18" s="23"/>
    </row>
    <row r="19" spans="1:18" ht="15.75" customHeight="1" x14ac:dyDescent="0.45">
      <c r="A19" s="120" t="s">
        <v>308</v>
      </c>
      <c r="B19" s="120" t="s">
        <v>56</v>
      </c>
      <c r="C19" s="461" t="s">
        <v>309</v>
      </c>
      <c r="D19" s="359">
        <v>25.04</v>
      </c>
      <c r="E19" s="356">
        <v>2076.83</v>
      </c>
      <c r="F19" s="356">
        <v>124.66</v>
      </c>
      <c r="H19" s="23">
        <v>500</v>
      </c>
      <c r="I19" s="161">
        <f t="shared" si="0"/>
        <v>57186.052799999998</v>
      </c>
      <c r="L19" s="23"/>
      <c r="M19" s="37">
        <f t="shared" si="1"/>
        <v>52083.199999999997</v>
      </c>
      <c r="N19" s="23"/>
      <c r="O19" s="23"/>
      <c r="P19" s="23"/>
      <c r="Q19" s="23"/>
      <c r="R19" s="23"/>
    </row>
    <row r="20" spans="1:18" ht="15.75" customHeight="1" x14ac:dyDescent="0.45">
      <c r="A20" s="120" t="s">
        <v>310</v>
      </c>
      <c r="B20" s="120" t="s">
        <v>397</v>
      </c>
      <c r="C20" s="461" t="s">
        <v>311</v>
      </c>
      <c r="D20" s="359">
        <v>34.94</v>
      </c>
      <c r="E20" s="356">
        <v>2078</v>
      </c>
      <c r="F20" s="356">
        <v>174.86</v>
      </c>
      <c r="H20" s="23">
        <v>500</v>
      </c>
      <c r="I20" s="161">
        <f t="shared" si="0"/>
        <v>82269.732599999988</v>
      </c>
      <c r="L20" s="23"/>
      <c r="M20" s="37">
        <f t="shared" si="1"/>
        <v>72675.199999999997</v>
      </c>
      <c r="N20" s="23"/>
      <c r="O20" s="23"/>
      <c r="P20" s="23"/>
      <c r="Q20" s="23"/>
      <c r="R20" s="23"/>
    </row>
    <row r="21" spans="1:18" ht="15.75" customHeight="1" x14ac:dyDescent="0.45">
      <c r="A21" s="120" t="s">
        <v>312</v>
      </c>
      <c r="B21" s="120" t="s">
        <v>56</v>
      </c>
      <c r="C21" s="461" t="s">
        <v>313</v>
      </c>
      <c r="D21" s="359">
        <v>25.04</v>
      </c>
      <c r="E21" s="356">
        <v>2076</v>
      </c>
      <c r="F21" s="356">
        <v>117.79</v>
      </c>
      <c r="H21" s="23">
        <v>500</v>
      </c>
      <c r="I21" s="161">
        <f t="shared" si="0"/>
        <v>56907.232400000001</v>
      </c>
      <c r="L21" s="23"/>
      <c r="M21" s="37">
        <f t="shared" si="1"/>
        <v>52083.199999999997</v>
      </c>
      <c r="N21" s="23"/>
      <c r="O21" s="23"/>
      <c r="P21" s="23"/>
      <c r="Q21" s="23"/>
      <c r="R21" s="23"/>
    </row>
    <row r="22" spans="1:18" ht="15.75" customHeight="1" x14ac:dyDescent="0.45">
      <c r="A22" s="120" t="s">
        <v>403</v>
      </c>
      <c r="B22" s="120" t="s">
        <v>401</v>
      </c>
      <c r="C22" s="461" t="s">
        <v>404</v>
      </c>
      <c r="D22" s="359">
        <v>21.12</v>
      </c>
      <c r="E22" s="373">
        <v>2080</v>
      </c>
      <c r="F22" s="356">
        <v>13.33</v>
      </c>
      <c r="H22" s="23">
        <v>500</v>
      </c>
      <c r="I22" s="161">
        <f t="shared" si="0"/>
        <v>44851.894399999997</v>
      </c>
      <c r="L22" s="23"/>
      <c r="M22" s="37">
        <f t="shared" si="1"/>
        <v>43929.599999999999</v>
      </c>
      <c r="N22" s="23"/>
      <c r="O22" s="23"/>
      <c r="P22" s="23"/>
      <c r="Q22" s="23"/>
      <c r="R22" s="23"/>
    </row>
    <row r="23" spans="1:18" ht="15.75" customHeight="1" x14ac:dyDescent="0.45">
      <c r="A23" s="120" t="s">
        <v>405</v>
      </c>
      <c r="B23" s="120" t="s">
        <v>397</v>
      </c>
      <c r="C23" s="461" t="s">
        <v>406</v>
      </c>
      <c r="D23" s="359">
        <v>21.37</v>
      </c>
      <c r="E23" s="356">
        <v>2067.75</v>
      </c>
      <c r="F23" s="356">
        <v>425.56</v>
      </c>
      <c r="H23" s="23">
        <v>500</v>
      </c>
      <c r="I23" s="161">
        <f t="shared" si="0"/>
        <v>58329.143300000003</v>
      </c>
      <c r="L23" s="23"/>
      <c r="M23" s="37">
        <f t="shared" si="1"/>
        <v>44449.599999999999</v>
      </c>
      <c r="N23" s="23"/>
      <c r="O23" s="23"/>
      <c r="P23" s="23"/>
      <c r="Q23" s="23"/>
      <c r="R23" s="23"/>
    </row>
    <row r="24" spans="1:18" ht="15.75" customHeight="1" x14ac:dyDescent="0.45">
      <c r="A24" s="120" t="s">
        <v>407</v>
      </c>
      <c r="B24" s="120" t="s">
        <v>399</v>
      </c>
      <c r="C24" s="461" t="s">
        <v>408</v>
      </c>
      <c r="D24" s="359">
        <v>27.19</v>
      </c>
      <c r="E24" s="356">
        <v>2076.2199999999998</v>
      </c>
      <c r="F24" s="356">
        <v>42.16</v>
      </c>
      <c r="H24" s="23">
        <v>500</v>
      </c>
      <c r="I24" s="161">
        <f t="shared" si="0"/>
        <v>58671.917399999998</v>
      </c>
      <c r="L24" s="23"/>
      <c r="M24" s="37">
        <f t="shared" si="1"/>
        <v>56555.200000000004</v>
      </c>
      <c r="N24" s="23"/>
      <c r="O24" s="23"/>
      <c r="P24" s="23"/>
      <c r="Q24" s="23"/>
      <c r="R24" s="23"/>
    </row>
    <row r="25" spans="1:18" ht="15.75" customHeight="1" x14ac:dyDescent="0.45">
      <c r="A25" s="120" t="s">
        <v>409</v>
      </c>
      <c r="B25" s="120" t="s">
        <v>401</v>
      </c>
      <c r="C25" s="461" t="s">
        <v>410</v>
      </c>
      <c r="D25" s="359">
        <v>20.29</v>
      </c>
      <c r="E25" s="356">
        <v>2058.54</v>
      </c>
      <c r="F25" s="356">
        <v>7.21</v>
      </c>
      <c r="H25" s="23">
        <v>500</v>
      </c>
      <c r="I25" s="161">
        <f t="shared" si="0"/>
        <v>42487.212950000001</v>
      </c>
      <c r="L25" s="23"/>
      <c r="M25" s="37">
        <f t="shared" si="1"/>
        <v>42203.199999999997</v>
      </c>
      <c r="N25" s="23"/>
      <c r="O25" s="23"/>
      <c r="P25" s="23"/>
      <c r="Q25" s="23"/>
      <c r="R25" s="23"/>
    </row>
    <row r="26" spans="1:18" ht="15.75" customHeight="1" x14ac:dyDescent="0.45">
      <c r="A26" s="120" t="s">
        <v>411</v>
      </c>
      <c r="B26" s="120" t="s">
        <v>401</v>
      </c>
      <c r="C26" s="461" t="s">
        <v>412</v>
      </c>
      <c r="D26" s="363">
        <v>22.71</v>
      </c>
      <c r="E26" s="356">
        <v>2050.08</v>
      </c>
      <c r="F26" s="356">
        <v>22.71</v>
      </c>
      <c r="H26" s="23">
        <v>500</v>
      </c>
      <c r="I26" s="161">
        <f t="shared" si="0"/>
        <v>47830.932950000002</v>
      </c>
      <c r="L26" s="23"/>
      <c r="M26" s="37">
        <f t="shared" si="1"/>
        <v>47236.800000000003</v>
      </c>
      <c r="N26" s="23"/>
      <c r="O26" s="23"/>
      <c r="P26" s="23"/>
      <c r="Q26" s="23"/>
      <c r="R26" s="23"/>
    </row>
    <row r="27" spans="1:18" ht="15.75" customHeight="1" x14ac:dyDescent="0.45">
      <c r="B27" s="120" t="s">
        <v>56</v>
      </c>
      <c r="C27" s="460" t="s">
        <v>539</v>
      </c>
      <c r="D27" s="359">
        <v>21.12</v>
      </c>
      <c r="E27" s="356">
        <v>2080</v>
      </c>
      <c r="F27" s="356">
        <v>53.36</v>
      </c>
      <c r="H27" s="23">
        <v>500</v>
      </c>
      <c r="I27" s="161">
        <f t="shared" si="0"/>
        <v>46120.044799999996</v>
      </c>
      <c r="L27" s="23"/>
      <c r="M27" s="37">
        <f t="shared" si="1"/>
        <v>43929.599999999999</v>
      </c>
      <c r="N27" s="23"/>
      <c r="O27" s="23"/>
      <c r="P27" s="23"/>
      <c r="Q27" s="23"/>
      <c r="R27" s="23"/>
    </row>
    <row r="28" spans="1:18" ht="15.75" customHeight="1" x14ac:dyDescent="0.45">
      <c r="A28" s="120" t="s">
        <v>413</v>
      </c>
      <c r="B28" s="120" t="s">
        <v>402</v>
      </c>
      <c r="C28" s="461" t="s">
        <v>414</v>
      </c>
      <c r="D28" s="359">
        <v>19.75</v>
      </c>
      <c r="E28" s="373">
        <v>2080</v>
      </c>
      <c r="F28" s="356">
        <v>223.15</v>
      </c>
      <c r="H28" s="23">
        <v>500</v>
      </c>
      <c r="I28" s="161">
        <f t="shared" si="0"/>
        <v>48190.818749999999</v>
      </c>
      <c r="L28" s="23"/>
      <c r="M28" s="37">
        <f t="shared" si="1"/>
        <v>41080</v>
      </c>
      <c r="N28" s="23"/>
      <c r="O28" s="23"/>
      <c r="P28" s="23"/>
      <c r="Q28" s="23"/>
      <c r="R28" s="23"/>
    </row>
    <row r="29" spans="1:18" ht="15.75" customHeight="1" x14ac:dyDescent="0.45">
      <c r="A29" s="120" t="s">
        <v>415</v>
      </c>
      <c r="B29" s="120" t="s">
        <v>56</v>
      </c>
      <c r="C29" s="461" t="s">
        <v>416</v>
      </c>
      <c r="D29" s="359">
        <v>21.65</v>
      </c>
      <c r="E29" s="373">
        <v>2080</v>
      </c>
      <c r="F29" s="356">
        <v>59.62</v>
      </c>
      <c r="H29" s="23">
        <v>500</v>
      </c>
      <c r="I29" s="161">
        <f t="shared" si="0"/>
        <v>47468.159500000002</v>
      </c>
      <c r="L29" s="23"/>
      <c r="M29" s="37">
        <f t="shared" si="1"/>
        <v>45032</v>
      </c>
      <c r="N29" s="23"/>
      <c r="O29" s="23"/>
      <c r="P29" s="23"/>
      <c r="Q29" s="23"/>
      <c r="R29" s="23"/>
    </row>
    <row r="30" spans="1:18" ht="15.75" customHeight="1" x14ac:dyDescent="0.45">
      <c r="A30" s="120" t="s">
        <v>417</v>
      </c>
      <c r="B30" s="120" t="s">
        <v>402</v>
      </c>
      <c r="C30" s="461" t="s">
        <v>418</v>
      </c>
      <c r="D30" s="359">
        <v>20.25</v>
      </c>
      <c r="E30" s="373">
        <v>2080</v>
      </c>
      <c r="F30" s="356">
        <v>89.46</v>
      </c>
      <c r="H30" s="23">
        <v>500</v>
      </c>
      <c r="I30" s="161">
        <f t="shared" si="0"/>
        <v>45337.347500000003</v>
      </c>
      <c r="L30" s="23"/>
      <c r="M30" s="37">
        <f t="shared" si="1"/>
        <v>42120</v>
      </c>
      <c r="N30" s="23"/>
      <c r="O30" s="23"/>
      <c r="P30" s="23"/>
      <c r="Q30" s="23"/>
      <c r="R30" s="23"/>
    </row>
    <row r="31" spans="1:18" ht="15.75" customHeight="1" x14ac:dyDescent="0.45">
      <c r="A31" s="120" t="s">
        <v>419</v>
      </c>
      <c r="B31" s="120" t="s">
        <v>56</v>
      </c>
      <c r="C31" s="461" t="s">
        <v>420</v>
      </c>
      <c r="D31" s="359">
        <v>21.65</v>
      </c>
      <c r="E31" s="373">
        <v>2080</v>
      </c>
      <c r="F31" s="356">
        <v>88.46</v>
      </c>
      <c r="H31" s="23">
        <v>500</v>
      </c>
      <c r="I31" s="161">
        <f t="shared" si="0"/>
        <v>48404.738499999999</v>
      </c>
      <c r="L31" s="23"/>
      <c r="M31" s="37">
        <f t="shared" si="1"/>
        <v>45032</v>
      </c>
      <c r="N31" s="23"/>
      <c r="O31" s="23"/>
      <c r="P31" s="23"/>
      <c r="Q31" s="23"/>
      <c r="R31" s="23"/>
    </row>
    <row r="32" spans="1:18" ht="15.75" customHeight="1" x14ac:dyDescent="0.45">
      <c r="A32" s="120" t="s">
        <v>421</v>
      </c>
      <c r="B32" s="120" t="s">
        <v>56</v>
      </c>
      <c r="C32" s="461" t="s">
        <v>422</v>
      </c>
      <c r="D32" s="359">
        <v>21.12</v>
      </c>
      <c r="E32" s="373">
        <v>2080</v>
      </c>
      <c r="F32" s="356">
        <v>37.590000000000003</v>
      </c>
      <c r="H32" s="23">
        <v>500</v>
      </c>
      <c r="I32" s="161">
        <f t="shared" si="0"/>
        <v>45620.451199999996</v>
      </c>
      <c r="L32" s="23"/>
      <c r="M32" s="37">
        <f t="shared" si="1"/>
        <v>43929.599999999999</v>
      </c>
      <c r="N32" s="23"/>
      <c r="O32" s="23"/>
      <c r="P32" s="23"/>
      <c r="Q32" s="23"/>
      <c r="R32" s="23"/>
    </row>
    <row r="33" spans="1:18" ht="15.75" customHeight="1" x14ac:dyDescent="0.45">
      <c r="A33" s="120" t="s">
        <v>423</v>
      </c>
      <c r="B33" s="120" t="s">
        <v>56</v>
      </c>
      <c r="C33" s="461" t="s">
        <v>424</v>
      </c>
      <c r="D33" s="359">
        <v>24.45</v>
      </c>
      <c r="E33" s="373">
        <v>2080</v>
      </c>
      <c r="F33" s="364">
        <v>250</v>
      </c>
      <c r="H33" s="23">
        <v>500</v>
      </c>
      <c r="I33" s="161">
        <f t="shared" si="0"/>
        <v>60524.75</v>
      </c>
      <c r="L33" s="23"/>
      <c r="M33" s="37">
        <f t="shared" si="1"/>
        <v>50856</v>
      </c>
      <c r="N33" s="23"/>
      <c r="O33" s="23"/>
      <c r="P33" s="23"/>
      <c r="Q33" s="23"/>
      <c r="R33" s="23"/>
    </row>
    <row r="34" spans="1:18" ht="15.75" customHeight="1" x14ac:dyDescent="0.45">
      <c r="B34" s="120" t="s">
        <v>402</v>
      </c>
      <c r="C34" s="460" t="s">
        <v>541</v>
      </c>
      <c r="D34" s="363">
        <v>19.75</v>
      </c>
      <c r="E34" s="356">
        <v>2080</v>
      </c>
      <c r="F34" s="356">
        <v>0</v>
      </c>
      <c r="H34" s="23">
        <v>500</v>
      </c>
      <c r="I34" s="161">
        <f t="shared" ref="I34" si="3">(D34*E34)+(1.5*D34*F34)+H34</f>
        <v>41580</v>
      </c>
      <c r="L34" s="23"/>
      <c r="M34" s="37">
        <f t="shared" si="1"/>
        <v>41080</v>
      </c>
      <c r="N34" s="23"/>
      <c r="O34" s="23"/>
      <c r="P34" s="23"/>
      <c r="Q34" s="23"/>
      <c r="R34" s="23"/>
    </row>
    <row r="35" spans="1:18" ht="15.75" customHeight="1" x14ac:dyDescent="0.75">
      <c r="B35" s="120" t="s">
        <v>402</v>
      </c>
      <c r="C35" s="460" t="s">
        <v>540</v>
      </c>
      <c r="D35" s="363">
        <v>19.75</v>
      </c>
      <c r="E35" s="373">
        <v>2080</v>
      </c>
      <c r="F35" s="364">
        <v>425</v>
      </c>
      <c r="H35" s="23">
        <v>500</v>
      </c>
      <c r="I35" s="365">
        <f t="shared" si="0"/>
        <v>54170.625</v>
      </c>
      <c r="L35" s="23"/>
      <c r="M35" s="366">
        <f t="shared" si="1"/>
        <v>41080</v>
      </c>
      <c r="N35" s="23"/>
      <c r="O35" s="23"/>
      <c r="P35" s="23"/>
      <c r="Q35" s="23"/>
      <c r="R35" s="23"/>
    </row>
    <row r="36" spans="1:18" x14ac:dyDescent="0.45">
      <c r="I36" s="161">
        <f>SUM(I4:I35)</f>
        <v>1700092.7458500003</v>
      </c>
      <c r="L36" s="269"/>
      <c r="M36" s="161">
        <f>SUM(M4:M35)</f>
        <v>1583255.1999999997</v>
      </c>
      <c r="N36" s="23"/>
      <c r="O36" s="23"/>
      <c r="P36" s="23"/>
      <c r="Q36" s="23"/>
      <c r="R36" s="23"/>
    </row>
    <row r="37" spans="1:18" ht="17.649999999999999" x14ac:dyDescent="0.75">
      <c r="A37" s="374" t="s">
        <v>465</v>
      </c>
      <c r="H37" s="269" t="s">
        <v>429</v>
      </c>
      <c r="I37" s="366">
        <v>11700</v>
      </c>
      <c r="L37" s="123" t="s">
        <v>442</v>
      </c>
      <c r="M37" s="370">
        <v>0.08</v>
      </c>
    </row>
    <row r="38" spans="1:18" x14ac:dyDescent="0.45">
      <c r="H38" s="392" t="s">
        <v>430</v>
      </c>
      <c r="I38" s="367">
        <f>I36+I37</f>
        <v>1711792.7458500003</v>
      </c>
      <c r="L38" s="390" t="s">
        <v>443</v>
      </c>
      <c r="M38" s="391">
        <f>M36*M37</f>
        <v>126660.41599999998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O58"/>
  <sheetViews>
    <sheetView workbookViewId="0"/>
  </sheetViews>
  <sheetFormatPr defaultRowHeight="15.4" x14ac:dyDescent="0.45"/>
  <cols>
    <col min="2" max="2" width="3.44140625" customWidth="1"/>
    <col min="3" max="3" width="30.33203125" customWidth="1"/>
    <col min="4" max="4" width="2.88671875" hidden="1" customWidth="1"/>
    <col min="5" max="5" width="10.109375" customWidth="1"/>
    <col min="6" max="6" width="5.77734375" customWidth="1"/>
    <col min="7" max="7" width="8.77734375" customWidth="1"/>
    <col min="8" max="8" width="5.77734375" customWidth="1"/>
    <col min="9" max="9" width="8.77734375" customWidth="1"/>
    <col min="10" max="10" width="10.21875" customWidth="1"/>
    <col min="11" max="11" width="0.88671875" customWidth="1"/>
    <col min="13" max="13" width="9.88671875" style="23" bestFit="1" customWidth="1"/>
    <col min="14" max="14" width="11.109375" customWidth="1"/>
  </cols>
  <sheetData>
    <row r="2" spans="2:15" ht="8.1" customHeight="1" x14ac:dyDescent="0.45">
      <c r="B2" s="10"/>
      <c r="C2" s="11"/>
      <c r="D2" s="11"/>
      <c r="E2" s="11"/>
      <c r="F2" s="11"/>
      <c r="G2" s="11"/>
      <c r="H2" s="11"/>
      <c r="I2" s="11"/>
      <c r="J2" s="11"/>
      <c r="K2" s="12"/>
    </row>
    <row r="3" spans="2:15" ht="18" x14ac:dyDescent="0.55000000000000004">
      <c r="B3" s="561" t="s">
        <v>119</v>
      </c>
      <c r="C3" s="562"/>
      <c r="D3" s="562"/>
      <c r="E3" s="562"/>
      <c r="F3" s="562"/>
      <c r="G3" s="562"/>
      <c r="H3" s="562"/>
      <c r="I3" s="562"/>
      <c r="J3" s="562"/>
      <c r="K3" s="563"/>
    </row>
    <row r="4" spans="2:15" ht="18" x14ac:dyDescent="0.55000000000000004">
      <c r="B4" s="564" t="s">
        <v>156</v>
      </c>
      <c r="C4" s="565"/>
      <c r="D4" s="565"/>
      <c r="E4" s="565"/>
      <c r="F4" s="565"/>
      <c r="G4" s="565"/>
      <c r="H4" s="565"/>
      <c r="I4" s="565"/>
      <c r="J4" s="565"/>
      <c r="K4" s="566"/>
    </row>
    <row r="5" spans="2:15" ht="8.1" customHeight="1" x14ac:dyDescent="0.55000000000000004">
      <c r="B5" s="526"/>
      <c r="C5" s="527"/>
      <c r="D5" s="527"/>
      <c r="E5" s="527"/>
      <c r="F5" s="527"/>
      <c r="G5" s="527"/>
      <c r="H5" s="527"/>
      <c r="I5" s="527"/>
      <c r="J5" s="527"/>
      <c r="K5" s="528"/>
    </row>
    <row r="6" spans="2:15" x14ac:dyDescent="0.45">
      <c r="B6" s="110"/>
      <c r="C6" s="130"/>
      <c r="D6" s="130"/>
      <c r="E6" s="130"/>
      <c r="F6" s="137"/>
      <c r="G6" s="130"/>
      <c r="H6" s="137"/>
      <c r="I6" s="138"/>
      <c r="J6" s="134" t="s">
        <v>157</v>
      </c>
      <c r="K6" s="13"/>
    </row>
    <row r="7" spans="2:15" x14ac:dyDescent="0.45">
      <c r="B7" s="530"/>
      <c r="D7" s="135" t="s">
        <v>159</v>
      </c>
      <c r="E7" s="135" t="s">
        <v>160</v>
      </c>
      <c r="F7" s="560" t="s">
        <v>177</v>
      </c>
      <c r="G7" s="560"/>
      <c r="H7" s="139" t="s">
        <v>128</v>
      </c>
      <c r="I7" s="136"/>
      <c r="J7" s="134" t="s">
        <v>161</v>
      </c>
      <c r="K7" s="13"/>
    </row>
    <row r="8" spans="2:15" ht="17.649999999999999" x14ac:dyDescent="0.75">
      <c r="B8" s="558" t="s">
        <v>158</v>
      </c>
      <c r="C8" s="559"/>
      <c r="D8" s="134" t="s">
        <v>162</v>
      </c>
      <c r="E8" s="354" t="s">
        <v>393</v>
      </c>
      <c r="F8" s="141" t="s">
        <v>163</v>
      </c>
      <c r="G8" s="134" t="s">
        <v>164</v>
      </c>
      <c r="H8" s="141" t="s">
        <v>163</v>
      </c>
      <c r="I8" s="134" t="s">
        <v>164</v>
      </c>
      <c r="J8" s="134" t="s">
        <v>153</v>
      </c>
      <c r="K8" s="13"/>
    </row>
    <row r="9" spans="2:15" ht="6" customHeight="1" x14ac:dyDescent="0.45">
      <c r="B9" s="140"/>
      <c r="C9" s="134"/>
      <c r="D9" s="134"/>
      <c r="E9" s="134"/>
      <c r="F9" s="141"/>
      <c r="G9" s="134"/>
      <c r="H9" s="141"/>
      <c r="I9" s="134"/>
      <c r="J9" s="134"/>
      <c r="K9" s="13"/>
    </row>
    <row r="10" spans="2:15" x14ac:dyDescent="0.45">
      <c r="B10" s="142" t="s">
        <v>230</v>
      </c>
      <c r="C10" s="138"/>
      <c r="D10" s="143"/>
      <c r="E10" s="138"/>
      <c r="F10" s="144"/>
      <c r="G10" s="138"/>
      <c r="H10" s="144"/>
      <c r="I10" s="138"/>
      <c r="J10" s="138"/>
      <c r="K10" s="13"/>
      <c r="N10" s="350"/>
    </row>
    <row r="11" spans="2:15" x14ac:dyDescent="0.45">
      <c r="B11" s="145"/>
      <c r="C11" s="138" t="s">
        <v>227</v>
      </c>
      <c r="D11" s="143" t="s">
        <v>228</v>
      </c>
      <c r="E11" s="138">
        <f>(3810223-875602-11060)+(235651-4950)+(602742-276298)</f>
        <v>3480706</v>
      </c>
      <c r="F11" s="144">
        <v>37.5</v>
      </c>
      <c r="G11" s="138">
        <f>77700+6152+9146</f>
        <v>92998</v>
      </c>
      <c r="H11" s="144">
        <v>37.5</v>
      </c>
      <c r="I11" s="138">
        <f>G11</f>
        <v>92998</v>
      </c>
      <c r="J11" s="138">
        <f>I11-G11</f>
        <v>0</v>
      </c>
      <c r="K11" s="13"/>
      <c r="O11" s="312"/>
    </row>
    <row r="12" spans="2:15" x14ac:dyDescent="0.45">
      <c r="B12" s="142" t="s">
        <v>231</v>
      </c>
      <c r="C12" s="138"/>
      <c r="D12" s="143"/>
      <c r="E12" s="138"/>
      <c r="F12" s="144"/>
      <c r="G12" s="138"/>
      <c r="H12" s="144"/>
      <c r="I12" s="138"/>
      <c r="J12" s="138"/>
      <c r="K12" s="13"/>
      <c r="N12" s="350"/>
      <c r="O12" s="312"/>
    </row>
    <row r="13" spans="2:15" x14ac:dyDescent="0.45">
      <c r="B13" s="145"/>
      <c r="C13" s="138" t="s">
        <v>227</v>
      </c>
      <c r="D13" s="143" t="s">
        <v>228</v>
      </c>
      <c r="E13" s="138">
        <f>751570-89198</f>
        <v>662372</v>
      </c>
      <c r="F13" s="144">
        <v>40</v>
      </c>
      <c r="G13" s="138">
        <v>16559</v>
      </c>
      <c r="H13" s="144">
        <v>40</v>
      </c>
      <c r="I13" s="138">
        <f>G13</f>
        <v>16559</v>
      </c>
      <c r="J13" s="138">
        <f>I13-G13</f>
        <v>0</v>
      </c>
      <c r="K13" s="13"/>
      <c r="N13" s="23"/>
      <c r="O13" s="312"/>
    </row>
    <row r="14" spans="2:15" x14ac:dyDescent="0.45">
      <c r="B14" s="142" t="s">
        <v>232</v>
      </c>
      <c r="C14" s="138"/>
      <c r="D14" s="143"/>
      <c r="E14" s="138"/>
      <c r="F14" s="144"/>
      <c r="G14" s="138"/>
      <c r="H14" s="144"/>
      <c r="I14" s="138"/>
      <c r="J14" s="138"/>
      <c r="K14" s="13"/>
      <c r="N14" s="23"/>
      <c r="O14" s="312"/>
    </row>
    <row r="15" spans="2:15" x14ac:dyDescent="0.45">
      <c r="B15" s="145"/>
      <c r="C15" s="138" t="s">
        <v>227</v>
      </c>
      <c r="D15" s="143" t="s">
        <v>228</v>
      </c>
      <c r="E15" s="138">
        <v>256800</v>
      </c>
      <c r="F15" s="144">
        <v>62.5</v>
      </c>
      <c r="G15" s="138">
        <f>E15/F15</f>
        <v>4108.8</v>
      </c>
      <c r="H15" s="144">
        <v>62.5</v>
      </c>
      <c r="I15" s="138">
        <f>E15/H15</f>
        <v>4108.8</v>
      </c>
      <c r="J15" s="138">
        <f>I15-G15</f>
        <v>0</v>
      </c>
      <c r="K15" s="13"/>
      <c r="N15" s="23"/>
      <c r="O15" s="312"/>
    </row>
    <row r="16" spans="2:15" x14ac:dyDescent="0.45">
      <c r="B16" s="142" t="s">
        <v>251</v>
      </c>
      <c r="C16" s="138"/>
      <c r="D16" s="143"/>
      <c r="E16" s="138"/>
      <c r="F16" s="144"/>
      <c r="G16" s="138"/>
      <c r="H16" s="144"/>
      <c r="I16" s="138"/>
      <c r="J16" s="138"/>
      <c r="K16" s="13"/>
      <c r="N16" s="23"/>
      <c r="O16" s="312"/>
    </row>
    <row r="17" spans="2:15" x14ac:dyDescent="0.45">
      <c r="B17" s="145"/>
      <c r="C17" s="138" t="s">
        <v>269</v>
      </c>
      <c r="D17" s="143" t="s">
        <v>228</v>
      </c>
      <c r="E17" s="138">
        <v>26282</v>
      </c>
      <c r="F17" s="144">
        <v>12.5</v>
      </c>
      <c r="G17" s="138">
        <v>876</v>
      </c>
      <c r="H17" s="144">
        <v>12.5</v>
      </c>
      <c r="I17" s="138">
        <f>G17</f>
        <v>876</v>
      </c>
      <c r="J17" s="138">
        <f>I17-G17</f>
        <v>0</v>
      </c>
      <c r="K17" s="13"/>
      <c r="N17" s="23"/>
      <c r="O17" s="312"/>
    </row>
    <row r="18" spans="2:15" x14ac:dyDescent="0.45">
      <c r="B18" s="145"/>
      <c r="C18" s="138" t="s">
        <v>257</v>
      </c>
      <c r="D18" s="143" t="s">
        <v>228</v>
      </c>
      <c r="E18" s="138">
        <v>707020</v>
      </c>
      <c r="F18" s="351" t="s">
        <v>229</v>
      </c>
      <c r="G18" s="138">
        <v>33372</v>
      </c>
      <c r="H18" s="144">
        <v>20</v>
      </c>
      <c r="I18" s="138">
        <f>E18/H18</f>
        <v>35351</v>
      </c>
      <c r="J18" s="138">
        <f>I18-G18</f>
        <v>1979</v>
      </c>
      <c r="K18" s="13"/>
      <c r="N18" s="23"/>
      <c r="O18" s="312"/>
    </row>
    <row r="19" spans="2:15" x14ac:dyDescent="0.45">
      <c r="B19" s="145"/>
      <c r="C19" s="313" t="s">
        <v>390</v>
      </c>
      <c r="D19" s="143" t="s">
        <v>228</v>
      </c>
      <c r="E19" s="349">
        <v>193601</v>
      </c>
      <c r="F19" s="144">
        <v>25</v>
      </c>
      <c r="G19" s="138">
        <v>6605</v>
      </c>
      <c r="H19" s="144">
        <v>25</v>
      </c>
      <c r="I19" s="138">
        <f>E19/H19</f>
        <v>7744.04</v>
      </c>
      <c r="J19" s="138">
        <f>I19-G19</f>
        <v>1139.04</v>
      </c>
      <c r="K19" s="13"/>
      <c r="N19" s="23"/>
      <c r="O19" s="312"/>
    </row>
    <row r="20" spans="2:15" x14ac:dyDescent="0.45">
      <c r="B20" s="145"/>
      <c r="C20" s="313" t="s">
        <v>391</v>
      </c>
      <c r="D20" s="273" t="s">
        <v>136</v>
      </c>
      <c r="E20" s="138">
        <v>150000</v>
      </c>
      <c r="F20" s="144">
        <v>37.5</v>
      </c>
      <c r="G20" s="138">
        <v>4000</v>
      </c>
      <c r="H20" s="144">
        <v>37.5</v>
      </c>
      <c r="I20" s="138">
        <f>E20/H20</f>
        <v>4000</v>
      </c>
      <c r="J20" s="138">
        <f>I20-G20</f>
        <v>0</v>
      </c>
      <c r="K20" s="13"/>
      <c r="N20" s="23"/>
      <c r="O20" s="312"/>
    </row>
    <row r="21" spans="2:15" x14ac:dyDescent="0.45">
      <c r="B21" s="142" t="s">
        <v>233</v>
      </c>
      <c r="C21" s="138"/>
      <c r="D21" s="143"/>
      <c r="E21" s="138"/>
      <c r="F21" s="144"/>
      <c r="G21" s="138"/>
      <c r="H21" s="144"/>
      <c r="I21" s="138"/>
      <c r="J21" s="138"/>
      <c r="K21" s="13"/>
      <c r="N21" s="23"/>
      <c r="O21" s="312"/>
    </row>
    <row r="22" spans="2:15" x14ac:dyDescent="0.45">
      <c r="B22" s="145"/>
      <c r="C22" s="138" t="s">
        <v>227</v>
      </c>
      <c r="D22" s="143" t="s">
        <v>228</v>
      </c>
      <c r="E22" s="138">
        <v>802598</v>
      </c>
      <c r="F22" s="144">
        <v>27.5</v>
      </c>
      <c r="G22" s="138">
        <v>27710</v>
      </c>
      <c r="H22" s="144">
        <v>27.5</v>
      </c>
      <c r="I22" s="138">
        <f>E22/H22</f>
        <v>29185.381818181817</v>
      </c>
      <c r="J22" s="138">
        <f>I22-G22</f>
        <v>1475.3818181818169</v>
      </c>
      <c r="K22" s="13"/>
      <c r="N22" s="23"/>
      <c r="O22" s="312"/>
    </row>
    <row r="23" spans="2:15" x14ac:dyDescent="0.45">
      <c r="B23" s="142" t="s">
        <v>234</v>
      </c>
      <c r="C23" s="138"/>
      <c r="D23" s="143"/>
      <c r="E23" s="138"/>
      <c r="F23" s="144"/>
      <c r="G23" s="138"/>
      <c r="H23" s="144"/>
      <c r="I23" s="138"/>
      <c r="J23" s="138"/>
      <c r="K23" s="13"/>
      <c r="O23" s="312"/>
    </row>
    <row r="24" spans="2:15" x14ac:dyDescent="0.45">
      <c r="B24" s="145"/>
      <c r="C24" s="138" t="s">
        <v>227</v>
      </c>
      <c r="D24" s="143" t="s">
        <v>228</v>
      </c>
      <c r="E24" s="138">
        <v>6057332</v>
      </c>
      <c r="F24" s="144">
        <v>45</v>
      </c>
      <c r="G24" s="138">
        <f>E24/F24</f>
        <v>134607.37777777779</v>
      </c>
      <c r="H24" s="144">
        <v>45</v>
      </c>
      <c r="I24" s="138">
        <f>E24/H24</f>
        <v>134607.37777777779</v>
      </c>
      <c r="J24" s="138">
        <f>I24-G24</f>
        <v>0</v>
      </c>
      <c r="K24" s="13"/>
      <c r="N24" s="23"/>
      <c r="O24" s="312"/>
    </row>
    <row r="25" spans="2:15" x14ac:dyDescent="0.45">
      <c r="B25" s="142" t="s">
        <v>235</v>
      </c>
      <c r="C25" s="138"/>
      <c r="D25" s="143"/>
      <c r="E25" s="138"/>
      <c r="F25" s="144"/>
      <c r="G25" s="138"/>
      <c r="H25" s="144"/>
      <c r="I25" s="138"/>
      <c r="J25" s="138"/>
      <c r="K25" s="13"/>
      <c r="N25" s="23"/>
      <c r="O25" s="312"/>
    </row>
    <row r="26" spans="2:15" x14ac:dyDescent="0.45">
      <c r="B26" s="145"/>
      <c r="C26" s="138" t="s">
        <v>227</v>
      </c>
      <c r="D26" s="143" t="s">
        <v>228</v>
      </c>
      <c r="E26" s="138">
        <f>20908701</f>
        <v>20908701</v>
      </c>
      <c r="F26" s="144">
        <v>62.5</v>
      </c>
      <c r="G26" s="138">
        <v>335803</v>
      </c>
      <c r="H26" s="144">
        <v>62.5</v>
      </c>
      <c r="I26" s="138">
        <f>E26/H26</f>
        <v>334539.21600000001</v>
      </c>
      <c r="J26" s="138">
        <f>I26-G26</f>
        <v>-1263.7839999999851</v>
      </c>
      <c r="K26" s="13"/>
      <c r="N26" s="23"/>
      <c r="O26" s="312"/>
    </row>
    <row r="27" spans="2:15" x14ac:dyDescent="0.45">
      <c r="B27" s="142" t="s">
        <v>236</v>
      </c>
      <c r="C27" s="138"/>
      <c r="D27" s="143"/>
      <c r="E27" s="138"/>
      <c r="F27" s="144"/>
      <c r="G27" s="138"/>
      <c r="H27" s="144"/>
      <c r="I27" s="138"/>
      <c r="J27" s="138"/>
      <c r="K27" s="13"/>
      <c r="N27" s="23"/>
      <c r="O27" s="312"/>
    </row>
    <row r="28" spans="2:15" x14ac:dyDescent="0.45">
      <c r="B28" s="145"/>
      <c r="C28" s="138" t="s">
        <v>227</v>
      </c>
      <c r="D28" s="143" t="s">
        <v>228</v>
      </c>
      <c r="E28" s="138">
        <f>1540643-444285</f>
        <v>1096358</v>
      </c>
      <c r="F28" s="144">
        <v>40</v>
      </c>
      <c r="G28" s="138">
        <v>26706</v>
      </c>
      <c r="H28" s="144">
        <v>40</v>
      </c>
      <c r="I28" s="138">
        <f>E28/H28</f>
        <v>27408.95</v>
      </c>
      <c r="J28" s="138">
        <f>I28-G28</f>
        <v>702.95000000000073</v>
      </c>
      <c r="K28" s="13"/>
      <c r="N28" s="23"/>
      <c r="O28" s="312"/>
    </row>
    <row r="29" spans="2:15" x14ac:dyDescent="0.45">
      <c r="B29" s="142" t="s">
        <v>239</v>
      </c>
      <c r="C29" s="138"/>
      <c r="D29" s="143"/>
      <c r="E29" s="138"/>
      <c r="F29" s="144"/>
      <c r="G29" s="138"/>
      <c r="H29" s="144"/>
      <c r="I29" s="138"/>
      <c r="J29" s="138"/>
      <c r="K29" s="13"/>
      <c r="N29" s="23"/>
      <c r="O29" s="312"/>
    </row>
    <row r="30" spans="2:15" x14ac:dyDescent="0.45">
      <c r="B30" s="145"/>
      <c r="C30" s="138" t="s">
        <v>237</v>
      </c>
      <c r="D30" s="143" t="s">
        <v>228</v>
      </c>
      <c r="E30" s="138">
        <v>17608</v>
      </c>
      <c r="F30" s="144">
        <v>40</v>
      </c>
      <c r="G30" s="138">
        <f>E30/F30</f>
        <v>440.2</v>
      </c>
      <c r="H30" s="144">
        <v>40</v>
      </c>
      <c r="I30" s="138">
        <f>E30/H30</f>
        <v>440.2</v>
      </c>
      <c r="J30" s="138">
        <f>I30-G30</f>
        <v>0</v>
      </c>
      <c r="K30" s="13"/>
      <c r="N30" s="23"/>
      <c r="O30" s="312"/>
    </row>
    <row r="31" spans="2:15" x14ac:dyDescent="0.45">
      <c r="B31" s="145"/>
      <c r="C31" s="138" t="s">
        <v>238</v>
      </c>
      <c r="D31" s="143" t="s">
        <v>228</v>
      </c>
      <c r="E31" s="138">
        <f>1689818-E30</f>
        <v>1672210</v>
      </c>
      <c r="F31" s="144">
        <v>40</v>
      </c>
      <c r="G31" s="138">
        <f>46289-G30</f>
        <v>45848.800000000003</v>
      </c>
      <c r="H31" s="144">
        <v>20</v>
      </c>
      <c r="I31" s="138">
        <f>E31/H31</f>
        <v>83610.5</v>
      </c>
      <c r="J31" s="138">
        <f>I31-G31</f>
        <v>37761.699999999997</v>
      </c>
      <c r="K31" s="13"/>
      <c r="N31" s="23"/>
      <c r="O31" s="312"/>
    </row>
    <row r="32" spans="2:15" x14ac:dyDescent="0.45">
      <c r="B32" s="142" t="s">
        <v>240</v>
      </c>
      <c r="C32" s="138"/>
      <c r="D32" s="143"/>
      <c r="E32" s="138"/>
      <c r="F32" s="144"/>
      <c r="G32" s="138"/>
      <c r="H32" s="144"/>
      <c r="I32" s="138">
        <f>-Al_DepW!J23</f>
        <v>-835579.60781818186</v>
      </c>
      <c r="J32" s="138"/>
      <c r="K32" s="13"/>
      <c r="N32" s="23"/>
      <c r="O32" s="312"/>
    </row>
    <row r="33" spans="2:15" x14ac:dyDescent="0.45">
      <c r="B33" s="145"/>
      <c r="C33" s="138" t="s">
        <v>227</v>
      </c>
      <c r="D33" s="143" t="s">
        <v>228</v>
      </c>
      <c r="E33" s="138">
        <v>1698106</v>
      </c>
      <c r="F33" s="351" t="s">
        <v>229</v>
      </c>
      <c r="G33" s="138">
        <v>42891</v>
      </c>
      <c r="H33" s="144">
        <v>45</v>
      </c>
      <c r="I33" s="138">
        <f>E33/H33</f>
        <v>37735.688888888886</v>
      </c>
      <c r="J33" s="138">
        <f>I33-G33</f>
        <v>-5155.3111111111139</v>
      </c>
      <c r="K33" s="13"/>
      <c r="N33" s="23"/>
      <c r="O33" s="312"/>
    </row>
    <row r="34" spans="2:15" x14ac:dyDescent="0.45">
      <c r="B34" s="142" t="s">
        <v>241</v>
      </c>
      <c r="C34" s="138"/>
      <c r="D34" s="143"/>
      <c r="E34" s="138"/>
      <c r="F34" s="144"/>
      <c r="G34" s="138"/>
      <c r="H34" s="144"/>
      <c r="I34" s="138"/>
      <c r="J34" s="138"/>
      <c r="K34" s="13"/>
      <c r="N34" s="23"/>
      <c r="O34" s="312"/>
    </row>
    <row r="35" spans="2:15" x14ac:dyDescent="0.45">
      <c r="B35" s="145"/>
      <c r="C35" s="138" t="s">
        <v>227</v>
      </c>
      <c r="D35" s="143" t="s">
        <v>228</v>
      </c>
      <c r="E35" s="138">
        <v>208508</v>
      </c>
      <c r="F35" s="144">
        <v>50</v>
      </c>
      <c r="G35" s="138">
        <v>4179</v>
      </c>
      <c r="H35" s="144">
        <v>50</v>
      </c>
      <c r="I35" s="138">
        <f>E35/H35</f>
        <v>4170.16</v>
      </c>
      <c r="J35" s="138">
        <f>I35-G35</f>
        <v>-8.8400000000001455</v>
      </c>
      <c r="K35" s="13"/>
      <c r="N35" s="23"/>
      <c r="O35" s="312"/>
    </row>
    <row r="36" spans="2:15" x14ac:dyDescent="0.45">
      <c r="B36" s="142" t="s">
        <v>250</v>
      </c>
      <c r="C36" s="138"/>
      <c r="D36" s="143"/>
      <c r="E36" s="138"/>
      <c r="F36" s="144"/>
      <c r="G36" s="138"/>
      <c r="H36" s="144"/>
      <c r="I36" s="138"/>
      <c r="J36" s="138"/>
      <c r="K36" s="13"/>
      <c r="N36" s="23"/>
      <c r="O36" s="312"/>
    </row>
    <row r="37" spans="2:15" x14ac:dyDescent="0.45">
      <c r="B37" s="142"/>
      <c r="C37" s="138" t="s">
        <v>391</v>
      </c>
      <c r="D37" s="143" t="s">
        <v>228</v>
      </c>
      <c r="E37" s="138">
        <f>1294+5932</f>
        <v>7226</v>
      </c>
      <c r="F37" s="351" t="s">
        <v>229</v>
      </c>
      <c r="G37" s="138">
        <f>74+264</f>
        <v>338</v>
      </c>
      <c r="H37" s="144">
        <v>37.5</v>
      </c>
      <c r="I37" s="138">
        <f>E37/H37</f>
        <v>192.69333333333333</v>
      </c>
      <c r="J37" s="138">
        <f>I37-G37</f>
        <v>-145.30666666666667</v>
      </c>
      <c r="K37" s="13"/>
      <c r="N37" s="23"/>
      <c r="O37" s="312"/>
    </row>
    <row r="38" spans="2:15" x14ac:dyDescent="0.45">
      <c r="B38" s="145"/>
      <c r="C38" s="138" t="s">
        <v>243</v>
      </c>
      <c r="D38" s="143" t="s">
        <v>228</v>
      </c>
      <c r="E38" s="138">
        <v>16705</v>
      </c>
      <c r="F38" s="144">
        <v>22.5</v>
      </c>
      <c r="G38" s="138">
        <v>743</v>
      </c>
      <c r="H38" s="144">
        <v>22.5</v>
      </c>
      <c r="I38" s="138">
        <f>G38</f>
        <v>743</v>
      </c>
      <c r="J38" s="138">
        <f>I38-G38</f>
        <v>0</v>
      </c>
      <c r="K38" s="13"/>
      <c r="N38" s="23"/>
      <c r="O38" s="352"/>
    </row>
    <row r="39" spans="2:15" x14ac:dyDescent="0.45">
      <c r="B39" s="145"/>
      <c r="C39" s="138" t="s">
        <v>242</v>
      </c>
      <c r="D39" s="143" t="s">
        <v>228</v>
      </c>
      <c r="E39" s="138">
        <v>183180</v>
      </c>
      <c r="F39" s="351" t="s">
        <v>229</v>
      </c>
      <c r="G39" s="138">
        <v>8076</v>
      </c>
      <c r="H39" s="144">
        <v>10</v>
      </c>
      <c r="I39" s="138">
        <f>E39/H39</f>
        <v>18318</v>
      </c>
      <c r="J39" s="138">
        <f>I39-G39</f>
        <v>10242</v>
      </c>
      <c r="K39" s="13"/>
      <c r="N39" s="23"/>
      <c r="O39" s="312"/>
    </row>
    <row r="40" spans="2:15" x14ac:dyDescent="0.45">
      <c r="B40" s="142" t="s">
        <v>244</v>
      </c>
      <c r="C40" s="138"/>
      <c r="D40" s="143"/>
      <c r="E40" s="138"/>
      <c r="F40" s="144"/>
      <c r="G40" s="138"/>
      <c r="H40" s="144"/>
      <c r="I40" s="138"/>
      <c r="J40" s="138"/>
      <c r="K40" s="13"/>
    </row>
    <row r="41" spans="2:15" x14ac:dyDescent="0.45">
      <c r="B41" s="145"/>
      <c r="C41" s="138" t="s">
        <v>227</v>
      </c>
      <c r="D41" s="143" t="s">
        <v>228</v>
      </c>
      <c r="E41" s="138">
        <v>431173</v>
      </c>
      <c r="F41" s="144">
        <v>7</v>
      </c>
      <c r="G41" s="138">
        <v>46192</v>
      </c>
      <c r="H41" s="144">
        <v>7</v>
      </c>
      <c r="I41" s="138">
        <f>E41/H41</f>
        <v>61596.142857142855</v>
      </c>
      <c r="J41" s="138">
        <f>I41-G41</f>
        <v>15404.142857142855</v>
      </c>
      <c r="K41" s="13"/>
      <c r="M41" s="23">
        <f>M38-M39</f>
        <v>0</v>
      </c>
    </row>
    <row r="42" spans="2:15" x14ac:dyDescent="0.45">
      <c r="B42" s="142" t="s">
        <v>245</v>
      </c>
      <c r="C42" s="138"/>
      <c r="D42" s="143"/>
      <c r="E42" s="138"/>
      <c r="F42" s="144"/>
      <c r="G42" s="138"/>
      <c r="H42" s="144"/>
      <c r="I42" s="138"/>
      <c r="J42" s="138"/>
      <c r="K42" s="13"/>
    </row>
    <row r="43" spans="2:15" x14ac:dyDescent="0.45">
      <c r="B43" s="142"/>
      <c r="C43" s="138" t="s">
        <v>269</v>
      </c>
      <c r="D43" s="143" t="s">
        <v>228</v>
      </c>
      <c r="E43" s="138">
        <v>4419</v>
      </c>
      <c r="F43" s="144">
        <v>12.5</v>
      </c>
      <c r="G43" s="138">
        <v>354</v>
      </c>
      <c r="H43" s="144">
        <v>12.5</v>
      </c>
      <c r="I43" s="138">
        <f>E43/H43</f>
        <v>353.52</v>
      </c>
      <c r="J43" s="138">
        <v>0</v>
      </c>
      <c r="K43" s="13"/>
    </row>
    <row r="44" spans="2:15" x14ac:dyDescent="0.45">
      <c r="B44" s="145"/>
      <c r="C44" s="138" t="s">
        <v>392</v>
      </c>
      <c r="D44" s="143" t="s">
        <v>228</v>
      </c>
      <c r="E44" s="138">
        <f>4107+31258-E43</f>
        <v>30946</v>
      </c>
      <c r="F44" s="144">
        <v>17.5</v>
      </c>
      <c r="G44" s="138">
        <f>235+1187-G43</f>
        <v>1068</v>
      </c>
      <c r="H44" s="144">
        <v>17.5</v>
      </c>
      <c r="I44" s="138">
        <f>E44/H44</f>
        <v>1768.3428571428572</v>
      </c>
      <c r="J44" s="138">
        <f>I44-G44</f>
        <v>700.34285714285716</v>
      </c>
      <c r="K44" s="13"/>
    </row>
    <row r="45" spans="2:15" x14ac:dyDescent="0.45">
      <c r="B45" s="142" t="s">
        <v>246</v>
      </c>
      <c r="C45" s="138"/>
      <c r="D45" s="143"/>
      <c r="E45" s="138"/>
      <c r="F45" s="144"/>
      <c r="G45" s="138"/>
      <c r="H45" s="144"/>
      <c r="I45" s="138"/>
      <c r="J45" s="138"/>
      <c r="K45" s="13"/>
    </row>
    <row r="46" spans="2:15" x14ac:dyDescent="0.45">
      <c r="B46" s="145"/>
      <c r="C46" s="138" t="s">
        <v>227</v>
      </c>
      <c r="D46" s="143" t="s">
        <v>228</v>
      </c>
      <c r="E46" s="138">
        <v>52353</v>
      </c>
      <c r="F46" s="351" t="s">
        <v>229</v>
      </c>
      <c r="G46" s="138">
        <v>2825</v>
      </c>
      <c r="H46" s="144">
        <v>17.5</v>
      </c>
      <c r="I46" s="138">
        <f>E46/H46</f>
        <v>2991.6</v>
      </c>
      <c r="J46" s="138">
        <f>I46-G46</f>
        <v>166.59999999999991</v>
      </c>
      <c r="K46" s="13"/>
    </row>
    <row r="47" spans="2:15" x14ac:dyDescent="0.45">
      <c r="B47" s="142" t="s">
        <v>247</v>
      </c>
      <c r="C47" s="138"/>
      <c r="D47" s="143"/>
      <c r="E47" s="138"/>
      <c r="F47" s="351"/>
      <c r="G47" s="138"/>
      <c r="H47" s="144"/>
      <c r="I47" s="138"/>
      <c r="J47" s="138"/>
      <c r="K47" s="13"/>
    </row>
    <row r="48" spans="2:15" ht="15.75" customHeight="1" x14ac:dyDescent="0.45">
      <c r="B48" s="145"/>
      <c r="C48" s="138" t="s">
        <v>227</v>
      </c>
      <c r="D48" s="143" t="s">
        <v>228</v>
      </c>
      <c r="E48" s="138">
        <v>137045</v>
      </c>
      <c r="F48" s="351">
        <v>12.5</v>
      </c>
      <c r="G48" s="138">
        <v>10964</v>
      </c>
      <c r="H48" s="144">
        <v>12.5</v>
      </c>
      <c r="I48" s="138">
        <f>E48/H48</f>
        <v>10963.6</v>
      </c>
      <c r="J48" s="138">
        <v>0</v>
      </c>
      <c r="K48" s="13"/>
    </row>
    <row r="49" spans="2:13" ht="15.75" customHeight="1" x14ac:dyDescent="0.45">
      <c r="B49" s="142" t="s">
        <v>248</v>
      </c>
      <c r="C49" s="138"/>
      <c r="D49" s="143"/>
      <c r="E49" s="138"/>
      <c r="F49" s="351"/>
      <c r="G49" s="138"/>
      <c r="H49" s="144"/>
      <c r="I49" s="138"/>
      <c r="J49" s="138"/>
      <c r="K49" s="13"/>
    </row>
    <row r="50" spans="2:13" ht="15.75" customHeight="1" x14ac:dyDescent="0.45">
      <c r="B50" s="145"/>
      <c r="C50" s="138" t="s">
        <v>227</v>
      </c>
      <c r="D50" s="143" t="s">
        <v>228</v>
      </c>
      <c r="E50" s="138">
        <v>57552</v>
      </c>
      <c r="F50" s="351" t="s">
        <v>229</v>
      </c>
      <c r="G50" s="138">
        <v>5752</v>
      </c>
      <c r="H50" s="144">
        <v>10</v>
      </c>
      <c r="I50" s="138">
        <v>5752</v>
      </c>
      <c r="J50" s="138">
        <f>I50-G50</f>
        <v>0</v>
      </c>
      <c r="K50" s="13"/>
    </row>
    <row r="51" spans="2:13" ht="15.75" customHeight="1" x14ac:dyDescent="0.45">
      <c r="B51" s="142" t="s">
        <v>249</v>
      </c>
      <c r="C51" s="138"/>
      <c r="D51" s="143"/>
      <c r="E51" s="138"/>
      <c r="F51" s="351"/>
      <c r="G51" s="138"/>
      <c r="H51" s="144"/>
      <c r="I51" s="138"/>
      <c r="J51" s="138"/>
      <c r="K51" s="13"/>
    </row>
    <row r="52" spans="2:13" ht="15.75" customHeight="1" x14ac:dyDescent="0.45">
      <c r="B52" s="142"/>
      <c r="C52" s="138" t="s">
        <v>269</v>
      </c>
      <c r="D52" s="143" t="s">
        <v>228</v>
      </c>
      <c r="E52" s="138">
        <v>6300</v>
      </c>
      <c r="F52" s="351">
        <v>12.5</v>
      </c>
      <c r="G52" s="138">
        <v>504</v>
      </c>
      <c r="H52" s="144">
        <v>12.5</v>
      </c>
      <c r="I52" s="138">
        <f>E52/H52</f>
        <v>504</v>
      </c>
      <c r="J52" s="138">
        <f>G52-I52</f>
        <v>0</v>
      </c>
      <c r="K52" s="13"/>
    </row>
    <row r="53" spans="2:13" ht="15.75" customHeight="1" x14ac:dyDescent="0.45">
      <c r="B53" s="145"/>
      <c r="C53" s="138" t="s">
        <v>392</v>
      </c>
      <c r="D53" s="143" t="s">
        <v>228</v>
      </c>
      <c r="E53" s="138">
        <f>66928-E52</f>
        <v>60628</v>
      </c>
      <c r="F53" s="353">
        <v>17.5</v>
      </c>
      <c r="G53" s="138">
        <f>3590-G52</f>
        <v>3086</v>
      </c>
      <c r="H53" s="353">
        <v>17.5</v>
      </c>
      <c r="I53" s="138">
        <f>E53/H53</f>
        <v>3464.457142857143</v>
      </c>
      <c r="J53" s="138">
        <f>I53-G53</f>
        <v>378.45714285714303</v>
      </c>
      <c r="K53" s="13"/>
    </row>
    <row r="54" spans="2:13" ht="5.0999999999999996" customHeight="1" x14ac:dyDescent="0.45">
      <c r="B54" s="145"/>
      <c r="C54" s="138"/>
      <c r="D54" s="143"/>
      <c r="E54" s="138"/>
      <c r="F54" s="144"/>
      <c r="G54" s="138"/>
      <c r="H54" s="144"/>
      <c r="I54" s="138"/>
      <c r="J54" s="138"/>
      <c r="K54" s="13"/>
    </row>
    <row r="55" spans="2:13" x14ac:dyDescent="0.45">
      <c r="B55" s="145"/>
      <c r="C55" s="146" t="s">
        <v>137</v>
      </c>
      <c r="D55" s="147"/>
      <c r="E55" s="146"/>
      <c r="F55" s="148"/>
      <c r="G55" s="146">
        <f>SUM(G11:G53)</f>
        <v>856606.17777777778</v>
      </c>
      <c r="H55" s="148"/>
      <c r="I55" s="146">
        <f>SUM(I11:I53)</f>
        <v>84402.062857142664</v>
      </c>
      <c r="J55" s="146">
        <f>SUM(J11:J53)</f>
        <v>63376.372897546913</v>
      </c>
      <c r="K55" s="13"/>
      <c r="M55" s="23">
        <f>I55-G55</f>
        <v>-772204.11492063513</v>
      </c>
    </row>
    <row r="56" spans="2:13" ht="3.95" customHeight="1" x14ac:dyDescent="0.45">
      <c r="B56" s="14"/>
      <c r="C56" s="22"/>
      <c r="D56" s="22"/>
      <c r="E56" s="22"/>
      <c r="F56" s="22"/>
      <c r="G56" s="22"/>
      <c r="H56" s="22"/>
      <c r="I56" s="22"/>
      <c r="J56" s="22"/>
      <c r="K56" s="15"/>
    </row>
    <row r="58" spans="2:13" x14ac:dyDescent="0.45">
      <c r="C58" s="8" t="s">
        <v>394</v>
      </c>
    </row>
  </sheetData>
  <mergeCells count="4">
    <mergeCell ref="B8:C8"/>
    <mergeCell ref="F7:G7"/>
    <mergeCell ref="B3:K3"/>
    <mergeCell ref="B4:K4"/>
  </mergeCells>
  <printOptions horizontalCentered="1"/>
  <pageMargins left="0.7" right="0.7" top="0.6" bottom="0.5" header="0.3" footer="0.3"/>
  <pageSetup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30"/>
  <sheetViews>
    <sheetView workbookViewId="0"/>
  </sheetViews>
  <sheetFormatPr defaultColWidth="8.88671875" defaultRowHeight="14.25" x14ac:dyDescent="0.45"/>
  <cols>
    <col min="1" max="1" width="1.6640625" style="23" customWidth="1"/>
    <col min="2" max="2" width="14" style="23" customWidth="1"/>
    <col min="3" max="3" width="8" style="23" customWidth="1"/>
    <col min="4" max="4" width="7.33203125" style="23" customWidth="1"/>
    <col min="5" max="5" width="8.5546875" style="23" customWidth="1"/>
    <col min="6" max="6" width="7.33203125" style="23" customWidth="1"/>
    <col min="7" max="7" width="8" style="23" customWidth="1"/>
    <col min="8" max="8" width="7.33203125" style="23" customWidth="1"/>
    <col min="9" max="9" width="10" style="23" customWidth="1"/>
    <col min="10" max="10" width="0.77734375" style="23" customWidth="1"/>
    <col min="11" max="11" width="2.21875" style="23" customWidth="1"/>
    <col min="12" max="16384" width="8.88671875" style="23"/>
  </cols>
  <sheetData>
    <row r="1" spans="1:20" ht="15.4" x14ac:dyDescent="0.45">
      <c r="A1"/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20" ht="15.4" x14ac:dyDescent="0.45">
      <c r="A2"/>
      <c r="B2" s="84"/>
      <c r="C2" s="85"/>
      <c r="D2" s="85"/>
      <c r="E2" s="85"/>
      <c r="F2" s="85"/>
      <c r="G2" s="85"/>
      <c r="H2" s="85"/>
      <c r="I2" s="85"/>
      <c r="J2" s="86"/>
      <c r="K2" s="60"/>
    </row>
    <row r="3" spans="1:20" ht="18" x14ac:dyDescent="0.55000000000000004">
      <c r="A3"/>
      <c r="B3" s="87" t="s">
        <v>120</v>
      </c>
      <c r="C3" s="88"/>
      <c r="D3" s="88"/>
      <c r="E3" s="88"/>
      <c r="F3" s="88"/>
      <c r="G3" s="88"/>
      <c r="H3" s="88"/>
      <c r="I3" s="88"/>
      <c r="J3" s="89"/>
      <c r="K3" s="60"/>
    </row>
    <row r="4" spans="1:20" ht="18" x14ac:dyDescent="0.55000000000000004">
      <c r="A4"/>
      <c r="B4" s="90" t="s">
        <v>356</v>
      </c>
      <c r="C4" s="91"/>
      <c r="D4" s="91"/>
      <c r="E4" s="91"/>
      <c r="F4" s="91"/>
      <c r="G4" s="91"/>
      <c r="H4" s="91"/>
      <c r="I4" s="91"/>
      <c r="J4" s="89"/>
      <c r="K4" s="60"/>
    </row>
    <row r="5" spans="1:20" ht="15.75" x14ac:dyDescent="0.45">
      <c r="A5"/>
      <c r="B5" s="117" t="s">
        <v>207</v>
      </c>
      <c r="C5" s="88"/>
      <c r="D5" s="88"/>
      <c r="E5" s="88"/>
      <c r="F5" s="88"/>
      <c r="G5" s="88"/>
      <c r="H5" s="88"/>
      <c r="I5" s="88"/>
      <c r="J5" s="89"/>
      <c r="K5" s="60"/>
    </row>
    <row r="6" spans="1:20" ht="15.75" x14ac:dyDescent="0.5">
      <c r="A6"/>
      <c r="B6" s="92" t="s">
        <v>464</v>
      </c>
      <c r="C6" s="93"/>
      <c r="D6" s="93"/>
      <c r="E6" s="93"/>
      <c r="F6" s="93"/>
      <c r="G6" s="93"/>
      <c r="H6" s="93"/>
      <c r="I6" s="93"/>
      <c r="J6" s="89"/>
      <c r="K6" s="60"/>
    </row>
    <row r="7" spans="1:20" ht="15.4" x14ac:dyDescent="0.45">
      <c r="A7"/>
      <c r="B7" s="94"/>
      <c r="C7" s="93"/>
      <c r="D7" s="93"/>
      <c r="E7" s="93"/>
      <c r="F7" s="93"/>
      <c r="G7" s="93"/>
      <c r="H7" s="93"/>
      <c r="I7" s="93"/>
      <c r="J7" s="89"/>
      <c r="K7" s="60"/>
    </row>
    <row r="8" spans="1:20" ht="9.9499999999999993" customHeight="1" x14ac:dyDescent="0.45">
      <c r="A8"/>
      <c r="B8" s="95"/>
      <c r="C8" s="96"/>
      <c r="D8" s="202"/>
      <c r="E8" s="96"/>
      <c r="F8" s="203"/>
      <c r="G8" s="96"/>
      <c r="H8" s="202"/>
      <c r="I8" s="96"/>
      <c r="J8" s="86"/>
      <c r="K8" s="60"/>
      <c r="Q8" s="96"/>
      <c r="R8" s="202"/>
      <c r="S8" s="96"/>
      <c r="T8" s="95"/>
    </row>
    <row r="9" spans="1:20" ht="15.4" x14ac:dyDescent="0.45">
      <c r="A9"/>
      <c r="B9" s="97"/>
      <c r="C9" s="198" t="s">
        <v>210</v>
      </c>
      <c r="D9" s="98"/>
      <c r="E9" s="198" t="s">
        <v>386</v>
      </c>
      <c r="F9" s="98"/>
      <c r="G9" s="198" t="s">
        <v>387</v>
      </c>
      <c r="H9" s="136"/>
      <c r="I9" s="110"/>
      <c r="J9" s="89"/>
      <c r="K9" s="60"/>
      <c r="Q9" s="198" t="s">
        <v>388</v>
      </c>
      <c r="R9" s="136"/>
      <c r="S9" s="198" t="s">
        <v>389</v>
      </c>
      <c r="T9" s="98"/>
    </row>
    <row r="10" spans="1:20" ht="16.5" x14ac:dyDescent="0.45">
      <c r="A10"/>
      <c r="B10" s="97"/>
      <c r="C10" s="99" t="s">
        <v>15</v>
      </c>
      <c r="D10" s="100" t="s">
        <v>16</v>
      </c>
      <c r="E10" s="99" t="s">
        <v>15</v>
      </c>
      <c r="F10" s="101" t="s">
        <v>16</v>
      </c>
      <c r="G10" s="99" t="s">
        <v>15</v>
      </c>
      <c r="H10" s="199" t="s">
        <v>16</v>
      </c>
      <c r="I10" s="99" t="s">
        <v>137</v>
      </c>
      <c r="J10" s="89"/>
      <c r="K10" s="60"/>
      <c r="Q10" s="99" t="s">
        <v>15</v>
      </c>
      <c r="R10" s="199" t="s">
        <v>16</v>
      </c>
      <c r="S10" s="99" t="s">
        <v>15</v>
      </c>
      <c r="T10" s="101" t="s">
        <v>16</v>
      </c>
    </row>
    <row r="11" spans="1:20" ht="15.4" x14ac:dyDescent="0.45">
      <c r="A11"/>
      <c r="B11" s="345" t="s">
        <v>211</v>
      </c>
      <c r="C11" s="115">
        <v>103000</v>
      </c>
      <c r="D11" s="116">
        <v>71012.5</v>
      </c>
      <c r="E11" s="115">
        <v>106000</v>
      </c>
      <c r="F11" s="116">
        <v>67568</v>
      </c>
      <c r="G11" s="115">
        <v>110000</v>
      </c>
      <c r="H11" s="200">
        <v>63993</v>
      </c>
      <c r="I11" s="115">
        <f>SUM(C11:H11)</f>
        <v>521573.5</v>
      </c>
      <c r="J11" s="89"/>
      <c r="K11" s="60"/>
      <c r="Q11" s="115">
        <v>113000</v>
      </c>
      <c r="R11" s="200">
        <v>60320</v>
      </c>
      <c r="S11" s="115">
        <v>117000</v>
      </c>
      <c r="T11" s="116">
        <v>56518</v>
      </c>
    </row>
    <row r="12" spans="1:20" ht="15.4" x14ac:dyDescent="0.45">
      <c r="A12"/>
      <c r="B12" s="345" t="s">
        <v>212</v>
      </c>
      <c r="C12" s="52">
        <v>12000</v>
      </c>
      <c r="D12" s="53">
        <v>9765</v>
      </c>
      <c r="E12" s="52">
        <v>12500</v>
      </c>
      <c r="F12" s="53">
        <v>9484</v>
      </c>
      <c r="G12" s="52">
        <v>13000</v>
      </c>
      <c r="H12" s="347">
        <v>9191</v>
      </c>
      <c r="I12" s="381">
        <f>SUM(C12:H12)</f>
        <v>65940</v>
      </c>
      <c r="J12" s="89"/>
      <c r="K12" s="60"/>
      <c r="Q12" s="52">
        <v>13000</v>
      </c>
      <c r="R12" s="347">
        <v>8899</v>
      </c>
      <c r="S12" s="29">
        <v>13500</v>
      </c>
      <c r="T12" s="30">
        <v>8595</v>
      </c>
    </row>
    <row r="13" spans="1:20" ht="15.4" x14ac:dyDescent="0.45">
      <c r="A13"/>
      <c r="B13" s="345" t="s">
        <v>213</v>
      </c>
      <c r="C13" s="52">
        <v>15000</v>
      </c>
      <c r="D13" s="53">
        <v>11992.5</v>
      </c>
      <c r="E13" s="52">
        <v>15500</v>
      </c>
      <c r="F13" s="53">
        <v>11644</v>
      </c>
      <c r="G13" s="52">
        <v>16000</v>
      </c>
      <c r="H13" s="347">
        <v>11284</v>
      </c>
      <c r="I13" s="381">
        <f t="shared" ref="I13:I19" si="0">SUM(C13:H13)</f>
        <v>81420.5</v>
      </c>
      <c r="J13" s="89"/>
      <c r="K13" s="60"/>
      <c r="Q13" s="52">
        <v>16000</v>
      </c>
      <c r="R13" s="347">
        <v>10924</v>
      </c>
      <c r="S13" s="29">
        <v>16500</v>
      </c>
      <c r="T13" s="30">
        <v>10553</v>
      </c>
    </row>
    <row r="14" spans="1:20" ht="15.4" x14ac:dyDescent="0.45">
      <c r="A14"/>
      <c r="B14" s="346" t="s">
        <v>214</v>
      </c>
      <c r="C14" s="52">
        <f>11666.67+(11*12083.33)</f>
        <v>144583.30000000002</v>
      </c>
      <c r="D14" s="53">
        <f>4710.11+262.5+(11*(4313.44+239.17))</f>
        <v>55051.32</v>
      </c>
      <c r="E14" s="52">
        <f>12083.33+(11*12500)</f>
        <v>149583.32999999999</v>
      </c>
      <c r="F14" s="102">
        <f>4313.44+239.17+11*(3902.61+215)</f>
        <v>49846.320000000007</v>
      </c>
      <c r="G14" s="52">
        <f>12500+11*12916.67</f>
        <v>154583.37</v>
      </c>
      <c r="H14" s="102">
        <f>3902.61+215+11*(3465.11+190)</f>
        <v>44323.82</v>
      </c>
      <c r="I14" s="381">
        <f t="shared" si="0"/>
        <v>597971.46</v>
      </c>
      <c r="J14" s="89"/>
      <c r="K14" s="60"/>
      <c r="Q14" s="52">
        <f>12916.67+11*13333.33</f>
        <v>159583.30000000002</v>
      </c>
      <c r="R14" s="102">
        <f>3465.11+190+11*(3013.02+164.17)</f>
        <v>38604.200000000004</v>
      </c>
      <c r="S14" s="29">
        <f>13333.33+11*14166.67</f>
        <v>169166.69999999998</v>
      </c>
      <c r="T14" s="30">
        <f>3013.02+164.17+11*(2546.36+137.5)</f>
        <v>32699.65</v>
      </c>
    </row>
    <row r="15" spans="1:20" ht="15.4" x14ac:dyDescent="0.45">
      <c r="A15"/>
      <c r="B15" s="345" t="s">
        <v>215</v>
      </c>
      <c r="C15" s="52">
        <v>10500</v>
      </c>
      <c r="D15" s="53">
        <v>8882.5</v>
      </c>
      <c r="E15" s="52">
        <v>10500</v>
      </c>
      <c r="F15" s="102">
        <v>8659</v>
      </c>
      <c r="G15" s="52">
        <v>11000</v>
      </c>
      <c r="H15" s="102">
        <v>8426</v>
      </c>
      <c r="I15" s="381">
        <f t="shared" si="0"/>
        <v>57967.5</v>
      </c>
      <c r="J15" s="89"/>
      <c r="K15" s="60"/>
      <c r="Q15" s="52">
        <v>11000</v>
      </c>
      <c r="R15" s="102">
        <v>8192</v>
      </c>
      <c r="S15" s="29">
        <v>11500</v>
      </c>
      <c r="T15" s="30">
        <v>7948</v>
      </c>
    </row>
    <row r="16" spans="1:20" ht="15.4" x14ac:dyDescent="0.45">
      <c r="A16"/>
      <c r="B16" s="345" t="s">
        <v>216</v>
      </c>
      <c r="C16" s="52">
        <v>3000</v>
      </c>
      <c r="D16" s="53">
        <v>4125</v>
      </c>
      <c r="E16" s="52">
        <v>3000</v>
      </c>
      <c r="F16" s="53">
        <v>4035</v>
      </c>
      <c r="G16" s="52">
        <v>3000</v>
      </c>
      <c r="H16" s="347">
        <v>3945</v>
      </c>
      <c r="I16" s="381">
        <f t="shared" si="0"/>
        <v>21105</v>
      </c>
      <c r="J16" s="89"/>
      <c r="K16" s="60"/>
      <c r="Q16" s="52">
        <v>3000</v>
      </c>
      <c r="R16" s="347">
        <v>3855</v>
      </c>
      <c r="S16" s="29">
        <v>3000</v>
      </c>
      <c r="T16" s="30">
        <v>3765</v>
      </c>
    </row>
    <row r="17" spans="1:20" ht="15.4" x14ac:dyDescent="0.45">
      <c r="A17"/>
      <c r="B17" s="346" t="s">
        <v>217</v>
      </c>
      <c r="C17" s="52">
        <f>11666.67+11*12083.33</f>
        <v>144583.30000000002</v>
      </c>
      <c r="D17" s="53">
        <f>1576.88+11*1221.04+450</f>
        <v>15458.32</v>
      </c>
      <c r="E17" s="52">
        <f>12083.33+11*12500</f>
        <v>149583.32999999999</v>
      </c>
      <c r="F17" s="102">
        <f>1221.04+11*852.5+450</f>
        <v>11048.54</v>
      </c>
      <c r="G17" s="52">
        <f>12500+11*13333.33</f>
        <v>159166.63</v>
      </c>
      <c r="H17" s="102">
        <f>852.5+11*440+450</f>
        <v>6142.5</v>
      </c>
      <c r="I17" s="381">
        <f t="shared" si="0"/>
        <v>485982.62</v>
      </c>
      <c r="J17" s="89"/>
      <c r="K17" s="60"/>
      <c r="Q17" s="52">
        <v>13333</v>
      </c>
      <c r="R17" s="102">
        <v>440</v>
      </c>
      <c r="S17" s="29">
        <v>0</v>
      </c>
      <c r="T17" s="30">
        <v>0</v>
      </c>
    </row>
    <row r="18" spans="1:20" ht="15.4" x14ac:dyDescent="0.45">
      <c r="A18"/>
      <c r="B18" s="345" t="s">
        <v>218</v>
      </c>
      <c r="C18" s="52">
        <v>21000</v>
      </c>
      <c r="D18" s="53">
        <f>7290+7132</f>
        <v>14422</v>
      </c>
      <c r="E18" s="52">
        <v>21000</v>
      </c>
      <c r="F18" s="102">
        <f>7132.5+6975</f>
        <v>14107.5</v>
      </c>
      <c r="G18" s="52">
        <v>21000</v>
      </c>
      <c r="H18" s="102">
        <f>6975+6818</f>
        <v>13793</v>
      </c>
      <c r="I18" s="381">
        <f t="shared" si="0"/>
        <v>105322.5</v>
      </c>
      <c r="J18" s="89"/>
      <c r="K18" s="60"/>
      <c r="Q18" s="52">
        <v>22000</v>
      </c>
      <c r="R18" s="102">
        <f>6818+6652</f>
        <v>13470</v>
      </c>
      <c r="S18" s="29">
        <v>22000</v>
      </c>
      <c r="T18" s="30">
        <f>6653+6487</f>
        <v>13140</v>
      </c>
    </row>
    <row r="19" spans="1:20" ht="15.4" x14ac:dyDescent="0.45">
      <c r="A19"/>
      <c r="B19" s="346" t="s">
        <v>219</v>
      </c>
      <c r="C19" s="52">
        <f>8333.33+11*8750</f>
        <v>104583.33</v>
      </c>
      <c r="D19" s="53">
        <f>6945.63+6512.29*11+450</f>
        <v>79030.820000000007</v>
      </c>
      <c r="E19" s="52">
        <f>8750+11*9166.67</f>
        <v>109583.37</v>
      </c>
      <c r="F19" s="53">
        <f>6512.29+11*6057.29+450</f>
        <v>73592.479999999996</v>
      </c>
      <c r="G19" s="52">
        <f>9166.67+11*9583.33</f>
        <v>114583.3</v>
      </c>
      <c r="H19" s="347">
        <f>6057.29+11*5580.63+450</f>
        <v>67894.22</v>
      </c>
      <c r="I19" s="381">
        <f t="shared" si="0"/>
        <v>549267.52</v>
      </c>
      <c r="J19" s="89"/>
      <c r="K19" s="60"/>
      <c r="Q19" s="52">
        <f>9583.33+11*10000</f>
        <v>119583.33</v>
      </c>
      <c r="R19" s="347">
        <f>5580.63+11*5082.29+450</f>
        <v>61935.82</v>
      </c>
      <c r="S19" s="29">
        <f>10000+11*10000</f>
        <v>120000</v>
      </c>
      <c r="T19" s="30">
        <f>5082.29+11*4862.29+450</f>
        <v>59017.48</v>
      </c>
    </row>
    <row r="20" spans="1:20" ht="15.4" x14ac:dyDescent="0.45">
      <c r="A20"/>
      <c r="B20" s="201"/>
      <c r="C20" s="54"/>
      <c r="D20" s="103"/>
      <c r="E20" s="54"/>
      <c r="F20" s="103"/>
      <c r="G20" s="54"/>
      <c r="H20" s="103"/>
      <c r="I20" s="381"/>
      <c r="J20" s="89"/>
      <c r="K20" s="60"/>
      <c r="Q20" s="54"/>
      <c r="R20" s="103"/>
      <c r="S20" s="54"/>
      <c r="T20" s="55"/>
    </row>
    <row r="21" spans="1:20" ht="15.4" x14ac:dyDescent="0.45">
      <c r="A21"/>
      <c r="B21" s="104" t="s">
        <v>137</v>
      </c>
      <c r="C21" s="204">
        <f>SUM(C11:C20)</f>
        <v>558249.93000000005</v>
      </c>
      <c r="D21" s="205">
        <f>SUM(D11:D20)</f>
        <v>269739.96000000002</v>
      </c>
      <c r="E21" s="204">
        <f t="shared" ref="E21:I21" si="1">SUM(E11:E20)</f>
        <v>577250.02999999991</v>
      </c>
      <c r="F21" s="206">
        <f t="shared" si="1"/>
        <v>249984.84000000003</v>
      </c>
      <c r="G21" s="204">
        <f t="shared" si="1"/>
        <v>602333.30000000005</v>
      </c>
      <c r="H21" s="348">
        <f t="shared" si="1"/>
        <v>228992.54</v>
      </c>
      <c r="I21" s="382">
        <f t="shared" si="1"/>
        <v>2486550.6</v>
      </c>
      <c r="J21" s="89"/>
      <c r="K21" s="60"/>
      <c r="L21" s="23">
        <f>SUM(C21:H21)</f>
        <v>2486550.6</v>
      </c>
      <c r="Q21" s="204">
        <f>SUM(Q11:Q20)</f>
        <v>470499.63000000006</v>
      </c>
      <c r="R21" s="348">
        <f>SUM(R11:R20)</f>
        <v>206640.02000000002</v>
      </c>
      <c r="S21" s="204">
        <f>SUM(S11:S20)</f>
        <v>472666.69999999995</v>
      </c>
      <c r="T21" s="206">
        <f>SUM(T11:T20)</f>
        <v>192236.13</v>
      </c>
    </row>
    <row r="22" spans="1:20" ht="15.4" x14ac:dyDescent="0.45">
      <c r="A22"/>
      <c r="B22" s="105"/>
      <c r="C22" s="56"/>
      <c r="D22" s="106"/>
      <c r="E22" s="56"/>
      <c r="F22" s="57"/>
      <c r="G22" s="56"/>
      <c r="H22" s="106"/>
      <c r="I22" s="56"/>
      <c r="J22" s="107"/>
      <c r="K22" s="60"/>
      <c r="Q22" s="56"/>
      <c r="R22" s="344"/>
      <c r="S22" s="56"/>
      <c r="T22" s="57"/>
    </row>
    <row r="23" spans="1:20" ht="15.4" x14ac:dyDescent="0.45">
      <c r="A23"/>
      <c r="B23" s="108"/>
      <c r="C23" s="109"/>
      <c r="D23" s="109"/>
      <c r="E23" s="109"/>
      <c r="F23" s="109"/>
      <c r="G23" s="109"/>
      <c r="H23" s="109"/>
      <c r="I23" s="109"/>
      <c r="J23" s="89"/>
      <c r="K23" s="60"/>
    </row>
    <row r="24" spans="1:20" ht="15.4" x14ac:dyDescent="0.45">
      <c r="A24"/>
      <c r="B24" s="194"/>
      <c r="C24" s="114"/>
      <c r="D24" s="111"/>
      <c r="E24" s="132" t="s">
        <v>220</v>
      </c>
      <c r="F24" s="114"/>
      <c r="G24" s="114"/>
      <c r="I24" s="114">
        <f>I21/3</f>
        <v>828850.20000000007</v>
      </c>
      <c r="J24" s="89"/>
      <c r="K24" s="60"/>
    </row>
    <row r="25" spans="1:20" ht="15.4" x14ac:dyDescent="0.45">
      <c r="A25"/>
      <c r="B25" s="110"/>
      <c r="C25" s="132"/>
      <c r="D25" s="60"/>
      <c r="E25" s="132"/>
      <c r="F25" s="132"/>
      <c r="G25" s="132"/>
      <c r="I25" s="70"/>
      <c r="J25" s="89"/>
      <c r="K25" s="60"/>
    </row>
    <row r="26" spans="1:20" ht="15.4" x14ac:dyDescent="0.45">
      <c r="A26"/>
      <c r="B26" s="194"/>
      <c r="C26" s="132"/>
      <c r="D26" s="111"/>
      <c r="E26" s="132" t="s">
        <v>221</v>
      </c>
      <c r="F26" s="132"/>
      <c r="G26" s="132"/>
      <c r="I26" s="114">
        <f>I24*0.2</f>
        <v>165770.04000000004</v>
      </c>
      <c r="J26" s="89"/>
      <c r="K26" s="60"/>
      <c r="L26" s="23">
        <f>I26+I24</f>
        <v>994620.24000000011</v>
      </c>
      <c r="N26" s="114"/>
    </row>
    <row r="27" spans="1:20" ht="15.4" x14ac:dyDescent="0.45">
      <c r="A27"/>
      <c r="B27" s="112"/>
      <c r="C27" s="113"/>
      <c r="D27" s="113"/>
      <c r="E27" s="113"/>
      <c r="F27" s="113"/>
      <c r="G27" s="113"/>
      <c r="H27" s="113"/>
      <c r="I27" s="113"/>
      <c r="J27" s="107"/>
      <c r="K27" s="60"/>
    </row>
    <row r="28" spans="1:20" ht="15.4" x14ac:dyDescent="0.45">
      <c r="A28"/>
      <c r="B28" s="102"/>
      <c r="C28" s="102"/>
      <c r="D28" s="102"/>
      <c r="E28" s="102"/>
      <c r="F28" s="102"/>
      <c r="G28" s="102"/>
      <c r="H28" s="102"/>
      <c r="I28" s="102"/>
      <c r="J28" s="60"/>
      <c r="K28" s="60"/>
    </row>
    <row r="30" spans="1:20" x14ac:dyDescent="0.45">
      <c r="D30" s="23">
        <f>C21+D21</f>
        <v>827989.89000000013</v>
      </c>
      <c r="F30" s="23">
        <f>E21+F21</f>
        <v>827234.86999999988</v>
      </c>
      <c r="H30" s="23">
        <f>G21+H21</f>
        <v>831325.84000000008</v>
      </c>
    </row>
  </sheetData>
  <printOptions horizontalCentered="1"/>
  <pageMargins left="0.7" right="0.7" top="1.2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2"/>
  <sheetViews>
    <sheetView workbookViewId="0"/>
  </sheetViews>
  <sheetFormatPr defaultRowHeight="15" x14ac:dyDescent="0.4"/>
  <cols>
    <col min="2" max="2" width="2.6640625" customWidth="1"/>
    <col min="3" max="5" width="9.6640625" customWidth="1"/>
    <col min="6" max="6" width="10.77734375" customWidth="1"/>
    <col min="7" max="8" width="9.6640625" customWidth="1"/>
    <col min="9" max="9" width="2.77734375" customWidth="1"/>
    <col min="11" max="11" width="9.88671875" bestFit="1" customWidth="1"/>
    <col min="12" max="12" width="9" bestFit="1" customWidth="1"/>
    <col min="15" max="15" width="10" customWidth="1"/>
  </cols>
  <sheetData>
    <row r="1" spans="1:20" ht="15.4" x14ac:dyDescent="0.45">
      <c r="A1" s="1"/>
      <c r="B1" s="173"/>
      <c r="C1" s="174"/>
      <c r="D1" s="174"/>
      <c r="E1" s="174"/>
      <c r="F1" s="174"/>
      <c r="G1" s="174"/>
      <c r="H1" s="174"/>
      <c r="I1" s="175"/>
      <c r="J1" s="1"/>
      <c r="K1" s="1"/>
      <c r="L1" s="1"/>
      <c r="M1" s="1"/>
    </row>
    <row r="2" spans="1:20" ht="18" x14ac:dyDescent="0.55000000000000004">
      <c r="A2" s="1"/>
      <c r="B2" s="176"/>
      <c r="C2" s="567" t="s">
        <v>195</v>
      </c>
      <c r="D2" s="567"/>
      <c r="E2" s="567"/>
      <c r="F2" s="567"/>
      <c r="G2" s="567"/>
      <c r="H2" s="567"/>
      <c r="I2" s="228"/>
      <c r="J2" s="1"/>
      <c r="K2" s="1"/>
      <c r="L2" s="1"/>
      <c r="M2" s="1"/>
    </row>
    <row r="3" spans="1:20" ht="18" x14ac:dyDescent="0.55000000000000004">
      <c r="A3" s="1"/>
      <c r="B3" s="176"/>
      <c r="C3" s="4" t="s">
        <v>58</v>
      </c>
      <c r="D3" s="239"/>
      <c r="E3" s="239"/>
      <c r="F3" s="239"/>
      <c r="G3" s="239"/>
      <c r="H3" s="239"/>
      <c r="I3" s="228"/>
      <c r="J3" s="1"/>
      <c r="K3" s="1"/>
      <c r="L3" s="1"/>
      <c r="M3" s="1"/>
    </row>
    <row r="4" spans="1:20" ht="15.75" x14ac:dyDescent="0.45">
      <c r="A4" s="1"/>
      <c r="B4" s="176"/>
      <c r="C4" s="568" t="s">
        <v>207</v>
      </c>
      <c r="D4" s="568"/>
      <c r="E4" s="568"/>
      <c r="F4" s="568"/>
      <c r="G4" s="568"/>
      <c r="H4" s="568"/>
      <c r="I4" s="17"/>
      <c r="J4" s="9"/>
      <c r="K4" s="9"/>
      <c r="L4" s="1"/>
      <c r="M4" s="1"/>
    </row>
    <row r="5" spans="1:20" ht="15.75" x14ac:dyDescent="0.45">
      <c r="A5" s="1"/>
      <c r="B5" s="176"/>
      <c r="C5" s="236"/>
      <c r="D5" s="236"/>
      <c r="E5" s="236"/>
      <c r="F5" s="236"/>
      <c r="G5" s="236"/>
      <c r="H5" s="236"/>
      <c r="I5" s="17"/>
      <c r="J5" s="9"/>
      <c r="K5" s="9"/>
      <c r="L5" s="1"/>
      <c r="M5" s="1"/>
    </row>
    <row r="6" spans="1:20" ht="15.75" x14ac:dyDescent="0.5">
      <c r="A6" s="1"/>
      <c r="B6" s="176"/>
      <c r="C6" s="51"/>
      <c r="D6" s="51"/>
      <c r="E6" s="51"/>
      <c r="F6" s="51"/>
      <c r="G6" s="51"/>
      <c r="H6" s="51"/>
      <c r="I6" s="228"/>
      <c r="J6" s="1"/>
      <c r="K6" s="1"/>
      <c r="L6" s="1"/>
      <c r="M6" s="1"/>
    </row>
    <row r="7" spans="1:20" ht="15.75" x14ac:dyDescent="0.5">
      <c r="A7" s="1"/>
      <c r="B7" s="176"/>
      <c r="C7" s="237" t="s">
        <v>59</v>
      </c>
      <c r="D7" s="237"/>
      <c r="E7" s="235"/>
      <c r="F7" s="235"/>
      <c r="G7" s="235"/>
      <c r="H7" s="235"/>
      <c r="I7" s="228"/>
      <c r="J7" s="1"/>
      <c r="K7" s="1"/>
      <c r="L7" s="1"/>
      <c r="M7" s="1"/>
    </row>
    <row r="8" spans="1:20" ht="6.95" customHeight="1" x14ac:dyDescent="0.5">
      <c r="A8" s="1"/>
      <c r="B8" s="176"/>
      <c r="C8" s="238"/>
      <c r="D8" s="238"/>
      <c r="E8" s="238"/>
      <c r="F8" s="238"/>
      <c r="G8" s="238"/>
      <c r="H8" s="238"/>
      <c r="I8" s="228"/>
      <c r="J8" s="1"/>
      <c r="K8" s="1"/>
      <c r="L8" s="1"/>
      <c r="M8" s="1"/>
    </row>
    <row r="9" spans="1:20" ht="15.4" x14ac:dyDescent="0.45">
      <c r="A9" s="1"/>
      <c r="B9" s="176"/>
      <c r="C9" s="8"/>
      <c r="D9" s="5" t="s">
        <v>60</v>
      </c>
      <c r="E9" s="5"/>
      <c r="F9" s="5"/>
      <c r="G9" s="217" t="s">
        <v>61</v>
      </c>
      <c r="H9" s="5"/>
      <c r="I9" s="228"/>
      <c r="J9" s="23"/>
      <c r="K9" s="23"/>
      <c r="L9" s="23"/>
      <c r="M9" s="23"/>
      <c r="N9" s="2"/>
      <c r="O9" s="2"/>
      <c r="P9" s="2"/>
      <c r="Q9" s="2"/>
      <c r="R9" s="2"/>
      <c r="S9" s="2"/>
      <c r="T9" s="2"/>
    </row>
    <row r="10" spans="1:20" ht="15.4" x14ac:dyDescent="0.45">
      <c r="A10" s="1"/>
      <c r="B10" s="176"/>
      <c r="C10" s="65" t="s">
        <v>62</v>
      </c>
      <c r="D10" s="218" t="s">
        <v>63</v>
      </c>
      <c r="E10" s="218" t="s">
        <v>64</v>
      </c>
      <c r="F10" s="218" t="s">
        <v>65</v>
      </c>
      <c r="G10" s="219" t="s">
        <v>64</v>
      </c>
      <c r="H10" s="218" t="s">
        <v>65</v>
      </c>
      <c r="I10" s="228"/>
      <c r="J10" s="23"/>
      <c r="K10" s="23"/>
      <c r="L10" s="23"/>
      <c r="M10" s="23"/>
      <c r="N10" s="2"/>
      <c r="O10" s="2"/>
      <c r="P10" s="2"/>
      <c r="Q10" s="2"/>
      <c r="R10" s="2"/>
      <c r="S10" s="2"/>
      <c r="T10" s="2"/>
    </row>
    <row r="11" spans="1:20" ht="15.4" x14ac:dyDescent="0.45">
      <c r="A11" s="1"/>
      <c r="B11" s="176"/>
      <c r="C11" s="65" t="s">
        <v>66</v>
      </c>
      <c r="D11" s="65" t="s">
        <v>67</v>
      </c>
      <c r="E11" s="65" t="s">
        <v>68</v>
      </c>
      <c r="F11" s="65" t="s">
        <v>69</v>
      </c>
      <c r="G11" s="220" t="s">
        <v>68</v>
      </c>
      <c r="H11" s="65" t="s">
        <v>69</v>
      </c>
      <c r="I11" s="228"/>
      <c r="J11" s="23"/>
      <c r="K11" s="1"/>
      <c r="L11" s="23"/>
      <c r="M11" s="23"/>
      <c r="N11" s="2"/>
      <c r="O11" s="2"/>
      <c r="P11" s="2"/>
      <c r="Q11" s="2"/>
      <c r="R11" s="2"/>
      <c r="S11" s="2"/>
      <c r="T11" s="2"/>
    </row>
    <row r="12" spans="1:20" ht="15.4" x14ac:dyDescent="0.45">
      <c r="A12" s="1"/>
      <c r="B12" s="176"/>
      <c r="C12" s="8"/>
      <c r="D12" s="8"/>
      <c r="E12" s="8"/>
      <c r="F12" s="8"/>
      <c r="G12" s="221"/>
      <c r="H12" s="8"/>
      <c r="I12" s="228"/>
      <c r="J12" s="23"/>
      <c r="K12" s="23"/>
      <c r="L12" s="23"/>
      <c r="M12" s="23"/>
      <c r="N12" s="2"/>
      <c r="O12" s="2"/>
      <c r="P12" s="2"/>
      <c r="Q12" s="2"/>
      <c r="R12" s="2"/>
      <c r="S12" s="2"/>
      <c r="T12" s="2"/>
    </row>
    <row r="13" spans="1:20" ht="15.4" x14ac:dyDescent="0.45">
      <c r="A13" s="1"/>
      <c r="B13" s="176"/>
      <c r="C13" s="177">
        <v>16</v>
      </c>
      <c r="D13" s="222">
        <f>E13*5280</f>
        <v>12672</v>
      </c>
      <c r="E13" s="223">
        <v>2.4</v>
      </c>
      <c r="F13" s="224">
        <f>E13*C13</f>
        <v>38.4</v>
      </c>
      <c r="G13" s="225">
        <f>(12.3*700)/5280</f>
        <v>1.6306818181818181</v>
      </c>
      <c r="H13" s="48">
        <f>G13*C13</f>
        <v>26.09090909090909</v>
      </c>
      <c r="I13" s="228"/>
      <c r="J13" s="23"/>
      <c r="K13" s="222"/>
      <c r="L13" s="23"/>
      <c r="M13" s="37"/>
      <c r="N13" s="2"/>
      <c r="O13" s="2"/>
      <c r="P13" s="2"/>
      <c r="Q13" s="2"/>
      <c r="R13" s="2"/>
      <c r="S13" s="2"/>
      <c r="T13" s="2"/>
    </row>
    <row r="14" spans="1:20" ht="15.4" x14ac:dyDescent="0.45">
      <c r="A14" s="1"/>
      <c r="B14" s="176"/>
      <c r="C14" s="177">
        <v>12</v>
      </c>
      <c r="D14" s="222">
        <f t="shared" ref="D14:D20" si="0">E14*5280</f>
        <v>44193.599999999999</v>
      </c>
      <c r="E14" s="223">
        <v>8.3699999999999992</v>
      </c>
      <c r="F14" s="224">
        <f t="shared" ref="F14:F20" si="1">E14*C14</f>
        <v>100.44</v>
      </c>
      <c r="G14" s="225"/>
      <c r="H14" s="48"/>
      <c r="I14" s="228"/>
      <c r="J14" s="23"/>
      <c r="K14" s="23"/>
      <c r="L14" s="23"/>
      <c r="M14" s="23"/>
      <c r="N14" s="2"/>
      <c r="O14" s="2"/>
      <c r="P14" s="2"/>
      <c r="Q14" s="2"/>
      <c r="R14" s="2"/>
      <c r="S14" s="2"/>
      <c r="T14" s="2"/>
    </row>
    <row r="15" spans="1:20" ht="15.4" x14ac:dyDescent="0.45">
      <c r="A15" s="1"/>
      <c r="B15" s="176"/>
      <c r="C15" s="177">
        <v>10</v>
      </c>
      <c r="D15" s="222">
        <f t="shared" si="0"/>
        <v>7391.9999999999991</v>
      </c>
      <c r="E15" s="223">
        <v>1.4</v>
      </c>
      <c r="F15" s="224">
        <f t="shared" si="1"/>
        <v>14</v>
      </c>
      <c r="G15" s="225"/>
      <c r="H15" s="48"/>
      <c r="I15" s="228"/>
      <c r="J15" s="23"/>
      <c r="K15" s="23"/>
      <c r="L15" s="23"/>
      <c r="M15" s="23"/>
      <c r="N15" s="2"/>
      <c r="O15" s="2"/>
      <c r="P15" s="2"/>
      <c r="Q15" s="2"/>
      <c r="R15" s="2"/>
      <c r="S15" s="2"/>
      <c r="T15" s="2"/>
    </row>
    <row r="16" spans="1:20" ht="15.4" x14ac:dyDescent="0.45">
      <c r="A16" s="1"/>
      <c r="B16" s="176"/>
      <c r="C16" s="177">
        <v>8</v>
      </c>
      <c r="D16" s="222">
        <f t="shared" si="0"/>
        <v>162465.60000000001</v>
      </c>
      <c r="E16" s="223">
        <v>30.77</v>
      </c>
      <c r="F16" s="224">
        <f t="shared" si="1"/>
        <v>246.16</v>
      </c>
      <c r="G16" s="225">
        <f>(9.1*700)/5280</f>
        <v>1.206439393939394</v>
      </c>
      <c r="H16" s="48">
        <f>G16*C16</f>
        <v>9.6515151515151523</v>
      </c>
      <c r="I16" s="228"/>
      <c r="J16" s="23"/>
      <c r="K16" s="23"/>
      <c r="L16" s="23"/>
      <c r="M16" s="23"/>
      <c r="N16" s="2"/>
      <c r="O16" s="2"/>
      <c r="P16" s="2"/>
      <c r="Q16" s="2"/>
      <c r="R16" s="2"/>
      <c r="S16" s="2"/>
      <c r="T16" s="2"/>
    </row>
    <row r="17" spans="1:20" ht="15.4" x14ac:dyDescent="0.45">
      <c r="A17" s="1"/>
      <c r="B17" s="176"/>
      <c r="C17" s="177">
        <v>6</v>
      </c>
      <c r="D17" s="222">
        <f t="shared" si="0"/>
        <v>888624.00000000012</v>
      </c>
      <c r="E17" s="223">
        <v>168.3</v>
      </c>
      <c r="F17" s="224">
        <f t="shared" si="1"/>
        <v>1009.8000000000001</v>
      </c>
      <c r="G17" s="225">
        <f>(1*700)/5280</f>
        <v>0.13257575757575757</v>
      </c>
      <c r="H17" s="48">
        <f>G17*C17</f>
        <v>0.79545454545454541</v>
      </c>
      <c r="I17" s="228"/>
      <c r="J17" s="23"/>
      <c r="K17" s="23"/>
      <c r="L17" s="23"/>
      <c r="M17" s="23"/>
      <c r="N17" s="2"/>
      <c r="O17" s="2"/>
      <c r="P17" s="2"/>
      <c r="Q17" s="2"/>
      <c r="R17" s="2"/>
      <c r="S17" s="2"/>
      <c r="T17" s="2"/>
    </row>
    <row r="18" spans="1:20" ht="15.4" x14ac:dyDescent="0.45">
      <c r="A18" s="1"/>
      <c r="B18" s="176"/>
      <c r="C18" s="177">
        <v>4</v>
      </c>
      <c r="D18" s="222">
        <f t="shared" si="0"/>
        <v>2022240</v>
      </c>
      <c r="E18" s="223">
        <v>383</v>
      </c>
      <c r="F18" s="224">
        <f t="shared" si="1"/>
        <v>1532</v>
      </c>
      <c r="G18" s="226"/>
      <c r="H18" s="48"/>
      <c r="I18" s="228"/>
      <c r="J18" s="23"/>
      <c r="K18" s="23"/>
      <c r="L18" s="23"/>
      <c r="M18" s="23"/>
      <c r="N18" s="2"/>
      <c r="O18" s="2"/>
      <c r="P18" s="2"/>
      <c r="Q18" s="2"/>
      <c r="R18" s="2"/>
      <c r="S18" s="2"/>
      <c r="T18" s="2"/>
    </row>
    <row r="19" spans="1:20" ht="15.4" x14ac:dyDescent="0.45">
      <c r="A19" s="1"/>
      <c r="B19" s="176"/>
      <c r="C19" s="177">
        <v>3</v>
      </c>
      <c r="D19" s="222">
        <f t="shared" si="0"/>
        <v>409200</v>
      </c>
      <c r="E19" s="223">
        <v>77.5</v>
      </c>
      <c r="F19" s="224">
        <f t="shared" si="1"/>
        <v>232.5</v>
      </c>
      <c r="G19" s="225"/>
      <c r="H19" s="48"/>
      <c r="I19" s="228"/>
      <c r="J19" s="23"/>
      <c r="K19" s="23"/>
      <c r="L19" s="23"/>
      <c r="M19" s="23"/>
      <c r="N19" s="2"/>
      <c r="O19" s="2"/>
      <c r="P19" s="2"/>
      <c r="Q19" s="2"/>
      <c r="R19" s="2"/>
      <c r="S19" s="2"/>
      <c r="T19" s="2"/>
    </row>
    <row r="20" spans="1:20" ht="15.4" x14ac:dyDescent="0.45">
      <c r="A20" s="1"/>
      <c r="B20" s="176"/>
      <c r="C20" s="177">
        <v>2</v>
      </c>
      <c r="D20" s="222">
        <f t="shared" si="0"/>
        <v>83424</v>
      </c>
      <c r="E20" s="223">
        <v>15.8</v>
      </c>
      <c r="F20" s="224">
        <f t="shared" si="1"/>
        <v>31.6</v>
      </c>
      <c r="G20" s="225"/>
      <c r="H20" s="48"/>
      <c r="I20" s="228"/>
      <c r="J20" s="23"/>
      <c r="K20" s="23"/>
      <c r="L20" s="23"/>
      <c r="M20" s="23"/>
      <c r="N20" s="2"/>
      <c r="O20" s="2"/>
      <c r="P20" s="2"/>
      <c r="Q20" s="2"/>
      <c r="R20" s="2"/>
      <c r="S20" s="2"/>
      <c r="T20" s="2"/>
    </row>
    <row r="21" spans="1:20" ht="6.95" customHeight="1" x14ac:dyDescent="0.45">
      <c r="A21" s="1"/>
      <c r="B21" s="176"/>
      <c r="C21" s="177"/>
      <c r="D21" s="222"/>
      <c r="E21" s="227"/>
      <c r="F21" s="223"/>
      <c r="G21" s="225"/>
      <c r="H21" s="48"/>
      <c r="I21" s="228"/>
      <c r="J21" s="23"/>
      <c r="K21" s="23"/>
      <c r="L21" s="23"/>
      <c r="M21" s="23"/>
      <c r="N21" s="2"/>
      <c r="O21" s="2"/>
      <c r="P21" s="2"/>
      <c r="Q21" s="2"/>
      <c r="R21" s="2"/>
      <c r="S21" s="2"/>
      <c r="T21" s="2"/>
    </row>
    <row r="22" spans="1:20" ht="15.4" x14ac:dyDescent="0.45">
      <c r="A22" s="1"/>
      <c r="B22" s="176"/>
      <c r="C22" s="177" t="s">
        <v>18</v>
      </c>
      <c r="D22" s="222">
        <f>SUM(D13:D21)</f>
        <v>3630211.2</v>
      </c>
      <c r="E22" s="137">
        <f>SUM(E13:E21)</f>
        <v>687.54</v>
      </c>
      <c r="F22" s="224">
        <f>SUM(F13:F21)</f>
        <v>3204.9</v>
      </c>
      <c r="G22" s="166">
        <f>SUM(G13:G21)</f>
        <v>2.9696969696969697</v>
      </c>
      <c r="H22" s="48">
        <f>SUM(H13:H21)</f>
        <v>36.537878787878789</v>
      </c>
      <c r="I22" s="228"/>
      <c r="J22" s="23"/>
      <c r="K22" s="37"/>
      <c r="L22" s="23"/>
      <c r="M22" s="23"/>
      <c r="N22" s="2"/>
      <c r="O22" s="2"/>
      <c r="P22" s="2"/>
      <c r="Q22" s="2"/>
      <c r="R22" s="2"/>
      <c r="S22" s="2"/>
      <c r="T22" s="2"/>
    </row>
    <row r="23" spans="1:20" ht="15.4" x14ac:dyDescent="0.45">
      <c r="A23" s="1"/>
      <c r="B23" s="176"/>
      <c r="C23" s="1"/>
      <c r="D23" s="1"/>
      <c r="E23" s="1"/>
      <c r="F23" s="228"/>
      <c r="G23" s="1"/>
      <c r="H23" s="1"/>
      <c r="I23" s="228"/>
      <c r="J23" s="23"/>
      <c r="K23" s="23"/>
      <c r="L23" s="23"/>
      <c r="M23" s="23"/>
      <c r="N23" s="2"/>
      <c r="O23" s="2"/>
      <c r="P23" s="2"/>
      <c r="Q23" s="2"/>
      <c r="R23" s="2"/>
      <c r="S23" s="2"/>
      <c r="T23" s="2"/>
    </row>
    <row r="24" spans="1:20" ht="15.4" x14ac:dyDescent="0.45">
      <c r="A24" s="1"/>
      <c r="B24" s="176"/>
      <c r="C24" s="1"/>
      <c r="D24" s="1"/>
      <c r="E24" s="1"/>
      <c r="F24" s="1"/>
      <c r="G24" s="1"/>
      <c r="H24" s="1"/>
      <c r="I24" s="228"/>
      <c r="J24" s="23"/>
      <c r="K24" s="23"/>
      <c r="L24" s="23"/>
      <c r="M24" s="23"/>
      <c r="N24" s="2"/>
      <c r="O24" s="2"/>
      <c r="P24" s="2"/>
      <c r="Q24" s="2"/>
      <c r="R24" s="2"/>
      <c r="S24" s="2"/>
      <c r="T24" s="2"/>
    </row>
    <row r="25" spans="1:20" ht="15.75" x14ac:dyDescent="0.5">
      <c r="A25" s="1"/>
      <c r="B25" s="176"/>
      <c r="C25" s="240"/>
      <c r="D25" s="214" t="s">
        <v>70</v>
      </c>
      <c r="E25" s="214"/>
      <c r="F25" s="214"/>
      <c r="G25" s="214"/>
      <c r="H25" s="128"/>
      <c r="I25" s="228"/>
      <c r="J25" s="23"/>
      <c r="K25" s="23"/>
      <c r="L25" s="23"/>
      <c r="M25" s="23"/>
      <c r="N25" s="2"/>
      <c r="O25" s="2"/>
      <c r="P25" s="2"/>
      <c r="Q25" s="2"/>
      <c r="R25" s="2"/>
      <c r="S25" s="2"/>
      <c r="T25" s="2"/>
    </row>
    <row r="26" spans="1:20" ht="6.95" customHeight="1" x14ac:dyDescent="0.45">
      <c r="A26" s="1"/>
      <c r="B26" s="176"/>
      <c r="C26" s="1"/>
      <c r="D26" s="216"/>
      <c r="E26" s="216"/>
      <c r="F26" s="216"/>
      <c r="G26" s="216"/>
      <c r="H26" s="1"/>
      <c r="I26" s="228"/>
      <c r="J26" s="23"/>
      <c r="K26" s="23"/>
      <c r="L26" s="23"/>
      <c r="M26" s="23"/>
      <c r="N26" s="2"/>
      <c r="O26" s="2"/>
      <c r="P26" s="2"/>
      <c r="Q26" s="2"/>
      <c r="R26" s="2"/>
      <c r="S26" s="2"/>
      <c r="T26" s="2"/>
    </row>
    <row r="27" spans="1:20" ht="15.4" x14ac:dyDescent="0.45">
      <c r="A27" s="1"/>
      <c r="B27" s="176"/>
      <c r="C27" s="1"/>
      <c r="D27" s="1"/>
      <c r="E27" s="1"/>
      <c r="F27" s="65" t="s">
        <v>19</v>
      </c>
      <c r="G27" s="65"/>
      <c r="H27" s="1"/>
      <c r="I27" s="228"/>
      <c r="J27" s="23"/>
      <c r="K27" s="23"/>
      <c r="L27" s="23"/>
      <c r="M27" s="23"/>
      <c r="N27" s="2"/>
      <c r="O27" s="2"/>
      <c r="P27" s="2"/>
      <c r="Q27" s="2"/>
      <c r="R27" s="2"/>
      <c r="S27" s="2"/>
      <c r="T27" s="2"/>
    </row>
    <row r="28" spans="1:20" ht="15.4" x14ac:dyDescent="0.45">
      <c r="A28" s="1"/>
      <c r="B28" s="176"/>
      <c r="C28" s="1"/>
      <c r="D28" s="1"/>
      <c r="E28" s="1"/>
      <c r="F28" s="65" t="s">
        <v>71</v>
      </c>
      <c r="G28" s="65" t="s">
        <v>11</v>
      </c>
      <c r="H28" s="1"/>
      <c r="I28" s="228"/>
      <c r="J28" s="23"/>
      <c r="K28" s="23"/>
      <c r="L28" s="23"/>
      <c r="M28" s="23"/>
      <c r="N28" s="2"/>
      <c r="O28" s="2"/>
      <c r="P28" s="2"/>
      <c r="Q28" s="2"/>
      <c r="R28" s="2"/>
      <c r="S28" s="2"/>
      <c r="T28" s="2"/>
    </row>
    <row r="29" spans="1:20" ht="6.95" customHeight="1" x14ac:dyDescent="0.45">
      <c r="A29" s="1"/>
      <c r="B29" s="176"/>
      <c r="C29" s="1"/>
      <c r="D29" s="1"/>
      <c r="E29" s="1"/>
      <c r="F29" s="1"/>
      <c r="G29" s="1"/>
      <c r="H29" s="1"/>
      <c r="I29" s="228"/>
      <c r="J29" s="23"/>
      <c r="K29" s="23"/>
      <c r="L29" s="23"/>
      <c r="M29" s="23"/>
      <c r="N29" s="2"/>
      <c r="O29" s="2"/>
      <c r="P29" s="2"/>
      <c r="Q29" s="2"/>
      <c r="R29" s="2"/>
      <c r="S29" s="2"/>
      <c r="T29" s="2"/>
    </row>
    <row r="30" spans="1:20" ht="15.4" x14ac:dyDescent="0.45">
      <c r="A30" s="1"/>
      <c r="B30" s="176"/>
      <c r="C30" s="1"/>
      <c r="D30" s="229" t="s">
        <v>72</v>
      </c>
      <c r="E30" s="229"/>
      <c r="F30" s="73">
        <f>Adj!D5</f>
        <v>740501</v>
      </c>
      <c r="G30" s="229"/>
      <c r="H30" s="1"/>
      <c r="I30" s="228"/>
      <c r="J30" s="23"/>
      <c r="K30" s="23"/>
      <c r="L30" s="23"/>
      <c r="M30" s="23"/>
      <c r="N30" s="2"/>
      <c r="O30" s="2"/>
      <c r="P30" s="2"/>
      <c r="Q30" s="2"/>
      <c r="R30" s="2"/>
      <c r="S30" s="2"/>
      <c r="T30" s="2"/>
    </row>
    <row r="31" spans="1:20" ht="15.4" x14ac:dyDescent="0.45">
      <c r="A31" s="1"/>
      <c r="B31" s="176"/>
      <c r="C31" s="1"/>
      <c r="D31" s="229" t="s">
        <v>73</v>
      </c>
      <c r="E31" s="229"/>
      <c r="F31" s="73">
        <v>428635</v>
      </c>
      <c r="G31" s="229"/>
      <c r="H31" s="1"/>
      <c r="I31" s="228"/>
      <c r="J31" s="23"/>
      <c r="K31" s="23"/>
      <c r="L31" s="23"/>
      <c r="M31" s="23"/>
      <c r="N31" s="2"/>
      <c r="O31" s="2"/>
      <c r="P31" s="2"/>
      <c r="Q31" s="2"/>
      <c r="R31" s="2"/>
      <c r="S31" s="2"/>
      <c r="T31" s="2"/>
    </row>
    <row r="32" spans="1:20" ht="15.4" x14ac:dyDescent="0.45">
      <c r="A32" s="1"/>
      <c r="B32" s="176"/>
      <c r="C32" s="1"/>
      <c r="D32" s="229" t="s">
        <v>74</v>
      </c>
      <c r="E32" s="229"/>
      <c r="F32" s="73">
        <v>32970</v>
      </c>
      <c r="G32" s="229"/>
      <c r="H32" s="1"/>
      <c r="I32" s="228"/>
      <c r="J32" s="23"/>
      <c r="K32" s="23"/>
      <c r="L32" s="23"/>
      <c r="M32" s="23"/>
      <c r="N32" s="2"/>
      <c r="O32" s="2"/>
      <c r="P32" s="2"/>
      <c r="Q32" s="2"/>
      <c r="R32" s="2"/>
      <c r="S32" s="2"/>
      <c r="T32" s="2"/>
    </row>
    <row r="33" spans="1:20" ht="15.4" x14ac:dyDescent="0.45">
      <c r="A33" s="1"/>
      <c r="B33" s="176"/>
      <c r="C33" s="1"/>
      <c r="D33" s="229" t="s">
        <v>75</v>
      </c>
      <c r="E33" s="229"/>
      <c r="F33" s="73">
        <f>SUM(F31:F32)</f>
        <v>461605</v>
      </c>
      <c r="G33" s="229"/>
      <c r="H33" s="1"/>
      <c r="I33" s="228"/>
      <c r="J33" s="23"/>
      <c r="K33" s="23"/>
      <c r="L33" s="23"/>
      <c r="M33" s="23"/>
      <c r="N33" s="2"/>
      <c r="O33" s="2"/>
      <c r="P33" s="2"/>
      <c r="Q33" s="2"/>
      <c r="R33" s="2"/>
      <c r="S33" s="2"/>
      <c r="T33" s="2"/>
    </row>
    <row r="34" spans="1:20" ht="6.95" customHeight="1" x14ac:dyDescent="0.45">
      <c r="A34" s="1"/>
      <c r="B34" s="176"/>
      <c r="C34" s="1"/>
      <c r="D34" s="229"/>
      <c r="E34" s="229"/>
      <c r="F34" s="73"/>
      <c r="G34" s="230"/>
      <c r="H34" s="1"/>
      <c r="I34" s="228"/>
      <c r="J34" s="1"/>
      <c r="K34" s="1"/>
      <c r="L34" s="1"/>
      <c r="M34" s="1"/>
    </row>
    <row r="35" spans="1:20" ht="15.4" x14ac:dyDescent="0.45">
      <c r="A35" s="1"/>
      <c r="B35" s="176"/>
      <c r="C35" s="1"/>
      <c r="D35" s="229" t="s">
        <v>76</v>
      </c>
      <c r="E35" s="229"/>
      <c r="F35" s="73">
        <f>Adj!C8</f>
        <v>11576</v>
      </c>
      <c r="G35" s="230">
        <f>F35/$F$30</f>
        <v>1.5632659510250491E-2</v>
      </c>
      <c r="H35" s="1"/>
      <c r="I35" s="228"/>
      <c r="J35" s="1"/>
      <c r="K35" s="1"/>
      <c r="L35" s="1"/>
      <c r="M35" s="1"/>
    </row>
    <row r="36" spans="1:20" ht="15.4" x14ac:dyDescent="0.45">
      <c r="A36" s="1"/>
      <c r="B36" s="176"/>
      <c r="C36" s="1"/>
      <c r="D36" s="229" t="s">
        <v>77</v>
      </c>
      <c r="E36" s="229"/>
      <c r="F36" s="73">
        <f>Adj!C9</f>
        <v>29787</v>
      </c>
      <c r="G36" s="230">
        <f>F36/$F$30</f>
        <v>4.022546897303312E-2</v>
      </c>
      <c r="H36" s="1"/>
      <c r="I36" s="228"/>
      <c r="J36" s="1"/>
      <c r="K36" s="1"/>
      <c r="L36" s="1"/>
      <c r="M36" s="1"/>
    </row>
    <row r="37" spans="1:20" ht="15.4" x14ac:dyDescent="0.45">
      <c r="A37" s="1"/>
      <c r="B37" s="176"/>
      <c r="C37" s="1"/>
      <c r="D37" s="229" t="s">
        <v>79</v>
      </c>
      <c r="E37" s="229"/>
      <c r="F37" s="73">
        <f>Adj!C10</f>
        <v>32</v>
      </c>
      <c r="G37" s="230"/>
      <c r="H37" s="1"/>
      <c r="I37" s="228"/>
      <c r="J37" s="1"/>
      <c r="K37" s="232">
        <f>SUM(F35:F37)</f>
        <v>41395</v>
      </c>
      <c r="L37" s="233" t="s">
        <v>175</v>
      </c>
      <c r="M37" s="1"/>
    </row>
    <row r="38" spans="1:20" ht="15.4" x14ac:dyDescent="0.45">
      <c r="A38" s="1"/>
      <c r="B38" s="176"/>
      <c r="C38" s="1"/>
      <c r="D38" s="229" t="s">
        <v>78</v>
      </c>
      <c r="E38" s="229"/>
      <c r="F38" s="73">
        <f>F30-F33-K37</f>
        <v>237501</v>
      </c>
      <c r="G38" s="230">
        <f>F38/$F$30</f>
        <v>0.32073015431444385</v>
      </c>
      <c r="H38" s="1"/>
      <c r="I38" s="228"/>
      <c r="J38" s="1"/>
      <c r="K38" s="1"/>
      <c r="L38" s="1"/>
      <c r="M38" s="1"/>
    </row>
    <row r="39" spans="1:20" ht="15.4" x14ac:dyDescent="0.45">
      <c r="A39" s="1"/>
      <c r="B39" s="191"/>
      <c r="C39" s="128"/>
      <c r="D39" s="128"/>
      <c r="E39" s="231"/>
      <c r="F39" s="128"/>
      <c r="G39" s="128"/>
      <c r="H39" s="128"/>
      <c r="I39" s="234"/>
      <c r="J39" s="1"/>
      <c r="K39" s="1"/>
      <c r="L39" s="1"/>
      <c r="M39" s="1"/>
    </row>
    <row r="40" spans="1:20" ht="15.4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20" x14ac:dyDescent="0.4">
      <c r="F41" s="16"/>
    </row>
    <row r="42" spans="1:20" x14ac:dyDescent="0.4">
      <c r="F42" s="16"/>
    </row>
  </sheetData>
  <mergeCells count="2">
    <mergeCell ref="C2:H2"/>
    <mergeCell ref="C4:H4"/>
  </mergeCells>
  <printOptions horizontalCentered="1"/>
  <pageMargins left="0.7" right="0.7" top="1.2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J46"/>
  <sheetViews>
    <sheetView workbookViewId="0"/>
  </sheetViews>
  <sheetFormatPr defaultColWidth="8.88671875" defaultRowHeight="15.75" x14ac:dyDescent="0.5"/>
  <cols>
    <col min="1" max="1" width="8.88671875" style="51"/>
    <col min="2" max="2" width="2.77734375" style="51" customWidth="1"/>
    <col min="3" max="3" width="25.44140625" style="51" customWidth="1"/>
    <col min="4" max="4" width="9.6640625" style="51" customWidth="1"/>
    <col min="5" max="5" width="3.6640625" style="51" customWidth="1"/>
    <col min="6" max="6" width="9.6640625" style="51" customWidth="1"/>
    <col min="7" max="7" width="3.6640625" style="51" customWidth="1"/>
    <col min="8" max="8" width="12.6640625" style="51" customWidth="1"/>
    <col min="9" max="9" width="2.77734375" style="51" customWidth="1"/>
    <col min="10" max="10" width="9.6640625" style="51" customWidth="1"/>
    <col min="11" max="16384" width="8.88671875" style="51"/>
  </cols>
  <sheetData>
    <row r="2" spans="1:10" ht="9.9499999999999993" customHeight="1" x14ac:dyDescent="0.65">
      <c r="A2" s="1"/>
      <c r="B2" s="173"/>
      <c r="C2" s="569"/>
      <c r="D2" s="569"/>
      <c r="E2" s="569"/>
      <c r="F2" s="569"/>
      <c r="G2" s="569"/>
      <c r="H2" s="569"/>
      <c r="I2" s="241"/>
      <c r="J2" s="242"/>
    </row>
    <row r="3" spans="1:10" ht="18" x14ac:dyDescent="0.55000000000000004">
      <c r="A3" s="1"/>
      <c r="B3" s="176"/>
      <c r="C3" s="567" t="s">
        <v>80</v>
      </c>
      <c r="D3" s="567"/>
      <c r="E3" s="567"/>
      <c r="F3" s="567"/>
      <c r="G3" s="567"/>
      <c r="H3" s="567"/>
      <c r="I3" s="228"/>
      <c r="J3" s="1"/>
    </row>
    <row r="4" spans="1:10" ht="18" x14ac:dyDescent="0.55000000000000004">
      <c r="A4" s="1"/>
      <c r="B4" s="176"/>
      <c r="C4" s="4" t="s">
        <v>81</v>
      </c>
      <c r="D4" s="215"/>
      <c r="E4" s="215"/>
      <c r="F4" s="215"/>
      <c r="G4" s="215"/>
      <c r="H4" s="215"/>
      <c r="I4" s="228"/>
      <c r="J4" s="1"/>
    </row>
    <row r="5" spans="1:10" x14ac:dyDescent="0.5">
      <c r="A5" s="1"/>
      <c r="B5" s="176"/>
      <c r="C5" s="568" t="s">
        <v>207</v>
      </c>
      <c r="D5" s="568"/>
      <c r="E5" s="568"/>
      <c r="F5" s="568"/>
      <c r="G5" s="568"/>
      <c r="H5" s="568"/>
      <c r="I5" s="228"/>
      <c r="J5" s="1"/>
    </row>
    <row r="6" spans="1:10" ht="9.9499999999999993" customHeight="1" x14ac:dyDescent="0.5">
      <c r="A6" s="1"/>
      <c r="B6" s="191"/>
      <c r="C6" s="401"/>
      <c r="D6" s="401"/>
      <c r="E6" s="401"/>
      <c r="F6" s="401"/>
      <c r="G6" s="401"/>
      <c r="H6" s="401"/>
      <c r="I6" s="234"/>
      <c r="J6" s="1"/>
    </row>
    <row r="7" spans="1:10" x14ac:dyDescent="0.5">
      <c r="A7" s="1"/>
      <c r="B7" s="176"/>
      <c r="C7" s="229"/>
      <c r="D7" s="229"/>
      <c r="E7" s="243"/>
      <c r="F7" s="229"/>
      <c r="G7" s="229"/>
      <c r="I7" s="228"/>
      <c r="J7" s="1"/>
    </row>
    <row r="8" spans="1:10" x14ac:dyDescent="0.5">
      <c r="A8" s="1"/>
      <c r="B8" s="176"/>
      <c r="C8" s="229"/>
      <c r="D8" s="229"/>
      <c r="E8" s="243"/>
      <c r="F8" s="229"/>
      <c r="G8" s="229"/>
      <c r="H8" s="244" t="s">
        <v>82</v>
      </c>
      <c r="I8" s="228"/>
      <c r="J8" s="1"/>
    </row>
    <row r="9" spans="1:10" x14ac:dyDescent="0.5">
      <c r="A9" s="1"/>
      <c r="B9" s="176"/>
      <c r="C9" s="229" t="s">
        <v>83</v>
      </c>
      <c r="D9" s="229"/>
      <c r="E9" s="243"/>
      <c r="F9" s="229"/>
      <c r="G9" s="229"/>
      <c r="H9" s="245">
        <f>Sys!G38</f>
        <v>0.32073015431444385</v>
      </c>
      <c r="I9" s="228"/>
      <c r="J9" s="1"/>
    </row>
    <row r="10" spans="1:10" x14ac:dyDescent="0.5">
      <c r="A10" s="1"/>
      <c r="B10" s="176"/>
      <c r="C10" s="229" t="s">
        <v>84</v>
      </c>
      <c r="D10" s="229"/>
      <c r="E10" s="243"/>
      <c r="F10" s="229"/>
      <c r="G10" s="229"/>
      <c r="H10" s="245">
        <f>Sys!G35</f>
        <v>1.5632659510250491E-2</v>
      </c>
      <c r="I10" s="228"/>
      <c r="J10" s="1"/>
    </row>
    <row r="11" spans="1:10" x14ac:dyDescent="0.5">
      <c r="A11" s="1"/>
      <c r="B11" s="176"/>
      <c r="C11" s="229" t="s">
        <v>85</v>
      </c>
      <c r="D11" s="229"/>
      <c r="E11" s="243"/>
      <c r="F11" s="229"/>
      <c r="G11" s="229"/>
      <c r="H11" s="245">
        <f>H10+H9</f>
        <v>0.33636281382469435</v>
      </c>
      <c r="I11" s="228"/>
      <c r="J11" s="1"/>
    </row>
    <row r="12" spans="1:10" x14ac:dyDescent="0.5">
      <c r="A12" s="1"/>
      <c r="B12" s="176"/>
      <c r="C12" s="229" t="s">
        <v>86</v>
      </c>
      <c r="D12" s="229"/>
      <c r="E12" s="243"/>
      <c r="F12" s="229"/>
      <c r="G12" s="229"/>
      <c r="H12" s="246">
        <f>Sys!H22</f>
        <v>36.537878787878789</v>
      </c>
      <c r="I12" s="228"/>
      <c r="J12" s="1"/>
    </row>
    <row r="13" spans="1:10" x14ac:dyDescent="0.5">
      <c r="A13" s="1"/>
      <c r="B13" s="176"/>
      <c r="C13" s="229" t="s">
        <v>87</v>
      </c>
      <c r="D13" s="229"/>
      <c r="E13" s="243"/>
      <c r="F13" s="229"/>
      <c r="G13" s="229"/>
      <c r="H13" s="246">
        <f>Sys!F22</f>
        <v>3204.9</v>
      </c>
      <c r="I13" s="228"/>
      <c r="J13" s="1"/>
    </row>
    <row r="14" spans="1:10" x14ac:dyDescent="0.5">
      <c r="A14" s="1"/>
      <c r="B14" s="176"/>
      <c r="C14" s="229" t="s">
        <v>88</v>
      </c>
      <c r="D14" s="229"/>
      <c r="E14" s="243"/>
      <c r="F14" s="229"/>
      <c r="G14" s="229"/>
      <c r="H14" s="247">
        <f>Sys!F32</f>
        <v>32970</v>
      </c>
      <c r="I14" s="228"/>
      <c r="J14" s="1"/>
    </row>
    <row r="15" spans="1:10" x14ac:dyDescent="0.5">
      <c r="A15" s="1"/>
      <c r="B15" s="176"/>
      <c r="C15" s="229" t="s">
        <v>89</v>
      </c>
      <c r="D15" s="229"/>
      <c r="E15" s="243"/>
      <c r="F15" s="229"/>
      <c r="G15" s="229"/>
      <c r="H15" s="247">
        <f>Sys!F33</f>
        <v>461605</v>
      </c>
      <c r="I15" s="228"/>
      <c r="J15" s="1"/>
    </row>
    <row r="16" spans="1:10" x14ac:dyDescent="0.5">
      <c r="A16" s="1"/>
      <c r="B16" s="176"/>
      <c r="C16" s="229"/>
      <c r="D16" s="229"/>
      <c r="E16" s="243"/>
      <c r="F16" s="229"/>
      <c r="G16" s="229"/>
      <c r="H16" s="245"/>
      <c r="I16" s="228"/>
      <c r="J16" s="1"/>
    </row>
    <row r="17" spans="1:10" x14ac:dyDescent="0.5">
      <c r="A17" s="1"/>
      <c r="B17" s="176"/>
      <c r="C17" s="229"/>
      <c r="D17" s="229"/>
      <c r="E17" s="243">
        <v>1</v>
      </c>
      <c r="G17" s="229"/>
      <c r="H17" s="245"/>
      <c r="I17" s="228"/>
      <c r="J17" s="1"/>
    </row>
    <row r="18" spans="1:10" x14ac:dyDescent="0.5">
      <c r="A18" s="1"/>
      <c r="B18" s="176"/>
      <c r="C18" s="229" t="s">
        <v>90</v>
      </c>
      <c r="D18" s="1" t="s">
        <v>253</v>
      </c>
      <c r="E18" s="1"/>
      <c r="F18" s="1"/>
      <c r="G18" s="243" t="s">
        <v>92</v>
      </c>
      <c r="H18" s="245">
        <f>1/(1-H11)</f>
        <v>1.5068474474181155</v>
      </c>
      <c r="I18" s="228"/>
      <c r="J18" s="1"/>
    </row>
    <row r="19" spans="1:10" x14ac:dyDescent="0.5">
      <c r="A19" s="1"/>
      <c r="B19" s="176"/>
      <c r="C19" s="229"/>
      <c r="D19" s="229">
        <v>1</v>
      </c>
      <c r="E19" s="243" t="s">
        <v>93</v>
      </c>
      <c r="F19" s="249">
        <f>H11</f>
        <v>0.33636281382469435</v>
      </c>
      <c r="G19" s="243"/>
      <c r="H19" s="245"/>
      <c r="I19" s="228"/>
      <c r="J19" s="1"/>
    </row>
    <row r="20" spans="1:10" x14ac:dyDescent="0.5">
      <c r="A20" s="1"/>
      <c r="B20" s="176"/>
      <c r="C20" s="229"/>
      <c r="D20" s="229"/>
      <c r="E20" s="243"/>
      <c r="F20" s="250"/>
      <c r="G20" s="243"/>
      <c r="H20" s="245"/>
      <c r="I20" s="228"/>
      <c r="J20" s="1"/>
    </row>
    <row r="21" spans="1:10" x14ac:dyDescent="0.5">
      <c r="A21" s="1"/>
      <c r="B21" s="176"/>
      <c r="C21" s="229"/>
      <c r="D21" s="229"/>
      <c r="E21" s="1"/>
      <c r="F21" s="251">
        <f>H12</f>
        <v>36.537878787878789</v>
      </c>
      <c r="G21" s="243"/>
      <c r="H21" s="245"/>
      <c r="I21" s="228"/>
      <c r="J21" s="1"/>
    </row>
    <row r="22" spans="1:10" x14ac:dyDescent="0.5">
      <c r="A22" s="1"/>
      <c r="B22" s="176"/>
      <c r="C22" s="229" t="s">
        <v>94</v>
      </c>
      <c r="D22" s="1"/>
      <c r="E22" s="261" t="s">
        <v>254</v>
      </c>
      <c r="F22" s="248"/>
      <c r="G22" s="243" t="s">
        <v>92</v>
      </c>
      <c r="H22" s="245">
        <f>F21/F23</f>
        <v>1.1400629906667537E-2</v>
      </c>
      <c r="I22" s="228"/>
      <c r="J22" s="1"/>
    </row>
    <row r="23" spans="1:10" x14ac:dyDescent="0.5">
      <c r="A23" s="1"/>
      <c r="B23" s="176"/>
      <c r="C23" s="229"/>
      <c r="D23" s="252"/>
      <c r="E23" s="243"/>
      <c r="F23" s="251">
        <f>H13</f>
        <v>3204.9</v>
      </c>
      <c r="G23" s="243"/>
      <c r="H23" s="245"/>
      <c r="I23" s="228"/>
      <c r="J23" s="1"/>
    </row>
    <row r="24" spans="1:10" x14ac:dyDescent="0.5">
      <c r="A24" s="1"/>
      <c r="B24" s="176"/>
      <c r="C24" s="229"/>
      <c r="D24" s="252"/>
      <c r="E24" s="243"/>
      <c r="F24" s="229"/>
      <c r="G24" s="243"/>
      <c r="H24" s="245"/>
      <c r="I24" s="228"/>
      <c r="J24" s="1"/>
    </row>
    <row r="25" spans="1:10" x14ac:dyDescent="0.5">
      <c r="A25" s="1"/>
      <c r="B25" s="176"/>
      <c r="C25" s="229" t="s">
        <v>176</v>
      </c>
      <c r="D25" s="253">
        <f>H9</f>
        <v>0.32073015431444385</v>
      </c>
      <c r="E25" s="243" t="s">
        <v>95</v>
      </c>
      <c r="F25" s="254">
        <f>H22</f>
        <v>1.1400629906667537E-2</v>
      </c>
      <c r="G25" s="243" t="s">
        <v>92</v>
      </c>
      <c r="H25" s="245">
        <f>D25*F25</f>
        <v>3.6565257892473427E-3</v>
      </c>
      <c r="I25" s="228"/>
      <c r="J25" s="1"/>
    </row>
    <row r="26" spans="1:10" x14ac:dyDescent="0.5">
      <c r="A26" s="1"/>
      <c r="B26" s="176"/>
      <c r="C26" s="229"/>
      <c r="D26" s="253"/>
      <c r="E26" s="243"/>
      <c r="F26" s="254"/>
      <c r="G26" s="243"/>
      <c r="H26" s="245"/>
      <c r="I26" s="228"/>
      <c r="J26" s="1"/>
    </row>
    <row r="27" spans="1:10" x14ac:dyDescent="0.5">
      <c r="A27" s="1"/>
      <c r="B27" s="176"/>
      <c r="C27" s="229"/>
      <c r="D27" s="253"/>
      <c r="E27" s="243"/>
      <c r="F27" s="254"/>
      <c r="G27" s="243"/>
      <c r="H27" s="245"/>
      <c r="I27" s="228"/>
      <c r="J27" s="1"/>
    </row>
    <row r="28" spans="1:10" x14ac:dyDescent="0.5">
      <c r="A28" s="1"/>
      <c r="B28" s="176"/>
      <c r="C28" s="229" t="s">
        <v>96</v>
      </c>
      <c r="D28" s="253">
        <f>H25</f>
        <v>3.6565257892473427E-3</v>
      </c>
      <c r="E28" s="243" t="s">
        <v>97</v>
      </c>
      <c r="F28" s="254">
        <f>H10</f>
        <v>1.5632659510250491E-2</v>
      </c>
      <c r="G28" s="243" t="s">
        <v>92</v>
      </c>
      <c r="H28" s="245">
        <f>D28+F28</f>
        <v>1.9289185299497833E-2</v>
      </c>
      <c r="I28" s="228"/>
      <c r="J28" s="1"/>
    </row>
    <row r="29" spans="1:10" x14ac:dyDescent="0.5">
      <c r="A29" s="1"/>
      <c r="B29" s="176"/>
      <c r="C29" s="229"/>
      <c r="D29" s="253"/>
      <c r="E29" s="243"/>
      <c r="F29" s="229"/>
      <c r="G29" s="243"/>
      <c r="H29" s="245"/>
      <c r="I29" s="228"/>
      <c r="J29" s="1"/>
    </row>
    <row r="30" spans="1:10" x14ac:dyDescent="0.5">
      <c r="A30" s="1"/>
      <c r="B30" s="176"/>
      <c r="C30" s="229"/>
      <c r="D30" s="229"/>
      <c r="E30" s="243">
        <v>1</v>
      </c>
      <c r="G30" s="243"/>
      <c r="H30" s="255"/>
      <c r="I30" s="228"/>
      <c r="J30" s="1"/>
    </row>
    <row r="31" spans="1:10" x14ac:dyDescent="0.5">
      <c r="A31" s="1"/>
      <c r="B31" s="176"/>
      <c r="C31" s="229" t="s">
        <v>98</v>
      </c>
      <c r="D31" s="1" t="s">
        <v>91</v>
      </c>
      <c r="E31" s="1"/>
      <c r="F31" s="1"/>
      <c r="G31" s="243" t="s">
        <v>92</v>
      </c>
      <c r="H31" s="245">
        <f>1/(1-F32)</f>
        <v>1.0196685761086346</v>
      </c>
      <c r="I31" s="228"/>
      <c r="J31" s="1"/>
    </row>
    <row r="32" spans="1:10" x14ac:dyDescent="0.5">
      <c r="A32" s="1"/>
      <c r="B32" s="176"/>
      <c r="C32" s="229"/>
      <c r="D32" s="229">
        <v>1</v>
      </c>
      <c r="E32" s="243" t="s">
        <v>93</v>
      </c>
      <c r="F32" s="249">
        <f>H28</f>
        <v>1.9289185299497833E-2</v>
      </c>
      <c r="G32" s="243"/>
      <c r="H32" s="245"/>
      <c r="I32" s="228"/>
      <c r="J32" s="1"/>
    </row>
    <row r="33" spans="1:10" x14ac:dyDescent="0.5">
      <c r="A33" s="1"/>
      <c r="B33" s="176"/>
      <c r="C33" s="229"/>
      <c r="D33" s="229"/>
      <c r="E33" s="243"/>
      <c r="F33" s="249"/>
      <c r="G33" s="243"/>
      <c r="H33" s="245"/>
      <c r="I33" s="228"/>
      <c r="J33" s="1"/>
    </row>
    <row r="34" spans="1:10" x14ac:dyDescent="0.5">
      <c r="A34" s="1"/>
      <c r="B34" s="176"/>
      <c r="C34" s="229"/>
      <c r="D34" s="256">
        <f>H31</f>
        <v>1.0196685761086346</v>
      </c>
      <c r="E34" s="243"/>
      <c r="F34" s="257">
        <f>$H$14</f>
        <v>32970</v>
      </c>
      <c r="G34" s="243"/>
      <c r="H34" s="245"/>
      <c r="I34" s="228"/>
      <c r="J34" s="1"/>
    </row>
    <row r="35" spans="1:10" x14ac:dyDescent="0.5">
      <c r="A35" s="1"/>
      <c r="B35" s="176"/>
      <c r="C35" s="258" t="s">
        <v>99</v>
      </c>
      <c r="D35" s="243" t="s">
        <v>100</v>
      </c>
      <c r="E35" s="243" t="s">
        <v>95</v>
      </c>
      <c r="F35" s="243" t="s">
        <v>100</v>
      </c>
      <c r="G35" s="243" t="s">
        <v>92</v>
      </c>
      <c r="H35" s="259">
        <f>(H31/H18)*(+F34/F36)</f>
        <v>4.833238113734336E-2</v>
      </c>
      <c r="I35" s="228"/>
      <c r="J35" s="1"/>
    </row>
    <row r="36" spans="1:10" x14ac:dyDescent="0.5">
      <c r="A36" s="1"/>
      <c r="B36" s="176"/>
      <c r="C36" s="229"/>
      <c r="D36" s="256">
        <f>H18</f>
        <v>1.5068474474181155</v>
      </c>
      <c r="E36" s="243"/>
      <c r="F36" s="257">
        <f>$H$15</f>
        <v>461605</v>
      </c>
      <c r="G36" s="243"/>
      <c r="H36" s="259"/>
      <c r="I36" s="228"/>
      <c r="J36" s="1"/>
    </row>
    <row r="37" spans="1:10" x14ac:dyDescent="0.5">
      <c r="A37" s="1"/>
      <c r="B37" s="176"/>
      <c r="C37" s="229"/>
      <c r="D37" s="256"/>
      <c r="E37" s="243"/>
      <c r="F37" s="257"/>
      <c r="G37" s="243"/>
      <c r="H37" s="259"/>
      <c r="I37" s="228"/>
      <c r="J37" s="1"/>
    </row>
    <row r="38" spans="1:10" x14ac:dyDescent="0.5">
      <c r="A38" s="1"/>
      <c r="B38" s="176"/>
      <c r="C38" s="229"/>
      <c r="D38" s="257">
        <f>$H$14</f>
        <v>32970</v>
      </c>
      <c r="E38" s="243"/>
      <c r="F38" s="229"/>
      <c r="G38" s="243"/>
      <c r="H38" s="259"/>
      <c r="I38" s="228"/>
      <c r="J38" s="1"/>
    </row>
    <row r="39" spans="1:10" x14ac:dyDescent="0.5">
      <c r="A39" s="1"/>
      <c r="B39" s="176"/>
      <c r="C39" s="258" t="s">
        <v>101</v>
      </c>
      <c r="D39" s="243" t="s">
        <v>100</v>
      </c>
      <c r="E39" s="243" t="s">
        <v>95</v>
      </c>
      <c r="F39" s="256">
        <f>H22</f>
        <v>1.1400629906667537E-2</v>
      </c>
      <c r="G39" s="243" t="s">
        <v>92</v>
      </c>
      <c r="H39" s="259">
        <f>(+D38/D40)*H22</f>
        <v>8.142866043973282E-4</v>
      </c>
      <c r="I39" s="228"/>
      <c r="J39" s="1"/>
    </row>
    <row r="40" spans="1:10" x14ac:dyDescent="0.5">
      <c r="A40" s="1"/>
      <c r="B40" s="176"/>
      <c r="C40" s="229"/>
      <c r="D40" s="257">
        <f>$H$15</f>
        <v>461605</v>
      </c>
      <c r="E40" s="243"/>
      <c r="F40" s="229"/>
      <c r="G40" s="243"/>
      <c r="H40" s="259"/>
      <c r="I40" s="228"/>
      <c r="J40" s="1"/>
    </row>
    <row r="41" spans="1:10" x14ac:dyDescent="0.5">
      <c r="A41" s="1"/>
      <c r="B41" s="176"/>
      <c r="C41" s="229"/>
      <c r="D41" s="229"/>
      <c r="E41" s="243"/>
      <c r="F41" s="229"/>
      <c r="G41" s="243"/>
      <c r="H41" s="259"/>
      <c r="I41" s="228"/>
      <c r="J41" s="1"/>
    </row>
    <row r="42" spans="1:10" x14ac:dyDescent="0.5">
      <c r="A42" s="1"/>
      <c r="B42" s="176"/>
      <c r="C42" s="229"/>
      <c r="D42" s="229"/>
      <c r="E42" s="243"/>
      <c r="F42" s="257">
        <f>$H$14</f>
        <v>32970</v>
      </c>
      <c r="G42" s="243"/>
      <c r="H42" s="259"/>
      <c r="I42" s="228"/>
      <c r="J42" s="1"/>
    </row>
    <row r="43" spans="1:10" x14ac:dyDescent="0.5">
      <c r="A43" s="1"/>
      <c r="B43" s="176"/>
      <c r="C43" s="258" t="s">
        <v>102</v>
      </c>
      <c r="D43" s="229"/>
      <c r="E43" s="243"/>
      <c r="F43" s="243" t="s">
        <v>100</v>
      </c>
      <c r="G43" s="243" t="s">
        <v>92</v>
      </c>
      <c r="H43" s="259">
        <f>F42/F44</f>
        <v>7.142470293865967E-2</v>
      </c>
      <c r="I43" s="228"/>
      <c r="J43" s="1"/>
    </row>
    <row r="44" spans="1:10" x14ac:dyDescent="0.5">
      <c r="A44" s="1"/>
      <c r="B44" s="176"/>
      <c r="C44" s="1"/>
      <c r="D44" s="1"/>
      <c r="E44" s="120"/>
      <c r="F44" s="257">
        <f>$H$15</f>
        <v>461605</v>
      </c>
      <c r="G44" s="1"/>
      <c r="H44" s="260"/>
      <c r="I44" s="228"/>
      <c r="J44" s="1"/>
    </row>
    <row r="45" spans="1:10" x14ac:dyDescent="0.5">
      <c r="A45" s="1"/>
      <c r="B45" s="191"/>
      <c r="C45" s="128"/>
      <c r="D45" s="128"/>
      <c r="E45" s="121"/>
      <c r="F45" s="128"/>
      <c r="G45" s="128"/>
      <c r="H45" s="128"/>
      <c r="I45" s="234"/>
      <c r="J45" s="1"/>
    </row>
    <row r="46" spans="1:10" x14ac:dyDescent="0.5">
      <c r="A46" s="1"/>
      <c r="B46" s="1"/>
      <c r="C46" s="1"/>
      <c r="D46" s="1"/>
      <c r="E46" s="120"/>
      <c r="F46" s="1"/>
      <c r="G46" s="1"/>
      <c r="H46" s="1"/>
      <c r="I46" s="1"/>
      <c r="J46" s="1"/>
    </row>
  </sheetData>
  <mergeCells count="3">
    <mergeCell ref="C2:H2"/>
    <mergeCell ref="C3:H3"/>
    <mergeCell ref="C5:H5"/>
  </mergeCells>
  <printOptions horizontalCentered="1"/>
  <pageMargins left="0.75" right="0.75" top="1" bottom="0.75" header="0.3" footer="0.3"/>
  <pageSetup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J39"/>
  <sheetViews>
    <sheetView workbookViewId="0"/>
  </sheetViews>
  <sheetFormatPr defaultColWidth="8.77734375" defaultRowHeight="14.25" x14ac:dyDescent="0.45"/>
  <cols>
    <col min="1" max="1" width="4.5546875" style="23" customWidth="1"/>
    <col min="2" max="2" width="29.44140625" style="23" customWidth="1"/>
    <col min="3" max="8" width="9.5546875" style="23" customWidth="1"/>
    <col min="9" max="16384" width="8.77734375" style="23"/>
  </cols>
  <sheetData>
    <row r="2" spans="2:8" x14ac:dyDescent="0.45">
      <c r="B2" s="26"/>
      <c r="C2" s="27"/>
      <c r="D2" s="27"/>
      <c r="E2" s="27"/>
      <c r="F2" s="27"/>
      <c r="G2" s="27"/>
      <c r="H2" s="28"/>
    </row>
    <row r="3" spans="2:8" ht="18" x14ac:dyDescent="0.55000000000000004">
      <c r="B3" s="570" t="s">
        <v>196</v>
      </c>
      <c r="C3" s="567"/>
      <c r="D3" s="567"/>
      <c r="E3" s="567"/>
      <c r="F3" s="567"/>
      <c r="G3" s="567"/>
      <c r="H3" s="571"/>
    </row>
    <row r="4" spans="2:8" ht="18" x14ac:dyDescent="0.55000000000000004">
      <c r="B4" s="151" t="s">
        <v>189</v>
      </c>
      <c r="C4" s="5"/>
      <c r="D4" s="5"/>
      <c r="E4" s="5"/>
      <c r="F4" s="5"/>
      <c r="G4" s="5"/>
      <c r="H4" s="152"/>
    </row>
    <row r="5" spans="2:8" ht="15.75" x14ac:dyDescent="0.45">
      <c r="B5" s="572" t="s">
        <v>207</v>
      </c>
      <c r="C5" s="573"/>
      <c r="D5" s="573"/>
      <c r="E5" s="573"/>
      <c r="F5" s="573"/>
      <c r="G5" s="573"/>
      <c r="H5" s="574"/>
    </row>
    <row r="6" spans="2:8" ht="15" x14ac:dyDescent="0.45">
      <c r="B6" s="153"/>
      <c r="C6" s="5"/>
      <c r="D6" s="5"/>
      <c r="E6" s="5"/>
      <c r="F6" s="5"/>
      <c r="G6" s="5"/>
      <c r="H6" s="152"/>
    </row>
    <row r="7" spans="2:8" ht="16.5" x14ac:dyDescent="0.75">
      <c r="B7" s="29"/>
      <c r="C7" s="262" t="s">
        <v>128</v>
      </c>
      <c r="D7" s="154" t="s">
        <v>188</v>
      </c>
      <c r="E7" s="154" t="s">
        <v>54</v>
      </c>
      <c r="F7" s="154" t="s">
        <v>185</v>
      </c>
      <c r="G7" s="154" t="s">
        <v>55</v>
      </c>
      <c r="H7" s="155"/>
    </row>
    <row r="8" spans="2:8" x14ac:dyDescent="0.45">
      <c r="B8" s="29"/>
      <c r="C8" s="134" t="s">
        <v>164</v>
      </c>
      <c r="D8" s="154" t="s">
        <v>186</v>
      </c>
      <c r="E8" s="154" t="s">
        <v>56</v>
      </c>
      <c r="F8" s="154" t="s">
        <v>187</v>
      </c>
      <c r="G8" s="154" t="s">
        <v>57</v>
      </c>
      <c r="H8" s="155" t="s">
        <v>29</v>
      </c>
    </row>
    <row r="9" spans="2:8" x14ac:dyDescent="0.45">
      <c r="B9" s="29"/>
      <c r="C9" s="20"/>
      <c r="D9" s="20"/>
      <c r="E9" s="20"/>
      <c r="F9" s="20"/>
      <c r="G9" s="20"/>
      <c r="H9" s="30"/>
    </row>
    <row r="10" spans="2:8" x14ac:dyDescent="0.45">
      <c r="B10" s="145" t="s">
        <v>255</v>
      </c>
      <c r="C10" s="20">
        <f>Depr!I11</f>
        <v>92998</v>
      </c>
      <c r="D10" s="20">
        <f>0.879*C10</f>
        <v>81745.241999999998</v>
      </c>
      <c r="E10" s="20">
        <f>0.054*C10</f>
        <v>5021.8919999999998</v>
      </c>
      <c r="F10" s="20"/>
      <c r="G10" s="20">
        <f>C10-D10-E10</f>
        <v>6230.8660000000018</v>
      </c>
      <c r="H10" s="30"/>
    </row>
    <row r="11" spans="2:8" x14ac:dyDescent="0.45">
      <c r="B11" s="145" t="s">
        <v>272</v>
      </c>
      <c r="C11" s="20">
        <f>Depr!I13</f>
        <v>16559</v>
      </c>
      <c r="D11" s="20">
        <f>C11</f>
        <v>16559</v>
      </c>
      <c r="E11" s="20"/>
      <c r="F11" s="20"/>
      <c r="G11" s="20"/>
      <c r="H11" s="30"/>
    </row>
    <row r="12" spans="2:8" x14ac:dyDescent="0.45">
      <c r="B12" s="145" t="s">
        <v>256</v>
      </c>
      <c r="C12" s="20">
        <f>Depr!I15</f>
        <v>4108.8</v>
      </c>
      <c r="D12" s="20">
        <f>C12</f>
        <v>4108.8</v>
      </c>
      <c r="E12" s="20"/>
      <c r="F12" s="20"/>
      <c r="G12" s="20"/>
      <c r="H12" s="30"/>
    </row>
    <row r="13" spans="2:8" x14ac:dyDescent="0.45">
      <c r="B13" s="145" t="s">
        <v>257</v>
      </c>
      <c r="C13" s="20">
        <f>SUM(Depr!I17:I20)</f>
        <v>47971.040000000001</v>
      </c>
      <c r="D13" s="20"/>
      <c r="E13" s="20">
        <f>C13</f>
        <v>47971.040000000001</v>
      </c>
      <c r="F13" s="20"/>
      <c r="G13" s="20"/>
      <c r="H13" s="30"/>
    </row>
    <row r="14" spans="2:8" x14ac:dyDescent="0.45">
      <c r="B14" s="145" t="s">
        <v>258</v>
      </c>
      <c r="C14" s="20">
        <f>Depr!I22</f>
        <v>29185.381818181817</v>
      </c>
      <c r="D14" s="20">
        <f>C14</f>
        <v>29185.381818181817</v>
      </c>
      <c r="E14" s="20"/>
      <c r="F14" s="20"/>
      <c r="G14" s="20"/>
      <c r="H14" s="30"/>
    </row>
    <row r="15" spans="2:8" x14ac:dyDescent="0.45">
      <c r="B15" s="145" t="s">
        <v>259</v>
      </c>
      <c r="C15" s="20">
        <f>Depr!I24</f>
        <v>134607.37777777779</v>
      </c>
      <c r="D15" s="20"/>
      <c r="E15" s="20"/>
      <c r="F15" s="20">
        <f>C15</f>
        <v>134607.37777777779</v>
      </c>
      <c r="G15" s="20"/>
      <c r="H15" s="30"/>
    </row>
    <row r="16" spans="2:8" x14ac:dyDescent="0.45">
      <c r="B16" s="145" t="s">
        <v>260</v>
      </c>
      <c r="C16" s="20">
        <f>Depr!I26</f>
        <v>334539.21600000001</v>
      </c>
      <c r="D16" s="20"/>
      <c r="E16" s="20">
        <f>C16</f>
        <v>334539.21600000001</v>
      </c>
      <c r="F16" s="20"/>
      <c r="G16" s="20"/>
      <c r="H16" s="30"/>
    </row>
    <row r="17" spans="2:10" x14ac:dyDescent="0.45">
      <c r="B17" s="145" t="s">
        <v>261</v>
      </c>
      <c r="C17" s="20">
        <f>Depr!I28</f>
        <v>27408.95</v>
      </c>
      <c r="D17" s="20"/>
      <c r="E17" s="20"/>
      <c r="F17" s="20"/>
      <c r="G17" s="20"/>
      <c r="H17" s="30">
        <f>C17</f>
        <v>27408.95</v>
      </c>
    </row>
    <row r="18" spans="2:10" x14ac:dyDescent="0.45">
      <c r="B18" s="145" t="s">
        <v>262</v>
      </c>
      <c r="C18" s="20">
        <f>Depr!I30+Depr!I31</f>
        <v>84050.7</v>
      </c>
      <c r="D18" s="20"/>
      <c r="E18" s="20"/>
      <c r="F18" s="20"/>
      <c r="G18" s="20"/>
      <c r="H18" s="30">
        <f>C18</f>
        <v>84050.7</v>
      </c>
    </row>
    <row r="19" spans="2:10" x14ac:dyDescent="0.45">
      <c r="B19" s="145" t="s">
        <v>263</v>
      </c>
      <c r="C19" s="20">
        <f>Depr!I33</f>
        <v>37735.688888888886</v>
      </c>
      <c r="D19" s="20"/>
      <c r="E19" s="20"/>
      <c r="F19" s="20"/>
      <c r="G19" s="20"/>
      <c r="H19" s="30">
        <f>C19</f>
        <v>37735.688888888886</v>
      </c>
    </row>
    <row r="20" spans="2:10" x14ac:dyDescent="0.45">
      <c r="B20" s="145" t="s">
        <v>264</v>
      </c>
      <c r="C20" s="20">
        <f>Depr!I35</f>
        <v>4170.16</v>
      </c>
      <c r="D20" s="20"/>
      <c r="E20" s="20"/>
      <c r="F20" s="20"/>
      <c r="G20" s="20"/>
      <c r="H20" s="30">
        <f>C20</f>
        <v>4170.16</v>
      </c>
    </row>
    <row r="21" spans="2:10" x14ac:dyDescent="0.45">
      <c r="B21" s="145" t="s">
        <v>265</v>
      </c>
      <c r="C21" s="20">
        <f>SUM(Depr!I37:I39)</f>
        <v>19253.693333333333</v>
      </c>
      <c r="D21" s="20"/>
      <c r="E21" s="20"/>
      <c r="F21" s="20"/>
      <c r="G21" s="20">
        <f>C21</f>
        <v>19253.693333333333</v>
      </c>
      <c r="H21" s="30"/>
    </row>
    <row r="22" spans="2:10" ht="16.5" x14ac:dyDescent="0.75">
      <c r="B22" s="145" t="s">
        <v>268</v>
      </c>
      <c r="C22" s="31">
        <f>Depr!I46</f>
        <v>2991.6</v>
      </c>
      <c r="D22" s="20">
        <f>C22</f>
        <v>2991.6</v>
      </c>
      <c r="E22" s="20"/>
      <c r="F22" s="20"/>
      <c r="G22" s="20"/>
      <c r="H22" s="30"/>
    </row>
    <row r="23" spans="2:10" x14ac:dyDescent="0.45">
      <c r="B23" s="263" t="s">
        <v>273</v>
      </c>
      <c r="C23" s="20">
        <f t="shared" ref="C23:H23" si="0">SUM(C10:C22)</f>
        <v>835579.60781818174</v>
      </c>
      <c r="D23" s="20">
        <f t="shared" si="0"/>
        <v>134590.02381818183</v>
      </c>
      <c r="E23" s="20">
        <f t="shared" si="0"/>
        <v>387532.14800000004</v>
      </c>
      <c r="F23" s="20">
        <f t="shared" si="0"/>
        <v>134607.37777777779</v>
      </c>
      <c r="G23" s="20">
        <f t="shared" si="0"/>
        <v>25484.559333333335</v>
      </c>
      <c r="H23" s="30">
        <f t="shared" si="0"/>
        <v>153365.49888888889</v>
      </c>
      <c r="J23" s="23">
        <f>SUM(D23:H23)</f>
        <v>835579.60781818186</v>
      </c>
    </row>
    <row r="24" spans="2:10" x14ac:dyDescent="0.45">
      <c r="B24" s="263" t="s">
        <v>274</v>
      </c>
      <c r="C24" s="20"/>
      <c r="D24" s="32">
        <f>D23/$C$23</f>
        <v>0.16107384928841872</v>
      </c>
      <c r="E24" s="32">
        <f>E23/$C$23</f>
        <v>0.46378842228079509</v>
      </c>
      <c r="F24" s="32">
        <f>F23/$C$23</f>
        <v>0.16109461805710765</v>
      </c>
      <c r="G24" s="32">
        <f>G23/$C$23</f>
        <v>3.0499259549759926E-2</v>
      </c>
      <c r="H24" s="47">
        <f>H23/$C$23</f>
        <v>0.18354385082391875</v>
      </c>
      <c r="J24" s="36">
        <f>SUM(D24:I24)</f>
        <v>1.0000000000000002</v>
      </c>
    </row>
    <row r="25" spans="2:10" x14ac:dyDescent="0.45">
      <c r="B25" s="145" t="s">
        <v>266</v>
      </c>
      <c r="C25" s="20">
        <f>Depr!I41</f>
        <v>61596.142857142855</v>
      </c>
      <c r="D25" s="20"/>
      <c r="E25" s="20"/>
      <c r="F25" s="20"/>
      <c r="G25" s="20"/>
      <c r="H25" s="30"/>
    </row>
    <row r="26" spans="2:10" x14ac:dyDescent="0.45">
      <c r="B26" s="145" t="s">
        <v>267</v>
      </c>
      <c r="C26" s="20">
        <f>Depr!I44+Depr!I43</f>
        <v>2121.8628571428571</v>
      </c>
      <c r="D26" s="20"/>
      <c r="E26" s="20"/>
      <c r="F26" s="20"/>
      <c r="G26" s="20"/>
      <c r="H26" s="30"/>
    </row>
    <row r="27" spans="2:10" x14ac:dyDescent="0.45">
      <c r="B27" s="145" t="s">
        <v>269</v>
      </c>
      <c r="C27" s="20">
        <f>Depr!I48</f>
        <v>10963.6</v>
      </c>
      <c r="D27" s="20"/>
      <c r="E27" s="20"/>
      <c r="F27" s="20"/>
      <c r="G27" s="20"/>
      <c r="H27" s="30"/>
    </row>
    <row r="28" spans="2:10" x14ac:dyDescent="0.45">
      <c r="B28" s="145" t="s">
        <v>270</v>
      </c>
      <c r="C28" s="20">
        <f>Depr!I50</f>
        <v>5752</v>
      </c>
      <c r="D28" s="20"/>
      <c r="E28" s="20"/>
      <c r="F28" s="20"/>
      <c r="G28" s="20"/>
      <c r="H28" s="30"/>
    </row>
    <row r="29" spans="2:10" ht="16.5" x14ac:dyDescent="0.75">
      <c r="B29" s="145" t="s">
        <v>271</v>
      </c>
      <c r="C29" s="31">
        <f>Depr!I53+Depr!I52</f>
        <v>3968.457142857143</v>
      </c>
      <c r="D29" s="20"/>
      <c r="E29" s="20"/>
      <c r="F29" s="20"/>
      <c r="G29" s="20"/>
      <c r="H29" s="30"/>
    </row>
    <row r="30" spans="2:10" x14ac:dyDescent="0.45">
      <c r="B30" s="263" t="s">
        <v>275</v>
      </c>
      <c r="C30" s="20">
        <f>SUM(C25:C29)</f>
        <v>84402.062857142853</v>
      </c>
      <c r="D30" s="20"/>
      <c r="E30" s="20"/>
      <c r="F30" s="20"/>
      <c r="G30" s="20"/>
      <c r="H30" s="30"/>
    </row>
    <row r="31" spans="2:10" x14ac:dyDescent="0.45">
      <c r="B31" s="145" t="s">
        <v>276</v>
      </c>
      <c r="C31" s="20"/>
      <c r="D31" s="20">
        <f>$C$30*D24</f>
        <v>13594.965152283072</v>
      </c>
      <c r="E31" s="20">
        <f>$C$30*E24</f>
        <v>39144.699569758777</v>
      </c>
      <c r="F31" s="20">
        <f>$C$30*F24</f>
        <v>13596.71807920342</v>
      </c>
      <c r="G31" s="20">
        <f>$C$30*G24</f>
        <v>2574.2004216151518</v>
      </c>
      <c r="H31" s="30">
        <f>$C$30*H24</f>
        <v>15491.479634282441</v>
      </c>
    </row>
    <row r="32" spans="2:10" x14ac:dyDescent="0.45">
      <c r="B32" s="145"/>
      <c r="C32" s="20"/>
      <c r="D32" s="20"/>
      <c r="E32" s="20"/>
      <c r="F32" s="20"/>
      <c r="G32" s="20"/>
      <c r="H32" s="30"/>
    </row>
    <row r="33" spans="2:10" x14ac:dyDescent="0.45">
      <c r="B33" s="156" t="s">
        <v>190</v>
      </c>
      <c r="C33" s="43">
        <f>C23+C30</f>
        <v>919981.67067532463</v>
      </c>
      <c r="D33" s="43">
        <f>D23+D31</f>
        <v>148184.98897046491</v>
      </c>
      <c r="E33" s="43">
        <f>E23+E31</f>
        <v>426676.84756975883</v>
      </c>
      <c r="F33" s="43">
        <f>F23+F31</f>
        <v>148204.09585698121</v>
      </c>
      <c r="G33" s="43">
        <f>G23+G31</f>
        <v>28058.759754948485</v>
      </c>
      <c r="H33" s="157">
        <f>H23+H31</f>
        <v>168856.97852317133</v>
      </c>
      <c r="J33" s="23">
        <f>SUM(D33:H33)</f>
        <v>919981.67067532474</v>
      </c>
    </row>
    <row r="34" spans="2:10" x14ac:dyDescent="0.45">
      <c r="B34" s="33"/>
      <c r="C34" s="19"/>
      <c r="D34" s="19"/>
      <c r="E34" s="19"/>
      <c r="F34" s="19"/>
      <c r="G34" s="19"/>
      <c r="H34" s="34"/>
    </row>
    <row r="36" spans="2:10" x14ac:dyDescent="0.45">
      <c r="J36" s="23">
        <f>SUM(D36:H36)</f>
        <v>0</v>
      </c>
    </row>
    <row r="39" spans="2:10" x14ac:dyDescent="0.45">
      <c r="C39" s="38"/>
    </row>
  </sheetData>
  <mergeCells count="2">
    <mergeCell ref="B3:H3"/>
    <mergeCell ref="B5:H5"/>
  </mergeCells>
  <printOptions horizontalCentered="1"/>
  <pageMargins left="0.7" right="0.7" top="1.5" bottom="0.75" header="0.3" footer="0.3"/>
  <pageSetup scale="8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AN320"/>
  <sheetViews>
    <sheetView workbookViewId="0"/>
  </sheetViews>
  <sheetFormatPr defaultRowHeight="15" x14ac:dyDescent="0.4"/>
  <cols>
    <col min="1" max="1" width="1.109375" customWidth="1"/>
    <col min="2" max="2" width="24.44140625" customWidth="1"/>
    <col min="3" max="3" width="10.6640625" customWidth="1"/>
    <col min="4" max="4" width="9.44140625" customWidth="1"/>
    <col min="5" max="5" width="10.6640625" customWidth="1"/>
    <col min="6" max="6" width="10" customWidth="1"/>
    <col min="7" max="7" width="8.88671875" customWidth="1"/>
    <col min="8" max="8" width="9.21875" customWidth="1"/>
    <col min="9" max="9" width="1" customWidth="1"/>
    <col min="11" max="12" width="11" bestFit="1" customWidth="1"/>
  </cols>
  <sheetData>
    <row r="2" spans="1:40" ht="15.4" x14ac:dyDescent="0.45">
      <c r="A2" s="173"/>
      <c r="B2" s="173"/>
      <c r="C2" s="174"/>
      <c r="D2" s="174"/>
      <c r="E2" s="174"/>
      <c r="F2" s="174"/>
      <c r="G2" s="174"/>
      <c r="H2" s="174"/>
      <c r="I2" s="17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8" x14ac:dyDescent="0.55000000000000004">
      <c r="A3" s="176"/>
      <c r="B3" s="570" t="s">
        <v>30</v>
      </c>
      <c r="C3" s="567"/>
      <c r="D3" s="567"/>
      <c r="E3" s="567"/>
      <c r="F3" s="567"/>
      <c r="G3" s="567"/>
      <c r="H3" s="567"/>
      <c r="I3" s="18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ht="18" x14ac:dyDescent="0.55000000000000004">
      <c r="A4" s="176"/>
      <c r="B4" s="151" t="s">
        <v>327</v>
      </c>
      <c r="C4" s="5"/>
      <c r="D4" s="5"/>
      <c r="E4" s="5"/>
      <c r="F4" s="5"/>
      <c r="G4" s="5"/>
      <c r="H4" s="5"/>
      <c r="I4" s="18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ht="15.75" x14ac:dyDescent="0.45">
      <c r="A5" s="176"/>
      <c r="B5" s="572" t="s">
        <v>207</v>
      </c>
      <c r="C5" s="573"/>
      <c r="D5" s="573"/>
      <c r="E5" s="573"/>
      <c r="F5" s="573"/>
      <c r="G5" s="573"/>
      <c r="H5" s="573"/>
      <c r="I5" s="18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5.4" x14ac:dyDescent="0.45">
      <c r="A6" s="176"/>
      <c r="B6" s="285"/>
      <c r="C6" s="8"/>
      <c r="D6" s="8"/>
      <c r="E6" s="8"/>
      <c r="F6" s="8"/>
      <c r="G6" s="8"/>
      <c r="H6" s="8"/>
      <c r="I6" s="180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ht="15.4" x14ac:dyDescent="0.45">
      <c r="A7" s="176"/>
      <c r="B7" s="285"/>
      <c r="C7" s="8"/>
      <c r="D7" s="8"/>
      <c r="E7" s="8"/>
      <c r="F7" s="8"/>
      <c r="G7" s="8"/>
      <c r="H7" s="8"/>
      <c r="I7" s="180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ht="15.4" x14ac:dyDescent="0.45">
      <c r="A8" s="176"/>
      <c r="B8" s="285"/>
      <c r="C8" s="280" t="s">
        <v>17</v>
      </c>
      <c r="D8" s="154" t="s">
        <v>328</v>
      </c>
      <c r="E8" s="154" t="s">
        <v>54</v>
      </c>
      <c r="F8" s="154" t="s">
        <v>185</v>
      </c>
      <c r="G8" s="154" t="s">
        <v>55</v>
      </c>
      <c r="H8" s="154"/>
      <c r="I8" s="18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ht="15.4" x14ac:dyDescent="0.45">
      <c r="A9" s="176"/>
      <c r="B9" s="285"/>
      <c r="C9" s="154" t="s">
        <v>31</v>
      </c>
      <c r="D9" s="154" t="s">
        <v>186</v>
      </c>
      <c r="E9" s="154" t="s">
        <v>56</v>
      </c>
      <c r="F9" s="154" t="s">
        <v>187</v>
      </c>
      <c r="G9" s="154" t="s">
        <v>57</v>
      </c>
      <c r="H9" s="154" t="s">
        <v>29</v>
      </c>
      <c r="I9" s="180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ht="15.4" x14ac:dyDescent="0.45">
      <c r="A10" s="176"/>
      <c r="B10" s="285"/>
      <c r="C10" s="8"/>
      <c r="D10" s="8"/>
      <c r="E10" s="8"/>
      <c r="F10" s="8"/>
      <c r="G10" s="8"/>
      <c r="H10" s="8"/>
      <c r="I10" s="18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ht="15.4" x14ac:dyDescent="0.45">
      <c r="A11" s="176"/>
      <c r="B11" s="168" t="s">
        <v>330</v>
      </c>
      <c r="C11" s="279">
        <f>10262+602730+147504+50232</f>
        <v>810728</v>
      </c>
      <c r="D11" s="20">
        <f>0.879*C11</f>
        <v>712629.91200000001</v>
      </c>
      <c r="E11" s="20">
        <f>0.054*C11</f>
        <v>43779.311999999998</v>
      </c>
      <c r="F11" s="20"/>
      <c r="G11" s="20">
        <f>C11-D11-E11</f>
        <v>54318.775999999991</v>
      </c>
      <c r="H11" s="163"/>
      <c r="I11" s="16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15.4" x14ac:dyDescent="0.45">
      <c r="A12" s="176"/>
      <c r="B12" s="282" t="s">
        <v>255</v>
      </c>
      <c r="C12" s="222">
        <f>3810223+235651+602742</f>
        <v>4648616</v>
      </c>
      <c r="D12" s="20">
        <v>3810223</v>
      </c>
      <c r="E12" s="20">
        <v>235651</v>
      </c>
      <c r="F12" s="20"/>
      <c r="G12" s="20">
        <f>C12-D12-E12</f>
        <v>602742</v>
      </c>
      <c r="H12" s="222"/>
      <c r="I12" s="18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5.4" x14ac:dyDescent="0.45">
      <c r="A13" s="176"/>
      <c r="B13" s="282" t="s">
        <v>272</v>
      </c>
      <c r="C13" s="222">
        <f>751570</f>
        <v>751570</v>
      </c>
      <c r="D13" s="222">
        <f>C13</f>
        <v>751570</v>
      </c>
      <c r="E13" s="222"/>
      <c r="F13" s="222"/>
      <c r="G13" s="222"/>
      <c r="H13" s="222"/>
      <c r="I13" s="18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ht="15.4" x14ac:dyDescent="0.45">
      <c r="A14" s="176"/>
      <c r="B14" s="282" t="s">
        <v>256</v>
      </c>
      <c r="C14" s="222">
        <v>256800</v>
      </c>
      <c r="D14" s="222">
        <f>C14</f>
        <v>256800</v>
      </c>
      <c r="E14" s="222"/>
      <c r="F14" s="222"/>
      <c r="G14" s="222"/>
      <c r="H14" s="222"/>
      <c r="I14" s="18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ht="15.4" x14ac:dyDescent="0.45">
      <c r="A15" s="176"/>
      <c r="B15" s="282" t="s">
        <v>257</v>
      </c>
      <c r="C15" s="222">
        <f>31282+1912343</f>
        <v>1943625</v>
      </c>
      <c r="D15" s="222"/>
      <c r="E15" s="222">
        <f>C15</f>
        <v>1943625</v>
      </c>
      <c r="F15" s="222"/>
      <c r="G15" s="222"/>
      <c r="H15" s="222"/>
      <c r="I15" s="18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ht="15.4" x14ac:dyDescent="0.45">
      <c r="A16" s="176"/>
      <c r="B16" s="282" t="s">
        <v>258</v>
      </c>
      <c r="C16" s="222">
        <v>1777745</v>
      </c>
      <c r="D16" s="222">
        <f>C16</f>
        <v>1777745</v>
      </c>
      <c r="E16" s="222"/>
      <c r="F16" s="222"/>
      <c r="G16" s="222"/>
      <c r="H16" s="222"/>
      <c r="I16" s="18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ht="15.4" x14ac:dyDescent="0.45">
      <c r="A17" s="176"/>
      <c r="B17" s="282" t="s">
        <v>259</v>
      </c>
      <c r="C17" s="222">
        <v>6057332</v>
      </c>
      <c r="D17" s="222"/>
      <c r="E17" s="222"/>
      <c r="F17" s="222">
        <f>C17</f>
        <v>6057332</v>
      </c>
      <c r="G17" s="222"/>
      <c r="H17" s="222"/>
      <c r="I17" s="18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ht="15.4" x14ac:dyDescent="0.45">
      <c r="A18" s="176"/>
      <c r="B18" s="282" t="s">
        <v>354</v>
      </c>
      <c r="C18" s="222">
        <f>20908701+159900</f>
        <v>21068601</v>
      </c>
      <c r="D18" s="222"/>
      <c r="E18" s="222">
        <f>C18</f>
        <v>21068601</v>
      </c>
      <c r="F18" s="222"/>
      <c r="G18" s="222"/>
      <c r="H18" s="222"/>
      <c r="I18" s="18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ht="15.4" x14ac:dyDescent="0.45">
      <c r="A19" s="176"/>
      <c r="B19" s="282" t="s">
        <v>261</v>
      </c>
      <c r="C19" s="222">
        <v>1540643</v>
      </c>
      <c r="D19" s="222"/>
      <c r="E19" s="222"/>
      <c r="F19" s="222"/>
      <c r="G19" s="222"/>
      <c r="H19" s="222">
        <f>C19</f>
        <v>1540643</v>
      </c>
      <c r="I19" s="18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ht="15.4" x14ac:dyDescent="0.45">
      <c r="A20" s="176"/>
      <c r="B20" s="282" t="s">
        <v>262</v>
      </c>
      <c r="C20" s="222">
        <v>1689818</v>
      </c>
      <c r="D20" s="222"/>
      <c r="E20" s="222"/>
      <c r="F20" s="222"/>
      <c r="G20" s="222"/>
      <c r="H20" s="222">
        <f t="shared" ref="H20:H22" si="0">C20</f>
        <v>1689818</v>
      </c>
      <c r="I20" s="18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ht="15.4" x14ac:dyDescent="0.45">
      <c r="A21" s="176"/>
      <c r="B21" s="282" t="s">
        <v>263</v>
      </c>
      <c r="C21" s="222">
        <v>1698106</v>
      </c>
      <c r="D21" s="222"/>
      <c r="E21" s="222"/>
      <c r="F21" s="222"/>
      <c r="G21" s="222"/>
      <c r="H21" s="222">
        <f t="shared" si="0"/>
        <v>1698106</v>
      </c>
      <c r="I21" s="18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t="15.4" x14ac:dyDescent="0.45">
      <c r="A22" s="176"/>
      <c r="B22" s="282" t="s">
        <v>264</v>
      </c>
      <c r="C22" s="222">
        <v>208508</v>
      </c>
      <c r="D22" s="222"/>
      <c r="E22" s="222"/>
      <c r="F22" s="222"/>
      <c r="G22" s="222"/>
      <c r="H22" s="222">
        <f t="shared" si="0"/>
        <v>208508</v>
      </c>
      <c r="I22" s="18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ht="15.4" x14ac:dyDescent="0.45">
      <c r="A23" s="176"/>
      <c r="B23" s="282" t="s">
        <v>265</v>
      </c>
      <c r="C23" s="222">
        <f>6580+374613</f>
        <v>381193</v>
      </c>
      <c r="D23" s="222"/>
      <c r="E23" s="222"/>
      <c r="F23" s="222"/>
      <c r="G23" s="222">
        <f>C23</f>
        <v>381193</v>
      </c>
      <c r="H23" s="222"/>
      <c r="I23" s="18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15.4" x14ac:dyDescent="0.45">
      <c r="A24" s="176"/>
      <c r="B24" s="282" t="s">
        <v>268</v>
      </c>
      <c r="C24" s="222">
        <v>60845</v>
      </c>
      <c r="D24" s="222">
        <f>C24</f>
        <v>60845</v>
      </c>
      <c r="E24" s="222"/>
      <c r="F24" s="222"/>
      <c r="G24" s="222"/>
      <c r="H24" s="222"/>
      <c r="I24" s="18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ht="15.4" x14ac:dyDescent="0.45">
      <c r="A25" s="176"/>
      <c r="B25" s="283" t="s">
        <v>273</v>
      </c>
      <c r="C25" s="279">
        <f>SUM(C11:C24)</f>
        <v>42894130</v>
      </c>
      <c r="D25" s="222">
        <f>SUM(D11:D24)</f>
        <v>7369812.9120000005</v>
      </c>
      <c r="E25" s="222">
        <f t="shared" ref="E25:H25" si="1">SUM(E11:E24)</f>
        <v>23291656.311999999</v>
      </c>
      <c r="F25" s="222">
        <f t="shared" si="1"/>
        <v>6057332</v>
      </c>
      <c r="G25" s="222">
        <f t="shared" si="1"/>
        <v>1038253.776</v>
      </c>
      <c r="H25" s="222">
        <f t="shared" si="1"/>
        <v>5137075</v>
      </c>
      <c r="I25" s="180"/>
      <c r="J25" s="1"/>
      <c r="K25" s="3">
        <f>SUM(D25:H25)</f>
        <v>42894130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ht="15.4" x14ac:dyDescent="0.45">
      <c r="A26" s="176"/>
      <c r="B26" s="283" t="s">
        <v>274</v>
      </c>
      <c r="C26" s="222"/>
      <c r="D26" s="281">
        <f>D25/$C$25</f>
        <v>0.17181402005355978</v>
      </c>
      <c r="E26" s="281">
        <f t="shared" ref="E26:H26" si="2">E25/$C$25</f>
        <v>0.54300335062163518</v>
      </c>
      <c r="F26" s="281">
        <f t="shared" si="2"/>
        <v>0.14121587266136415</v>
      </c>
      <c r="G26" s="281">
        <f t="shared" si="2"/>
        <v>2.4205031690816434E-2</v>
      </c>
      <c r="H26" s="281">
        <f t="shared" si="2"/>
        <v>0.11976172497262445</v>
      </c>
      <c r="I26" s="180"/>
      <c r="J26" s="1"/>
      <c r="K26" s="277">
        <f>SUM(D26:H26)</f>
        <v>1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ht="15.4" x14ac:dyDescent="0.45">
      <c r="A27" s="176"/>
      <c r="B27" s="282" t="s">
        <v>266</v>
      </c>
      <c r="C27" s="222">
        <v>632256</v>
      </c>
      <c r="D27" s="222"/>
      <c r="E27" s="222"/>
      <c r="F27" s="222"/>
      <c r="G27" s="222"/>
      <c r="H27" s="222"/>
      <c r="I27" s="18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ht="15.4" x14ac:dyDescent="0.45">
      <c r="A28" s="176"/>
      <c r="B28" s="282" t="s">
        <v>267</v>
      </c>
      <c r="C28" s="222">
        <f>483+4107+77947</f>
        <v>82537</v>
      </c>
      <c r="D28" s="222"/>
      <c r="E28" s="222"/>
      <c r="F28" s="222"/>
      <c r="G28" s="222"/>
      <c r="H28" s="222"/>
      <c r="I28" s="18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ht="15.4" x14ac:dyDescent="0.45">
      <c r="A29" s="176"/>
      <c r="B29" s="282" t="s">
        <v>269</v>
      </c>
      <c r="C29" s="222">
        <v>345360</v>
      </c>
      <c r="D29" s="222"/>
      <c r="E29" s="222"/>
      <c r="F29" s="222"/>
      <c r="G29" s="222"/>
      <c r="H29" s="222"/>
      <c r="I29" s="18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ht="15.4" x14ac:dyDescent="0.45">
      <c r="A30" s="176"/>
      <c r="B30" s="282" t="s">
        <v>270</v>
      </c>
      <c r="C30" s="222">
        <v>427399</v>
      </c>
      <c r="D30" s="222"/>
      <c r="E30" s="222"/>
      <c r="F30" s="222"/>
      <c r="G30" s="222"/>
      <c r="H30" s="222"/>
      <c r="I30" s="18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t="15.4" x14ac:dyDescent="0.45">
      <c r="A31" s="176"/>
      <c r="B31" s="282" t="s">
        <v>271</v>
      </c>
      <c r="C31" s="222">
        <v>78392</v>
      </c>
      <c r="D31" s="222"/>
      <c r="E31" s="222"/>
      <c r="F31" s="222"/>
      <c r="G31" s="222"/>
      <c r="H31" s="222"/>
      <c r="I31" s="18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ht="15.4" x14ac:dyDescent="0.45">
      <c r="A32" s="176"/>
      <c r="B32" s="283" t="s">
        <v>275</v>
      </c>
      <c r="C32" s="222">
        <f>SUM(C27:C31)</f>
        <v>1565944</v>
      </c>
      <c r="D32" s="222"/>
      <c r="E32" s="222"/>
      <c r="F32" s="222"/>
      <c r="G32" s="222"/>
      <c r="H32" s="222"/>
      <c r="I32" s="18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ht="15.4" x14ac:dyDescent="0.45">
      <c r="A33" s="176"/>
      <c r="B33" s="282" t="s">
        <v>276</v>
      </c>
      <c r="C33" s="222"/>
      <c r="D33" s="222">
        <f>$C$32*D26</f>
        <v>269051.13381875161</v>
      </c>
      <c r="E33" s="222">
        <f t="shared" ref="E33:H33" si="3">$C$32*E26</f>
        <v>850312.83888584585</v>
      </c>
      <c r="F33" s="222">
        <f t="shared" si="3"/>
        <v>221136.14849882721</v>
      </c>
      <c r="G33" s="222">
        <f t="shared" si="3"/>
        <v>37903.724146043853</v>
      </c>
      <c r="H33" s="222">
        <f t="shared" si="3"/>
        <v>187540.15465053142</v>
      </c>
      <c r="I33" s="180"/>
      <c r="J33" s="1"/>
      <c r="K33" s="3">
        <f>SUM(D33:H33)</f>
        <v>1565944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ht="5.0999999999999996" customHeight="1" x14ac:dyDescent="0.45">
      <c r="A34" s="176"/>
      <c r="B34" s="282"/>
      <c r="C34" s="275"/>
      <c r="D34" s="275"/>
      <c r="E34" s="275"/>
      <c r="F34" s="275"/>
      <c r="G34" s="275"/>
      <c r="H34" s="275"/>
      <c r="I34" s="180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ht="15.4" x14ac:dyDescent="0.45">
      <c r="A35" s="176"/>
      <c r="B35" s="284" t="s">
        <v>190</v>
      </c>
      <c r="C35" s="275">
        <f>C25+C32</f>
        <v>44460074</v>
      </c>
      <c r="D35" s="275">
        <f>D33+D25</f>
        <v>7638864.0458187517</v>
      </c>
      <c r="E35" s="275">
        <f t="shared" ref="E35:H35" si="4">E33+E25</f>
        <v>24141969.150885846</v>
      </c>
      <c r="F35" s="275">
        <f t="shared" si="4"/>
        <v>6278468.1484988276</v>
      </c>
      <c r="G35" s="275">
        <f t="shared" si="4"/>
        <v>1076157.5001460437</v>
      </c>
      <c r="H35" s="275">
        <f t="shared" si="4"/>
        <v>5324615.1546505317</v>
      </c>
      <c r="I35" s="180"/>
      <c r="J35" s="1"/>
      <c r="K35" s="3">
        <f>SUM(D35:H35)</f>
        <v>44460074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ht="15.4" x14ac:dyDescent="0.45">
      <c r="A36" s="176"/>
      <c r="B36" s="168" t="s">
        <v>329</v>
      </c>
      <c r="C36" s="8"/>
      <c r="D36" s="281">
        <f>D35/$C$35</f>
        <v>0.17181402005355978</v>
      </c>
      <c r="E36" s="281">
        <f t="shared" ref="E36:H36" si="5">E35/$C$35</f>
        <v>0.54300335062163518</v>
      </c>
      <c r="F36" s="281">
        <f t="shared" si="5"/>
        <v>0.14121587266136415</v>
      </c>
      <c r="G36" s="281">
        <f t="shared" si="5"/>
        <v>2.4205031690816434E-2</v>
      </c>
      <c r="H36" s="281">
        <f t="shared" si="5"/>
        <v>0.11976172497262447</v>
      </c>
      <c r="I36" s="180"/>
      <c r="J36" s="1"/>
      <c r="K36" s="277">
        <f>SUM(D36:H36)</f>
        <v>1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ht="15.4" x14ac:dyDescent="0.45">
      <c r="A37" s="176"/>
      <c r="B37" s="168"/>
      <c r="C37" s="8"/>
      <c r="D37" s="286"/>
      <c r="E37" s="286"/>
      <c r="F37" s="286"/>
      <c r="G37" s="286"/>
      <c r="H37" s="286"/>
      <c r="I37" s="180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ht="15.4" x14ac:dyDescent="0.45">
      <c r="A38" s="176"/>
      <c r="B38" s="168" t="s">
        <v>355</v>
      </c>
      <c r="C38" s="276">
        <f>Debt!I24+Debt!I26+SAO!H48</f>
        <v>992520.24000000011</v>
      </c>
      <c r="D38" s="276">
        <f>$C$38*D36</f>
        <v>170528.89241892399</v>
      </c>
      <c r="E38" s="276">
        <f t="shared" ref="E38:H38" si="6">$C$38*E36</f>
        <v>538941.81587978953</v>
      </c>
      <c r="F38" s="276">
        <f t="shared" si="6"/>
        <v>140159.61182566659</v>
      </c>
      <c r="G38" s="276">
        <f t="shared" si="6"/>
        <v>24023.983862976736</v>
      </c>
      <c r="H38" s="276">
        <f t="shared" si="6"/>
        <v>118865.93601264324</v>
      </c>
      <c r="I38" s="180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ht="15.4" x14ac:dyDescent="0.45">
      <c r="A39" s="1"/>
      <c r="B39" s="287"/>
      <c r="C39" s="278"/>
      <c r="D39" s="278"/>
      <c r="E39" s="278"/>
      <c r="F39" s="278"/>
      <c r="G39" s="278"/>
      <c r="H39" s="278"/>
      <c r="I39" s="19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ht="15.4" x14ac:dyDescent="0.45">
      <c r="J40" s="1"/>
      <c r="K40" s="1"/>
      <c r="L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ht="15.4" x14ac:dyDescent="0.45">
      <c r="J41" s="58"/>
      <c r="K41" s="1"/>
      <c r="L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ht="15.4" x14ac:dyDescent="0.45">
      <c r="J42" s="1"/>
      <c r="K42" s="23"/>
      <c r="L42" s="2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5.4" x14ac:dyDescent="0.45">
      <c r="J43" s="1"/>
      <c r="K43" s="23"/>
      <c r="L43" s="2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ht="17.649999999999999" x14ac:dyDescent="0.75">
      <c r="J44" s="1"/>
      <c r="K44" s="133"/>
      <c r="L44" s="2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ht="15.4" x14ac:dyDescent="0.45">
      <c r="J45" s="1"/>
      <c r="K45" s="23"/>
      <c r="L45" s="2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ht="15.4" x14ac:dyDescent="0.45">
      <c r="J46" s="1"/>
      <c r="K46" s="23"/>
      <c r="L46" s="23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ht="15.4" x14ac:dyDescent="0.45">
      <c r="J47" s="1"/>
      <c r="K47" s="1"/>
      <c r="L47" s="23"/>
      <c r="M47" s="23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ht="15.4" x14ac:dyDescent="0.45"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0:40" ht="15.4" x14ac:dyDescent="0.45"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0:40" ht="15.4" x14ac:dyDescent="0.45"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0:40" ht="15.4" x14ac:dyDescent="0.45"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0:40" ht="15.4" x14ac:dyDescent="0.45"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0:40" ht="15.4" x14ac:dyDescent="0.45"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0:40" ht="15.4" x14ac:dyDescent="0.45"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0:40" ht="15.4" x14ac:dyDescent="0.45"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0:40" ht="15.4" x14ac:dyDescent="0.45"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0:40" ht="15.4" x14ac:dyDescent="0.45"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0:40" ht="15.4" x14ac:dyDescent="0.45"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0:40" ht="15.4" x14ac:dyDescent="0.45"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0:40" ht="15.4" x14ac:dyDescent="0.45"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0:40" ht="15.4" x14ac:dyDescent="0.45"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0:40" ht="15.4" x14ac:dyDescent="0.45"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0:40" ht="15.4" x14ac:dyDescent="0.45"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0:40" ht="15.4" x14ac:dyDescent="0.45"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0:40" ht="15.4" x14ac:dyDescent="0.45"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0:40" ht="15.4" x14ac:dyDescent="0.45"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0:40" ht="15.4" x14ac:dyDescent="0.45"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0:40" ht="15.4" x14ac:dyDescent="0.45"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0:40" ht="15.4" x14ac:dyDescent="0.45"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0:40" ht="15.4" x14ac:dyDescent="0.45"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0:40" ht="15.4" x14ac:dyDescent="0.45"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0:40" ht="15.4" x14ac:dyDescent="0.45"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0:40" ht="15.4" x14ac:dyDescent="0.45"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0:40" ht="15.4" x14ac:dyDescent="0.45"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0:40" ht="15.4" x14ac:dyDescent="0.45"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0:40" ht="15.4" x14ac:dyDescent="0.45"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0:40" ht="15.4" x14ac:dyDescent="0.45"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0:40" ht="15.4" x14ac:dyDescent="0.45"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0:40" ht="15.4" x14ac:dyDescent="0.45"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0:40" ht="15.4" x14ac:dyDescent="0.45"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0:40" ht="15.4" x14ac:dyDescent="0.45"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0:40" ht="15.4" x14ac:dyDescent="0.45"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0:40" ht="15.4" x14ac:dyDescent="0.45"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0:40" ht="15.4" x14ac:dyDescent="0.45"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0:40" ht="15.4" x14ac:dyDescent="0.45"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0:40" ht="15.4" x14ac:dyDescent="0.45"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0:40" ht="15.4" x14ac:dyDescent="0.45"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0:40" ht="15.4" x14ac:dyDescent="0.45"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0:40" ht="15.4" x14ac:dyDescent="0.45"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0:40" ht="15.4" x14ac:dyDescent="0.45"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0:40" ht="15.4" x14ac:dyDescent="0.45"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0:40" ht="15.4" x14ac:dyDescent="0.45"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0:40" ht="15.4" x14ac:dyDescent="0.45"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0:40" ht="15.4" x14ac:dyDescent="0.45"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0:40" ht="15.4" x14ac:dyDescent="0.45"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0:40" ht="15.4" x14ac:dyDescent="0.45"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0:40" ht="15.4" x14ac:dyDescent="0.45"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0:40" ht="15.4" x14ac:dyDescent="0.45"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0:40" ht="15.4" x14ac:dyDescent="0.45"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0:40" ht="15.4" x14ac:dyDescent="0.45"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0:40" ht="15.4" x14ac:dyDescent="0.45"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0:40" ht="15.4" x14ac:dyDescent="0.45"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0:40" ht="15.4" x14ac:dyDescent="0.45"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0:40" ht="15.4" x14ac:dyDescent="0.45"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0:40" ht="15.4" x14ac:dyDescent="0.45"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0:40" ht="15.4" x14ac:dyDescent="0.45"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0:40" ht="15.4" x14ac:dyDescent="0.45"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0:40" ht="15.4" x14ac:dyDescent="0.45"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0:40" ht="15.4" x14ac:dyDescent="0.45"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0:40" ht="15.4" x14ac:dyDescent="0.45"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0:40" ht="15.4" x14ac:dyDescent="0.45"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0:40" ht="15.4" x14ac:dyDescent="0.45"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0:40" ht="15.4" x14ac:dyDescent="0.45"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0:40" ht="15.4" x14ac:dyDescent="0.45"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0:40" ht="15.4" x14ac:dyDescent="0.45"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0:40" ht="15.4" x14ac:dyDescent="0.45"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0:40" ht="15.4" x14ac:dyDescent="0.45"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0:40" ht="15.4" x14ac:dyDescent="0.45"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0:40" ht="15.4" x14ac:dyDescent="0.45"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0:40" ht="15.4" x14ac:dyDescent="0.45"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0:40" ht="15.4" x14ac:dyDescent="0.45"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0:40" ht="15.4" x14ac:dyDescent="0.45"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0:40" ht="15.4" x14ac:dyDescent="0.45"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0:40" ht="15.4" x14ac:dyDescent="0.45"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0:40" ht="15.4" x14ac:dyDescent="0.45"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0:40" ht="15.4" x14ac:dyDescent="0.45"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0:40" ht="15.4" x14ac:dyDescent="0.45"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0:40" ht="15.4" x14ac:dyDescent="0.45"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0:40" ht="15.4" x14ac:dyDescent="0.45"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0:40" ht="15.4" x14ac:dyDescent="0.45"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0:40" ht="15.4" x14ac:dyDescent="0.45"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0:40" ht="15.4" x14ac:dyDescent="0.45"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0:40" ht="15.4" x14ac:dyDescent="0.45"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0:40" ht="15.4" x14ac:dyDescent="0.45"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0:40" ht="15.4" x14ac:dyDescent="0.45"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0:40" ht="15.4" x14ac:dyDescent="0.45"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0:40" ht="15.4" x14ac:dyDescent="0.45"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0:40" ht="15.4" x14ac:dyDescent="0.45"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0:40" ht="15.4" x14ac:dyDescent="0.45"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0:40" ht="15.4" x14ac:dyDescent="0.45"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0:40" ht="15.4" x14ac:dyDescent="0.45"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0:40" ht="15.4" x14ac:dyDescent="0.45"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0:40" ht="15.4" x14ac:dyDescent="0.45"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0:40" ht="15.4" x14ac:dyDescent="0.45"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0:40" ht="15.4" x14ac:dyDescent="0.45"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0:40" ht="15.4" x14ac:dyDescent="0.45"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0:40" ht="15.4" x14ac:dyDescent="0.45"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0:40" ht="15.4" x14ac:dyDescent="0.45"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0:40" ht="15.4" x14ac:dyDescent="0.45"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0:40" ht="15.4" x14ac:dyDescent="0.45"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0:40" ht="15.4" x14ac:dyDescent="0.45"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0:40" ht="15.4" x14ac:dyDescent="0.45"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0:40" ht="15.4" x14ac:dyDescent="0.45"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0:40" ht="15.4" x14ac:dyDescent="0.45"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0:40" ht="15.4" x14ac:dyDescent="0.45"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0:40" ht="15.4" x14ac:dyDescent="0.45"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0:40" ht="15.4" x14ac:dyDescent="0.45"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0:40" ht="15.4" x14ac:dyDescent="0.45"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0:40" ht="15.4" x14ac:dyDescent="0.45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0:40" ht="15.4" x14ac:dyDescent="0.45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0:40" ht="15.4" x14ac:dyDescent="0.45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0:40" ht="15.4" x14ac:dyDescent="0.45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0:40" ht="15.4" x14ac:dyDescent="0.45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0:40" ht="15.4" x14ac:dyDescent="0.45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0:40" ht="15.4" x14ac:dyDescent="0.45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0:40" ht="15.4" x14ac:dyDescent="0.45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0:40" ht="15.4" x14ac:dyDescent="0.45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0:40" ht="15.4" x14ac:dyDescent="0.45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0:40" ht="15.4" x14ac:dyDescent="0.45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0:40" ht="15.4" x14ac:dyDescent="0.45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0:40" ht="15.4" x14ac:dyDescent="0.45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0:40" ht="15.4" x14ac:dyDescent="0.45"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0:40" ht="15.4" x14ac:dyDescent="0.45"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0:40" ht="15.4" x14ac:dyDescent="0.45"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0:40" ht="15.4" x14ac:dyDescent="0.45"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0:40" ht="15.4" x14ac:dyDescent="0.45"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0:40" ht="15.4" x14ac:dyDescent="0.45"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0:40" ht="15.4" x14ac:dyDescent="0.45"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0:40" ht="15.4" x14ac:dyDescent="0.45"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0:40" ht="15.4" x14ac:dyDescent="0.45"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0:40" ht="15.4" x14ac:dyDescent="0.45"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0:40" ht="15.4" x14ac:dyDescent="0.45"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0:40" ht="15.4" x14ac:dyDescent="0.45"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0:40" ht="15.4" x14ac:dyDescent="0.45"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0:40" ht="15.4" x14ac:dyDescent="0.45"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0:40" ht="15.4" x14ac:dyDescent="0.45"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0:40" ht="15.4" x14ac:dyDescent="0.45"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0:40" ht="15.4" x14ac:dyDescent="0.45"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0:40" ht="15.4" x14ac:dyDescent="0.45"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0:40" ht="15.4" x14ac:dyDescent="0.45"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0:40" ht="15.4" x14ac:dyDescent="0.45"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0:40" ht="15.4" x14ac:dyDescent="0.45"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0:40" ht="15.4" x14ac:dyDescent="0.45"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0:40" ht="15.4" x14ac:dyDescent="0.45"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0:40" ht="15.4" x14ac:dyDescent="0.45"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0:40" ht="15.4" x14ac:dyDescent="0.45"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0:40" ht="15.4" x14ac:dyDescent="0.45"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0:40" ht="15.4" x14ac:dyDescent="0.45"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0:40" ht="15.4" x14ac:dyDescent="0.45"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0:40" ht="15.4" x14ac:dyDescent="0.45"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0:40" ht="15.4" x14ac:dyDescent="0.45"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0:40" ht="15.4" x14ac:dyDescent="0.45"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0:40" ht="15.4" x14ac:dyDescent="0.45"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0:40" ht="15.4" x14ac:dyDescent="0.45"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0:40" ht="15.4" x14ac:dyDescent="0.45"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0:40" ht="15.4" x14ac:dyDescent="0.45"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0:40" ht="15.4" x14ac:dyDescent="0.45"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0:40" ht="15.4" x14ac:dyDescent="0.45"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0:40" ht="15.4" x14ac:dyDescent="0.45"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0:40" ht="15.4" x14ac:dyDescent="0.45"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0:40" ht="15.4" x14ac:dyDescent="0.45"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0:40" ht="15.4" x14ac:dyDescent="0.45"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0:40" ht="15.4" x14ac:dyDescent="0.45"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0:40" ht="15.4" x14ac:dyDescent="0.45"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0:40" ht="15.4" x14ac:dyDescent="0.45"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0:40" ht="15.4" x14ac:dyDescent="0.45"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0:40" ht="15.4" x14ac:dyDescent="0.45"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0:40" ht="15.4" x14ac:dyDescent="0.45"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0:40" ht="15.4" x14ac:dyDescent="0.45"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0:40" ht="15.4" x14ac:dyDescent="0.45"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0:40" ht="15.4" x14ac:dyDescent="0.45"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0:40" ht="15.4" x14ac:dyDescent="0.45"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0:40" ht="15.4" x14ac:dyDescent="0.45"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0:40" ht="15.4" x14ac:dyDescent="0.45"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0:40" ht="15.4" x14ac:dyDescent="0.45"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0:40" ht="15.4" x14ac:dyDescent="0.45"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0:40" ht="15.4" x14ac:dyDescent="0.45"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0:40" ht="15.4" x14ac:dyDescent="0.45"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0:40" ht="15.4" x14ac:dyDescent="0.45"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0:40" ht="15.4" x14ac:dyDescent="0.45"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0:40" ht="15.4" x14ac:dyDescent="0.45"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0:40" ht="15.4" x14ac:dyDescent="0.45"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0:40" ht="15.4" x14ac:dyDescent="0.45"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0:40" ht="15.4" x14ac:dyDescent="0.45"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0:40" ht="15.4" x14ac:dyDescent="0.45"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0:40" ht="15.4" x14ac:dyDescent="0.45"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0:40" ht="15.4" x14ac:dyDescent="0.45"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0:40" ht="15.4" x14ac:dyDescent="0.45"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0:40" ht="15.4" x14ac:dyDescent="0.45"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0:40" ht="15.4" x14ac:dyDescent="0.45"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0:40" ht="15.4" x14ac:dyDescent="0.45"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0:40" ht="15.4" x14ac:dyDescent="0.45"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0:40" ht="15.4" x14ac:dyDescent="0.45"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0:40" ht="15.4" x14ac:dyDescent="0.45"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0:40" ht="15.4" x14ac:dyDescent="0.45"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0:40" ht="15.4" x14ac:dyDescent="0.45"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0:40" ht="15.4" x14ac:dyDescent="0.45"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0:40" ht="15.4" x14ac:dyDescent="0.45"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0:40" ht="15.4" x14ac:dyDescent="0.45"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0:40" ht="15.4" x14ac:dyDescent="0.45"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0:40" ht="15.4" x14ac:dyDescent="0.45"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0:40" ht="15.4" x14ac:dyDescent="0.45"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0:40" ht="15.4" x14ac:dyDescent="0.45"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0:40" ht="15.4" x14ac:dyDescent="0.45"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10:40" ht="15.4" x14ac:dyDescent="0.45"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0:40" ht="15.4" x14ac:dyDescent="0.45"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0:40" ht="15.4" x14ac:dyDescent="0.45"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0:40" ht="15.4" x14ac:dyDescent="0.45"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0:40" ht="15.4" x14ac:dyDescent="0.45"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10:40" ht="15.4" x14ac:dyDescent="0.45"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0:40" ht="15.4" x14ac:dyDescent="0.45"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0:40" ht="15.4" x14ac:dyDescent="0.45"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0:40" ht="15.4" x14ac:dyDescent="0.45"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0:40" ht="15.4" x14ac:dyDescent="0.45"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0:40" ht="15.4" x14ac:dyDescent="0.45"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0:40" ht="15.4" x14ac:dyDescent="0.45"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0:40" ht="15.4" x14ac:dyDescent="0.45"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0:40" ht="15.4" x14ac:dyDescent="0.45"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0:40" ht="15.4" x14ac:dyDescent="0.45"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0:40" ht="15.4" x14ac:dyDescent="0.45"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0:40" ht="15.4" x14ac:dyDescent="0.45"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0:40" ht="15.4" x14ac:dyDescent="0.45"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0:40" ht="15.4" x14ac:dyDescent="0.45"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0:40" ht="15.4" x14ac:dyDescent="0.45"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0:40" ht="15.4" x14ac:dyDescent="0.45"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0:40" ht="15.4" x14ac:dyDescent="0.45"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0:40" ht="15.4" x14ac:dyDescent="0.45"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0:40" ht="15.4" x14ac:dyDescent="0.45"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0:40" ht="15.4" x14ac:dyDescent="0.45"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0:40" ht="15.4" x14ac:dyDescent="0.45"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0:40" ht="15.4" x14ac:dyDescent="0.45"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0:40" ht="15.4" x14ac:dyDescent="0.45"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0:40" ht="15.4" x14ac:dyDescent="0.45"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0:40" ht="15.4" x14ac:dyDescent="0.45"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0:40" ht="15.4" x14ac:dyDescent="0.45"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0:40" ht="15.4" x14ac:dyDescent="0.45"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0:40" ht="15.4" x14ac:dyDescent="0.45"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0:40" ht="15.4" x14ac:dyDescent="0.45"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0:40" ht="15.4" x14ac:dyDescent="0.45"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0:40" ht="15.4" x14ac:dyDescent="0.45"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0:40" ht="15.4" x14ac:dyDescent="0.45"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0:40" ht="15.4" x14ac:dyDescent="0.45"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0:40" ht="15.4" x14ac:dyDescent="0.45"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0:40" ht="15.4" x14ac:dyDescent="0.45"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0:40" ht="15.4" x14ac:dyDescent="0.45"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0:40" ht="15.4" x14ac:dyDescent="0.45"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0:40" ht="15.4" x14ac:dyDescent="0.45"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0:40" ht="15.4" x14ac:dyDescent="0.45"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0:40" ht="15.4" x14ac:dyDescent="0.45"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0:40" ht="15.4" x14ac:dyDescent="0.45"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0:40" ht="15.4" x14ac:dyDescent="0.45"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0:40" ht="15.4" x14ac:dyDescent="0.45"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0:40" ht="15.4" x14ac:dyDescent="0.45"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0:40" ht="15.4" x14ac:dyDescent="0.45"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0:40" ht="15.4" x14ac:dyDescent="0.45"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0:40" ht="15.4" x14ac:dyDescent="0.45"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0:40" ht="15.4" x14ac:dyDescent="0.45"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0:40" ht="15.4" x14ac:dyDescent="0.45"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0:40" ht="15.4" x14ac:dyDescent="0.45"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0:40" ht="15.4" x14ac:dyDescent="0.45"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0:40" ht="15.4" x14ac:dyDescent="0.45"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0:40" ht="15.4" x14ac:dyDescent="0.45"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0:40" ht="15.4" x14ac:dyDescent="0.45"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0:40" ht="15.4" x14ac:dyDescent="0.45"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0:40" ht="15.4" x14ac:dyDescent="0.45"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0:40" ht="15.4" x14ac:dyDescent="0.45"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10:40" ht="15.4" x14ac:dyDescent="0.45"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10:40" ht="15.4" x14ac:dyDescent="0.45"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10:40" ht="15.4" x14ac:dyDescent="0.45"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0:40" ht="15.4" x14ac:dyDescent="0.45"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</sheetData>
  <mergeCells count="2">
    <mergeCell ref="B3:H3"/>
    <mergeCell ref="B5:H5"/>
  </mergeCells>
  <printOptions horizontalCentered="1"/>
  <pageMargins left="0.7" right="0.45" top="1.25" bottom="0.75" header="0.3" footer="0.3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17</vt:i4>
      </vt:variant>
    </vt:vector>
  </HeadingPairs>
  <TitlesOfParts>
    <vt:vector size="37" baseType="lpstr">
      <vt:lpstr>SAO</vt:lpstr>
      <vt:lpstr>Adj</vt:lpstr>
      <vt:lpstr>Wages</vt:lpstr>
      <vt:lpstr>Depr</vt:lpstr>
      <vt:lpstr>Debt</vt:lpstr>
      <vt:lpstr>Sys</vt:lpstr>
      <vt:lpstr>Fac</vt:lpstr>
      <vt:lpstr>Al_DepW</vt:lpstr>
      <vt:lpstr>Al_Plt</vt:lpstr>
      <vt:lpstr>Whol</vt:lpstr>
      <vt:lpstr>AlocOM_R</vt:lpstr>
      <vt:lpstr>AlocSum</vt:lpstr>
      <vt:lpstr>Units</vt:lpstr>
      <vt:lpstr>CalcRet</vt:lpstr>
      <vt:lpstr>Rates</vt:lpstr>
      <vt:lpstr>Bills</vt:lpstr>
      <vt:lpstr>ExBA</vt:lpstr>
      <vt:lpstr>PrBA</vt:lpstr>
      <vt:lpstr>Usage</vt:lpstr>
      <vt:lpstr>Notice</vt:lpstr>
      <vt:lpstr>Al_DepW!Print_Area</vt:lpstr>
      <vt:lpstr>Al_Plt!Print_Area</vt:lpstr>
      <vt:lpstr>AlocOM_R!Print_Area</vt:lpstr>
      <vt:lpstr>AlocSum!Print_Area</vt:lpstr>
      <vt:lpstr>Bills!Print_Area</vt:lpstr>
      <vt:lpstr>CalcRet!Print_Area</vt:lpstr>
      <vt:lpstr>Debt!Print_Area</vt:lpstr>
      <vt:lpstr>Depr!Print_Area</vt:lpstr>
      <vt:lpstr>ExBA!Print_Area</vt:lpstr>
      <vt:lpstr>Fac!Print_Area</vt:lpstr>
      <vt:lpstr>PrBA!Print_Area</vt:lpstr>
      <vt:lpstr>Rates!Print_Area</vt:lpstr>
      <vt:lpstr>SAO!Print_Area</vt:lpstr>
      <vt:lpstr>Sys!Print_Area</vt:lpstr>
      <vt:lpstr>Units!Print_Area</vt:lpstr>
      <vt:lpstr>Usage!Print_Area</vt:lpstr>
      <vt:lpstr>Whol!Print_Area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Robert Miller</cp:lastModifiedBy>
  <cp:lastPrinted>2024-07-14T20:47:24Z</cp:lastPrinted>
  <dcterms:created xsi:type="dcterms:W3CDTF">2016-05-18T14:12:06Z</dcterms:created>
  <dcterms:modified xsi:type="dcterms:W3CDTF">2024-09-09T19:00:44Z</dcterms:modified>
</cp:coreProperties>
</file>