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LVRECC/Rate Case 2024-00211/COS and Rates/"/>
    </mc:Choice>
  </mc:AlternateContent>
  <xr:revisionPtr revIDLastSave="103" documentId="8_{5B6636A8-B6A5-4333-9FE2-D248DE1929A7}" xr6:coauthVersionLast="47" xr6:coauthVersionMax="47" xr10:uidLastSave="{BB369E8F-90A2-49EF-88A2-06A2A6E87389}"/>
  <bookViews>
    <workbookView xWindow="-108" yWindow="-108" windowWidth="23256" windowHeight="12456" tabRatio="701" firstSheet="9" activeTab="17" xr2:uid="{00000000-000D-0000-FFFF-FFFF00000000}"/>
  </bookViews>
  <sheets>
    <sheet name="RevReq" sheetId="35" r:id="rId1"/>
    <sheet name="Adj List" sheetId="48" r:id="rId2"/>
    <sheet name="Adj BS" sheetId="50" r:id="rId3"/>
    <sheet name="Adj IS" sheetId="36" r:id="rId4"/>
    <sheet name="1.01 FAC" sheetId="6" r:id="rId5"/>
    <sheet name="1.02 ES" sheetId="17" r:id="rId6"/>
    <sheet name="1.03 RC" sheetId="28" r:id="rId7"/>
    <sheet name="1.04 CUST" sheetId="33" r:id="rId8"/>
    <sheet name="1.05 GTCC" sheetId="31" r:id="rId9"/>
    <sheet name="1.06 Health" sheetId="56" r:id="rId10"/>
    <sheet name="1.07 Depr" sheetId="39" r:id="rId11"/>
    <sheet name="1.08 AdsDonat" sheetId="59" r:id="rId12"/>
    <sheet name="1.09 Dir" sheetId="55" r:id="rId13"/>
    <sheet name="1.10 Life Insur" sheetId="58" r:id="rId14"/>
    <sheet name="1.11 Int" sheetId="60" r:id="rId15"/>
    <sheet name="1.12 Wages" sheetId="61" r:id="rId16"/>
    <sheet name="1.13 PayrTx" sheetId="62" r:id="rId17"/>
    <sheet name="1.14 Prof" sheetId="63" r:id="rId18"/>
  </sheets>
  <definedNames>
    <definedName name="_xlnm.Print_Area" localSheetId="4">'1.01 FAC'!$A$1:$H$34</definedName>
    <definedName name="_xlnm.Print_Area" localSheetId="5">'1.02 ES'!$A$1:$H$34</definedName>
    <definedName name="_xlnm.Print_Area" localSheetId="6">'1.03 RC'!$A$1:$E$26</definedName>
    <definedName name="_xlnm.Print_Area" localSheetId="7">'1.04 CUST'!$A$1:$J$59</definedName>
    <definedName name="_xlnm.Print_Area" localSheetId="8">'1.05 GTCC'!$A$1:$F$21</definedName>
    <definedName name="_xlnm.Print_Area" localSheetId="9">'1.06 Health'!$A$1:$G$25</definedName>
    <definedName name="_xlnm.Print_Area" localSheetId="10">'1.07 Depr'!$A$1:$J$56</definedName>
    <definedName name="_xlnm.Print_Area" localSheetId="11">'1.08 AdsDonat'!$A$1:$F$23</definedName>
    <definedName name="_xlnm.Print_Area" localSheetId="12">'1.09 Dir'!$A$1:$K$26</definedName>
    <definedName name="_xlnm.Print_Area" localSheetId="13">'1.10 Life Insur'!$A$1:$H$65</definedName>
    <definedName name="_xlnm.Print_Area" localSheetId="14">'1.11 Int'!$A$1:$J$48</definedName>
    <definedName name="_xlnm.Print_Area" localSheetId="15">'1.12 Wages'!$A$1:$Z$74</definedName>
    <definedName name="_xlnm.Print_Area" localSheetId="16">'1.13 PayrTx'!$A$1:$O$83</definedName>
    <definedName name="_xlnm.Print_Area" localSheetId="17">'1.14 Prof'!$A$1:$I$60</definedName>
    <definedName name="_xlnm.Print_Area" localSheetId="2">'Adj BS'!$A$1:$F$68</definedName>
    <definedName name="_xlnm.Print_Area" localSheetId="3">'Adj IS'!$A$1:$U$47</definedName>
    <definedName name="_xlnm.Print_Area" localSheetId="1">'Adj List'!$A$1:$G$23</definedName>
    <definedName name="_xlnm.Print_Area" localSheetId="0">RevReq!$A$1:$F$57</definedName>
    <definedName name="_xlnm.Print_Titles" localSheetId="7">'1.04 CUST'!$1:$11</definedName>
    <definedName name="_xlnm.Print_Titles" localSheetId="11">'1.08 AdsDonat'!$1:$7</definedName>
    <definedName name="_xlnm.Print_Titles" localSheetId="13">'1.10 Life Insur'!$1:$11</definedName>
    <definedName name="_xlnm.Print_Titles" localSheetId="15">'1.12 Wages'!$1:$7</definedName>
    <definedName name="_xlnm.Print_Titles" localSheetId="16">'1.13 PayrTx'!$1:$7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63" l="1"/>
  <c r="A74" i="62"/>
  <c r="A75" i="62"/>
  <c r="A76" i="62" s="1"/>
  <c r="A77" i="62" s="1"/>
  <c r="A78" i="62" s="1"/>
  <c r="A79" i="62" s="1"/>
  <c r="A80" i="62" s="1"/>
  <c r="A81" i="62" s="1"/>
  <c r="A82" i="62" s="1"/>
  <c r="A73" i="62"/>
  <c r="A10" i="35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C17" i="62" l="1"/>
  <c r="C18" i="62" s="1"/>
  <c r="C19" i="62" s="1"/>
  <c r="C20" i="62" s="1"/>
  <c r="C21" i="62" s="1"/>
  <c r="C22" i="62" s="1"/>
  <c r="C23" i="62" s="1"/>
  <c r="C24" i="62" s="1"/>
  <c r="C25" i="62" s="1"/>
  <c r="C26" i="62" s="1"/>
  <c r="C27" i="62" s="1"/>
  <c r="C28" i="62" s="1"/>
  <c r="C29" i="62" s="1"/>
  <c r="C30" i="62" s="1"/>
  <c r="C31" i="62" s="1"/>
  <c r="C32" i="62" s="1"/>
  <c r="C33" i="62" s="1"/>
  <c r="C34" i="62" s="1"/>
  <c r="C35" i="62" s="1"/>
  <c r="C36" i="62" s="1"/>
  <c r="C37" i="62" s="1"/>
  <c r="C38" i="62" s="1"/>
  <c r="C39" i="62" s="1"/>
  <c r="C40" i="62" s="1"/>
  <c r="C41" i="62" s="1"/>
  <c r="C42" i="62" s="1"/>
  <c r="C43" i="62" s="1"/>
  <c r="C44" i="62" s="1"/>
  <c r="C45" i="62" s="1"/>
  <c r="C46" i="62" s="1"/>
  <c r="C47" i="62" s="1"/>
  <c r="C48" i="62" s="1"/>
  <c r="C49" i="62" s="1"/>
  <c r="C50" i="62" s="1"/>
  <c r="C51" i="62" s="1"/>
  <c r="C52" i="62" s="1"/>
  <c r="C53" i="62" s="1"/>
  <c r="C54" i="62" s="1"/>
  <c r="C55" i="62" s="1"/>
  <c r="C56" i="62" s="1"/>
  <c r="C57" i="62" s="1"/>
  <c r="C58" i="62" s="1"/>
  <c r="C59" i="62" s="1"/>
  <c r="E17" i="48" l="1"/>
  <c r="G52" i="33"/>
  <c r="I39" i="33"/>
  <c r="G57" i="33"/>
  <c r="G54" i="33"/>
  <c r="G53" i="33"/>
  <c r="H56" i="33"/>
  <c r="H55" i="33"/>
  <c r="J36" i="33"/>
  <c r="J31" i="33"/>
  <c r="I25" i="33"/>
  <c r="I27" i="33" s="1"/>
  <c r="I35" i="33"/>
  <c r="I30" i="33" l="1"/>
  <c r="I31" i="33" s="1"/>
  <c r="I40" i="33" s="1"/>
  <c r="I36" i="33" l="1"/>
  <c r="L71" i="61" l="1"/>
  <c r="L65" i="61"/>
  <c r="L66" i="61"/>
  <c r="L67" i="61"/>
  <c r="L68" i="61"/>
  <c r="L64" i="61"/>
  <c r="I47" i="60" l="1"/>
  <c r="J47" i="60" s="1"/>
  <c r="F47" i="60"/>
  <c r="I46" i="60"/>
  <c r="J46" i="60" s="1"/>
  <c r="F46" i="60"/>
  <c r="I45" i="60"/>
  <c r="J45" i="60" s="1"/>
  <c r="F45" i="60"/>
  <c r="I44" i="60"/>
  <c r="J44" i="60" s="1"/>
  <c r="F44" i="60"/>
  <c r="I43" i="60"/>
  <c r="J43" i="60" s="1"/>
  <c r="F43" i="60"/>
  <c r="I42" i="60"/>
  <c r="J42" i="60" s="1"/>
  <c r="F42" i="60"/>
  <c r="J41" i="60"/>
  <c r="I41" i="60"/>
  <c r="F41" i="60"/>
  <c r="J40" i="60"/>
  <c r="I40" i="60"/>
  <c r="F40" i="60"/>
  <c r="I39" i="60"/>
  <c r="J39" i="60" s="1"/>
  <c r="F39" i="60"/>
  <c r="I38" i="60"/>
  <c r="J38" i="60" s="1"/>
  <c r="F38" i="60"/>
  <c r="I37" i="60"/>
  <c r="J37" i="60" s="1"/>
  <c r="F37" i="60"/>
  <c r="I36" i="60"/>
  <c r="J36" i="60" s="1"/>
  <c r="F36" i="60"/>
  <c r="I35" i="60"/>
  <c r="J35" i="60" s="1"/>
  <c r="F35" i="60"/>
  <c r="I34" i="60"/>
  <c r="J34" i="60" s="1"/>
  <c r="F34" i="60"/>
  <c r="J33" i="60"/>
  <c r="I33" i="60"/>
  <c r="F33" i="60"/>
  <c r="J32" i="60"/>
  <c r="I32" i="60"/>
  <c r="F32" i="60"/>
  <c r="I31" i="60"/>
  <c r="J31" i="60" s="1"/>
  <c r="F31" i="60"/>
  <c r="I30" i="60"/>
  <c r="J30" i="60" s="1"/>
  <c r="F30" i="60"/>
  <c r="I29" i="60"/>
  <c r="J29" i="60" s="1"/>
  <c r="F29" i="60"/>
  <c r="I28" i="60"/>
  <c r="J28" i="60" s="1"/>
  <c r="F28" i="60"/>
  <c r="I27" i="60"/>
  <c r="J27" i="60" s="1"/>
  <c r="G27" i="60"/>
  <c r="F27" i="60"/>
  <c r="I26" i="60"/>
  <c r="J26" i="60" s="1"/>
  <c r="G26" i="60"/>
  <c r="F26" i="60"/>
  <c r="I25" i="60"/>
  <c r="J25" i="60" s="1"/>
  <c r="G25" i="60"/>
  <c r="F25" i="60"/>
  <c r="I24" i="60"/>
  <c r="J24" i="60" s="1"/>
  <c r="G24" i="60"/>
  <c r="F24" i="60"/>
  <c r="I23" i="60"/>
  <c r="J23" i="60" s="1"/>
  <c r="G23" i="60"/>
  <c r="F23" i="60"/>
  <c r="I22" i="60"/>
  <c r="J22" i="60" s="1"/>
  <c r="F22" i="60"/>
  <c r="I21" i="60"/>
  <c r="J21" i="60" s="1"/>
  <c r="F21" i="60"/>
  <c r="I20" i="60"/>
  <c r="J20" i="60" s="1"/>
  <c r="F20" i="60"/>
  <c r="I19" i="60"/>
  <c r="J19" i="60" s="1"/>
  <c r="F19" i="60"/>
  <c r="I18" i="60"/>
  <c r="J18" i="60" s="1"/>
  <c r="F18" i="60"/>
  <c r="I17" i="60"/>
  <c r="J17" i="60" s="1"/>
  <c r="F17" i="60"/>
  <c r="J16" i="60"/>
  <c r="I16" i="60"/>
  <c r="F16" i="60"/>
  <c r="I15" i="60"/>
  <c r="G15" i="60"/>
  <c r="F15" i="60"/>
  <c r="J15" i="60" s="1"/>
  <c r="I14" i="60"/>
  <c r="J14" i="60" s="1"/>
  <c r="G14" i="60"/>
  <c r="F14" i="60"/>
  <c r="J13" i="60"/>
  <c r="I13" i="60"/>
  <c r="G13" i="60"/>
  <c r="F13" i="60"/>
  <c r="I12" i="60"/>
  <c r="J12" i="60" s="1"/>
  <c r="F12" i="60"/>
  <c r="I11" i="60"/>
  <c r="J11" i="60" s="1"/>
  <c r="F11" i="60"/>
  <c r="I10" i="60"/>
  <c r="J10" i="60" s="1"/>
  <c r="F10" i="60"/>
  <c r="I24" i="63" l="1"/>
  <c r="I29" i="63"/>
  <c r="G58" i="62"/>
  <c r="H58" i="62" s="1"/>
  <c r="M58" i="62"/>
  <c r="N58" i="62" s="1"/>
  <c r="M57" i="62"/>
  <c r="N57" i="62" s="1"/>
  <c r="M56" i="62"/>
  <c r="N56" i="62" s="1"/>
  <c r="K56" i="62"/>
  <c r="L56" i="62" s="1"/>
  <c r="M55" i="62"/>
  <c r="N55" i="62" s="1"/>
  <c r="K55" i="62"/>
  <c r="L55" i="62" s="1"/>
  <c r="I55" i="62"/>
  <c r="J55" i="62" s="1"/>
  <c r="M54" i="62"/>
  <c r="N54" i="62" s="1"/>
  <c r="K54" i="62"/>
  <c r="L54" i="62" s="1"/>
  <c r="I54" i="62"/>
  <c r="J54" i="62" s="1"/>
  <c r="G54" i="62"/>
  <c r="H54" i="62" s="1"/>
  <c r="M53" i="62"/>
  <c r="N53" i="62" s="1"/>
  <c r="K53" i="62"/>
  <c r="L53" i="62" s="1"/>
  <c r="I53" i="62"/>
  <c r="J53" i="62" s="1"/>
  <c r="G53" i="62"/>
  <c r="H53" i="62" s="1"/>
  <c r="K52" i="62"/>
  <c r="L52" i="62" s="1"/>
  <c r="I51" i="62"/>
  <c r="J51" i="62" s="1"/>
  <c r="G50" i="62"/>
  <c r="H50" i="62" s="1"/>
  <c r="M50" i="62"/>
  <c r="N50" i="62" s="1"/>
  <c r="M49" i="62"/>
  <c r="N49" i="62" s="1"/>
  <c r="M48" i="62"/>
  <c r="N48" i="62" s="1"/>
  <c r="K48" i="62"/>
  <c r="L48" i="62" s="1"/>
  <c r="M47" i="62"/>
  <c r="N47" i="62" s="1"/>
  <c r="K47" i="62"/>
  <c r="L47" i="62" s="1"/>
  <c r="I47" i="62"/>
  <c r="J47" i="62" s="1"/>
  <c r="M46" i="62"/>
  <c r="N46" i="62" s="1"/>
  <c r="K46" i="62"/>
  <c r="L46" i="62" s="1"/>
  <c r="I46" i="62"/>
  <c r="J46" i="62" s="1"/>
  <c r="G46" i="62"/>
  <c r="H46" i="62" s="1"/>
  <c r="M45" i="62"/>
  <c r="N45" i="62" s="1"/>
  <c r="K45" i="62"/>
  <c r="L45" i="62" s="1"/>
  <c r="I45" i="62"/>
  <c r="J45" i="62" s="1"/>
  <c r="G45" i="62"/>
  <c r="H45" i="62" s="1"/>
  <c r="K44" i="62"/>
  <c r="L44" i="62" s="1"/>
  <c r="M43" i="62"/>
  <c r="N43" i="62" s="1"/>
  <c r="G42" i="62"/>
  <c r="H42" i="62" s="1"/>
  <c r="M42" i="62"/>
  <c r="N42" i="62" s="1"/>
  <c r="M41" i="62"/>
  <c r="N41" i="62" s="1"/>
  <c r="M40" i="62"/>
  <c r="N40" i="62" s="1"/>
  <c r="K40" i="62"/>
  <c r="L40" i="62" s="1"/>
  <c r="M39" i="62"/>
  <c r="N39" i="62" s="1"/>
  <c r="K39" i="62"/>
  <c r="L39" i="62" s="1"/>
  <c r="I39" i="62"/>
  <c r="J39" i="62" s="1"/>
  <c r="M38" i="62"/>
  <c r="N38" i="62" s="1"/>
  <c r="K38" i="62"/>
  <c r="L38" i="62" s="1"/>
  <c r="I38" i="62"/>
  <c r="J38" i="62" s="1"/>
  <c r="G38" i="62"/>
  <c r="H38" i="62" s="1"/>
  <c r="M37" i="62"/>
  <c r="N37" i="62" s="1"/>
  <c r="K37" i="62"/>
  <c r="L37" i="62" s="1"/>
  <c r="I37" i="62"/>
  <c r="J37" i="62" s="1"/>
  <c r="G37" i="62"/>
  <c r="H37" i="62" s="1"/>
  <c r="K36" i="62"/>
  <c r="L36" i="62" s="1"/>
  <c r="I35" i="62"/>
  <c r="J35" i="62" s="1"/>
  <c r="G34" i="62"/>
  <c r="H34" i="62" s="1"/>
  <c r="M34" i="62"/>
  <c r="N34" i="62" s="1"/>
  <c r="M33" i="62"/>
  <c r="N33" i="62" s="1"/>
  <c r="M32" i="62"/>
  <c r="N32" i="62" s="1"/>
  <c r="K32" i="62"/>
  <c r="L32" i="62" s="1"/>
  <c r="I32" i="62"/>
  <c r="J32" i="62" s="1"/>
  <c r="M31" i="62"/>
  <c r="N31" i="62" s="1"/>
  <c r="K31" i="62"/>
  <c r="L31" i="62" s="1"/>
  <c r="I31" i="62"/>
  <c r="J31" i="62" s="1"/>
  <c r="G31" i="62"/>
  <c r="H31" i="62" s="1"/>
  <c r="M30" i="62"/>
  <c r="N30" i="62" s="1"/>
  <c r="K30" i="62"/>
  <c r="L30" i="62" s="1"/>
  <c r="I30" i="62"/>
  <c r="J30" i="62" s="1"/>
  <c r="G30" i="62"/>
  <c r="H30" i="62" s="1"/>
  <c r="M29" i="62"/>
  <c r="N29" i="62" s="1"/>
  <c r="I29" i="62"/>
  <c r="J29" i="62" s="1"/>
  <c r="G29" i="62"/>
  <c r="H29" i="62" s="1"/>
  <c r="K29" i="62"/>
  <c r="L29" i="62" s="1"/>
  <c r="G28" i="62"/>
  <c r="H28" i="62" s="1"/>
  <c r="I27" i="62"/>
  <c r="J27" i="62" s="1"/>
  <c r="G26" i="62"/>
  <c r="H26" i="62" s="1"/>
  <c r="M26" i="62"/>
  <c r="N26" i="62" s="1"/>
  <c r="M25" i="62"/>
  <c r="N25" i="62" s="1"/>
  <c r="M24" i="62"/>
  <c r="N24" i="62" s="1"/>
  <c r="K24" i="62"/>
  <c r="L24" i="62" s="1"/>
  <c r="I24" i="62"/>
  <c r="J24" i="62" s="1"/>
  <c r="M23" i="62"/>
  <c r="N23" i="62" s="1"/>
  <c r="K23" i="62"/>
  <c r="L23" i="62" s="1"/>
  <c r="I23" i="62"/>
  <c r="J23" i="62" s="1"/>
  <c r="G23" i="62"/>
  <c r="H23" i="62" s="1"/>
  <c r="O23" i="62" s="1"/>
  <c r="M22" i="62"/>
  <c r="N22" i="62" s="1"/>
  <c r="K22" i="62"/>
  <c r="L22" i="62" s="1"/>
  <c r="I22" i="62"/>
  <c r="J22" i="62" s="1"/>
  <c r="G22" i="62"/>
  <c r="H22" i="62" s="1"/>
  <c r="M21" i="62"/>
  <c r="N21" i="62" s="1"/>
  <c r="I21" i="62"/>
  <c r="J21" i="62" s="1"/>
  <c r="G21" i="62"/>
  <c r="H21" i="62" s="1"/>
  <c r="K21" i="62"/>
  <c r="L21" i="62" s="1"/>
  <c r="G20" i="62"/>
  <c r="H20" i="62" s="1"/>
  <c r="I19" i="62"/>
  <c r="J19" i="62" s="1"/>
  <c r="G18" i="62"/>
  <c r="H18" i="62" s="1"/>
  <c r="M18" i="62"/>
  <c r="N18" i="62" s="1"/>
  <c r="M17" i="62"/>
  <c r="N17" i="62" s="1"/>
  <c r="M16" i="62"/>
  <c r="N16" i="62" s="1"/>
  <c r="K16" i="62"/>
  <c r="L16" i="62" s="1"/>
  <c r="I16" i="62"/>
  <c r="J16" i="62" s="1"/>
  <c r="O54" i="62" l="1"/>
  <c r="O31" i="62"/>
  <c r="O38" i="62"/>
  <c r="O46" i="62"/>
  <c r="G44" i="62"/>
  <c r="H44" i="62" s="1"/>
  <c r="G52" i="62"/>
  <c r="H52" i="62" s="1"/>
  <c r="G19" i="62"/>
  <c r="H19" i="62" s="1"/>
  <c r="I20" i="62"/>
  <c r="J20" i="62" s="1"/>
  <c r="G27" i="62"/>
  <c r="H27" i="62" s="1"/>
  <c r="I28" i="62"/>
  <c r="J28" i="62" s="1"/>
  <c r="G35" i="62"/>
  <c r="H35" i="62" s="1"/>
  <c r="I36" i="62"/>
  <c r="J36" i="62" s="1"/>
  <c r="G43" i="62"/>
  <c r="H43" i="62" s="1"/>
  <c r="I44" i="62"/>
  <c r="J44" i="62" s="1"/>
  <c r="G51" i="62"/>
  <c r="H51" i="62" s="1"/>
  <c r="O51" i="62" s="1"/>
  <c r="I52" i="62"/>
  <c r="J52" i="62" s="1"/>
  <c r="O52" i="62" s="1"/>
  <c r="G17" i="62"/>
  <c r="H17" i="62" s="1"/>
  <c r="I18" i="62"/>
  <c r="J18" i="62" s="1"/>
  <c r="K19" i="62"/>
  <c r="L19" i="62" s="1"/>
  <c r="M20" i="62"/>
  <c r="N20" i="62" s="1"/>
  <c r="G25" i="62"/>
  <c r="H25" i="62" s="1"/>
  <c r="I26" i="62"/>
  <c r="J26" i="62" s="1"/>
  <c r="K27" i="62"/>
  <c r="L27" i="62" s="1"/>
  <c r="M28" i="62"/>
  <c r="N28" i="62" s="1"/>
  <c r="G33" i="62"/>
  <c r="H33" i="62" s="1"/>
  <c r="I34" i="62"/>
  <c r="J34" i="62" s="1"/>
  <c r="K35" i="62"/>
  <c r="L35" i="62" s="1"/>
  <c r="M36" i="62"/>
  <c r="N36" i="62" s="1"/>
  <c r="G41" i="62"/>
  <c r="H41" i="62" s="1"/>
  <c r="I42" i="62"/>
  <c r="J42" i="62" s="1"/>
  <c r="K43" i="62"/>
  <c r="L43" i="62" s="1"/>
  <c r="M44" i="62"/>
  <c r="N44" i="62" s="1"/>
  <c r="O44" i="62" s="1"/>
  <c r="G49" i="62"/>
  <c r="H49" i="62" s="1"/>
  <c r="I50" i="62"/>
  <c r="J50" i="62" s="1"/>
  <c r="O50" i="62" s="1"/>
  <c r="K51" i="62"/>
  <c r="L51" i="62" s="1"/>
  <c r="M52" i="62"/>
  <c r="N52" i="62" s="1"/>
  <c r="G57" i="62"/>
  <c r="H57" i="62" s="1"/>
  <c r="I58" i="62"/>
  <c r="J58" i="62" s="1"/>
  <c r="G36" i="62"/>
  <c r="H36" i="62" s="1"/>
  <c r="O36" i="62" s="1"/>
  <c r="K28" i="62"/>
  <c r="L28" i="62" s="1"/>
  <c r="I43" i="62"/>
  <c r="J43" i="62" s="1"/>
  <c r="G16" i="62"/>
  <c r="H16" i="62" s="1"/>
  <c r="I17" i="62"/>
  <c r="J17" i="62" s="1"/>
  <c r="K18" i="62"/>
  <c r="L18" i="62" s="1"/>
  <c r="M19" i="62"/>
  <c r="N19" i="62" s="1"/>
  <c r="G24" i="62"/>
  <c r="H24" i="62" s="1"/>
  <c r="O24" i="62" s="1"/>
  <c r="I25" i="62"/>
  <c r="J25" i="62" s="1"/>
  <c r="K26" i="62"/>
  <c r="L26" i="62" s="1"/>
  <c r="M27" i="62"/>
  <c r="N27" i="62" s="1"/>
  <c r="G32" i="62"/>
  <c r="H32" i="62" s="1"/>
  <c r="O32" i="62" s="1"/>
  <c r="I33" i="62"/>
  <c r="J33" i="62" s="1"/>
  <c r="K34" i="62"/>
  <c r="L34" i="62" s="1"/>
  <c r="M35" i="62"/>
  <c r="N35" i="62" s="1"/>
  <c r="G40" i="62"/>
  <c r="H40" i="62" s="1"/>
  <c r="I41" i="62"/>
  <c r="J41" i="62" s="1"/>
  <c r="K42" i="62"/>
  <c r="L42" i="62" s="1"/>
  <c r="G48" i="62"/>
  <c r="H48" i="62" s="1"/>
  <c r="I49" i="62"/>
  <c r="J49" i="62" s="1"/>
  <c r="K50" i="62"/>
  <c r="L50" i="62" s="1"/>
  <c r="M51" i="62"/>
  <c r="N51" i="62" s="1"/>
  <c r="G56" i="62"/>
  <c r="H56" i="62" s="1"/>
  <c r="O56" i="62" s="1"/>
  <c r="I57" i="62"/>
  <c r="J57" i="62" s="1"/>
  <c r="K58" i="62"/>
  <c r="L58" i="62" s="1"/>
  <c r="K20" i="62"/>
  <c r="L20" i="62" s="1"/>
  <c r="K17" i="62"/>
  <c r="L17" i="62" s="1"/>
  <c r="K25" i="62"/>
  <c r="L25" i="62" s="1"/>
  <c r="K33" i="62"/>
  <c r="L33" i="62" s="1"/>
  <c r="G39" i="62"/>
  <c r="H39" i="62" s="1"/>
  <c r="O39" i="62" s="1"/>
  <c r="I40" i="62"/>
  <c r="J40" i="62" s="1"/>
  <c r="K41" i="62"/>
  <c r="L41" i="62" s="1"/>
  <c r="G47" i="62"/>
  <c r="H47" i="62" s="1"/>
  <c r="O47" i="62" s="1"/>
  <c r="I48" i="62"/>
  <c r="J48" i="62" s="1"/>
  <c r="K49" i="62"/>
  <c r="L49" i="62" s="1"/>
  <c r="G55" i="62"/>
  <c r="H55" i="62" s="1"/>
  <c r="O55" i="62" s="1"/>
  <c r="I56" i="62"/>
  <c r="J56" i="62" s="1"/>
  <c r="K57" i="62"/>
  <c r="L57" i="62" s="1"/>
  <c r="O22" i="62"/>
  <c r="O30" i="62"/>
  <c r="O21" i="62"/>
  <c r="O29" i="62"/>
  <c r="O37" i="62"/>
  <c r="O45" i="62"/>
  <c r="O53" i="62"/>
  <c r="O16" i="62"/>
  <c r="O19" i="62" l="1"/>
  <c r="O34" i="62"/>
  <c r="O18" i="62"/>
  <c r="O48" i="62"/>
  <c r="O43" i="62"/>
  <c r="O33" i="62"/>
  <c r="O40" i="62"/>
  <c r="O35" i="62"/>
  <c r="O28" i="62"/>
  <c r="O20" i="62"/>
  <c r="O49" i="62"/>
  <c r="O58" i="62"/>
  <c r="O42" i="62"/>
  <c r="O26" i="62"/>
  <c r="O17" i="62"/>
  <c r="O27" i="62"/>
  <c r="O25" i="62"/>
  <c r="O41" i="62"/>
  <c r="O57" i="62"/>
  <c r="W54" i="61"/>
  <c r="V54" i="61"/>
  <c r="U54" i="61"/>
  <c r="T54" i="61"/>
  <c r="P54" i="61"/>
  <c r="W53" i="61"/>
  <c r="V53" i="61"/>
  <c r="U53" i="61"/>
  <c r="T53" i="61"/>
  <c r="P53" i="61"/>
  <c r="W52" i="61"/>
  <c r="V52" i="61"/>
  <c r="U52" i="61"/>
  <c r="T52" i="61"/>
  <c r="P52" i="61"/>
  <c r="W51" i="61"/>
  <c r="V51" i="61"/>
  <c r="U51" i="61"/>
  <c r="T51" i="61"/>
  <c r="P51" i="61"/>
  <c r="W50" i="61"/>
  <c r="V50" i="61"/>
  <c r="U50" i="61"/>
  <c r="T50" i="61"/>
  <c r="P50" i="61"/>
  <c r="W49" i="61"/>
  <c r="V49" i="61"/>
  <c r="U49" i="61"/>
  <c r="T49" i="61"/>
  <c r="P49" i="61"/>
  <c r="W48" i="61"/>
  <c r="V48" i="61"/>
  <c r="U48" i="61"/>
  <c r="T48" i="61"/>
  <c r="P48" i="61"/>
  <c r="W47" i="61"/>
  <c r="V47" i="61"/>
  <c r="U47" i="61"/>
  <c r="T47" i="61"/>
  <c r="P47" i="61"/>
  <c r="W46" i="61"/>
  <c r="V46" i="61"/>
  <c r="U46" i="61"/>
  <c r="T46" i="61"/>
  <c r="P46" i="61"/>
  <c r="W45" i="61"/>
  <c r="V45" i="61"/>
  <c r="U45" i="61"/>
  <c r="T45" i="61"/>
  <c r="P45" i="61"/>
  <c r="V44" i="61"/>
  <c r="U44" i="61"/>
  <c r="T44" i="61"/>
  <c r="P44" i="61"/>
  <c r="W43" i="61"/>
  <c r="V43" i="61"/>
  <c r="U43" i="61"/>
  <c r="T43" i="61"/>
  <c r="P43" i="61"/>
  <c r="W42" i="61"/>
  <c r="V42" i="61"/>
  <c r="U42" i="61"/>
  <c r="T42" i="61"/>
  <c r="P42" i="61"/>
  <c r="W41" i="61"/>
  <c r="V41" i="61"/>
  <c r="U41" i="61"/>
  <c r="T41" i="61"/>
  <c r="P41" i="61"/>
  <c r="W40" i="61"/>
  <c r="V40" i="61"/>
  <c r="U40" i="61"/>
  <c r="T40" i="61"/>
  <c r="P40" i="61"/>
  <c r="W39" i="61"/>
  <c r="V39" i="61"/>
  <c r="U39" i="61"/>
  <c r="T39" i="61"/>
  <c r="P39" i="61"/>
  <c r="W38" i="61"/>
  <c r="V38" i="61"/>
  <c r="U38" i="61"/>
  <c r="T38" i="61"/>
  <c r="P38" i="61"/>
  <c r="W37" i="61"/>
  <c r="V37" i="61"/>
  <c r="U37" i="61"/>
  <c r="T37" i="61"/>
  <c r="P37" i="61"/>
  <c r="W36" i="61"/>
  <c r="V36" i="61"/>
  <c r="U36" i="61"/>
  <c r="T36" i="61"/>
  <c r="P36" i="61"/>
  <c r="W35" i="61"/>
  <c r="V35" i="61"/>
  <c r="U35" i="61"/>
  <c r="T35" i="61"/>
  <c r="X35" i="61" s="1"/>
  <c r="P35" i="61"/>
  <c r="W34" i="61"/>
  <c r="V34" i="61"/>
  <c r="U34" i="61"/>
  <c r="T34" i="61"/>
  <c r="P34" i="61"/>
  <c r="W33" i="61"/>
  <c r="V33" i="61"/>
  <c r="U33" i="61"/>
  <c r="T33" i="61"/>
  <c r="P33" i="61"/>
  <c r="W32" i="61"/>
  <c r="V32" i="61"/>
  <c r="U32" i="61"/>
  <c r="T32" i="61"/>
  <c r="P32" i="61"/>
  <c r="W31" i="61"/>
  <c r="V31" i="61"/>
  <c r="U31" i="61"/>
  <c r="T31" i="61"/>
  <c r="P31" i="61"/>
  <c r="W30" i="61"/>
  <c r="V30" i="61"/>
  <c r="U30" i="61"/>
  <c r="T30" i="61"/>
  <c r="P30" i="61"/>
  <c r="W29" i="61"/>
  <c r="V29" i="61"/>
  <c r="U29" i="61"/>
  <c r="T29" i="61"/>
  <c r="P29" i="61"/>
  <c r="W28" i="61"/>
  <c r="V28" i="61"/>
  <c r="U28" i="61"/>
  <c r="T28" i="61"/>
  <c r="X28" i="61" s="1"/>
  <c r="P28" i="61"/>
  <c r="W27" i="61"/>
  <c r="V27" i="61"/>
  <c r="U27" i="61"/>
  <c r="T27" i="61"/>
  <c r="P27" i="61"/>
  <c r="W26" i="61"/>
  <c r="V26" i="61"/>
  <c r="U26" i="61"/>
  <c r="T26" i="61"/>
  <c r="P26" i="61"/>
  <c r="W25" i="61"/>
  <c r="V25" i="61"/>
  <c r="U25" i="61"/>
  <c r="T25" i="61"/>
  <c r="P25" i="61"/>
  <c r="W24" i="61"/>
  <c r="V24" i="61"/>
  <c r="U24" i="61"/>
  <c r="T24" i="61"/>
  <c r="P24" i="61"/>
  <c r="W23" i="61"/>
  <c r="V23" i="61"/>
  <c r="U23" i="61"/>
  <c r="T23" i="61"/>
  <c r="P23" i="61"/>
  <c r="W22" i="61"/>
  <c r="V22" i="61"/>
  <c r="U22" i="61"/>
  <c r="T22" i="61"/>
  <c r="P22" i="61"/>
  <c r="W21" i="61"/>
  <c r="V21" i="61"/>
  <c r="U21" i="61"/>
  <c r="T21" i="61"/>
  <c r="P21" i="61"/>
  <c r="W20" i="61"/>
  <c r="V20" i="61"/>
  <c r="U20" i="61"/>
  <c r="T20" i="61"/>
  <c r="P20" i="61"/>
  <c r="W19" i="61"/>
  <c r="V19" i="61"/>
  <c r="U19" i="61"/>
  <c r="T19" i="61"/>
  <c r="X19" i="61" s="1"/>
  <c r="P19" i="61"/>
  <c r="W18" i="61"/>
  <c r="V18" i="61"/>
  <c r="U18" i="61"/>
  <c r="T18" i="61"/>
  <c r="P18" i="61"/>
  <c r="W17" i="61"/>
  <c r="V17" i="61"/>
  <c r="U17" i="61"/>
  <c r="T17" i="61"/>
  <c r="P17" i="61"/>
  <c r="W16" i="61"/>
  <c r="U16" i="61"/>
  <c r="X16" i="61" s="1"/>
  <c r="T16" i="61"/>
  <c r="P16" i="61"/>
  <c r="W15" i="61"/>
  <c r="U15" i="61"/>
  <c r="T15" i="61"/>
  <c r="P15" i="61"/>
  <c r="W14" i="61"/>
  <c r="U14" i="61"/>
  <c r="T14" i="61"/>
  <c r="P14" i="61"/>
  <c r="W13" i="61"/>
  <c r="U13" i="61"/>
  <c r="T13" i="61"/>
  <c r="X13" i="61" s="1"/>
  <c r="P13" i="61"/>
  <c r="C13" i="61"/>
  <c r="C14" i="61" s="1"/>
  <c r="C15" i="61" s="1"/>
  <c r="C16" i="61" s="1"/>
  <c r="C17" i="61" s="1"/>
  <c r="C18" i="61" s="1"/>
  <c r="C19" i="61" s="1"/>
  <c r="C20" i="61" s="1"/>
  <c r="C21" i="61" s="1"/>
  <c r="C22" i="61" s="1"/>
  <c r="C23" i="61" s="1"/>
  <c r="C24" i="61" s="1"/>
  <c r="C25" i="61" s="1"/>
  <c r="C26" i="61" s="1"/>
  <c r="C27" i="61" s="1"/>
  <c r="C28" i="61" s="1"/>
  <c r="C29" i="61" s="1"/>
  <c r="C30" i="61" s="1"/>
  <c r="C31" i="61" s="1"/>
  <c r="C32" i="61" s="1"/>
  <c r="C33" i="61" s="1"/>
  <c r="C34" i="61" s="1"/>
  <c r="C35" i="61" s="1"/>
  <c r="C36" i="61" s="1"/>
  <c r="C37" i="61" s="1"/>
  <c r="C38" i="61" s="1"/>
  <c r="C39" i="61" s="1"/>
  <c r="C40" i="61" s="1"/>
  <c r="C41" i="61" s="1"/>
  <c r="C42" i="61" s="1"/>
  <c r="C43" i="61" s="1"/>
  <c r="C44" i="61" s="1"/>
  <c r="C45" i="61" s="1"/>
  <c r="C46" i="61" s="1"/>
  <c r="C47" i="61" s="1"/>
  <c r="C48" i="61" s="1"/>
  <c r="C49" i="61" s="1"/>
  <c r="C50" i="61" s="1"/>
  <c r="C51" i="61" s="1"/>
  <c r="C52" i="61" s="1"/>
  <c r="C53" i="61" s="1"/>
  <c r="C54" i="61" s="1"/>
  <c r="C55" i="61" s="1"/>
  <c r="W12" i="61"/>
  <c r="U12" i="61"/>
  <c r="T12" i="61"/>
  <c r="X34" i="61" l="1"/>
  <c r="X44" i="61"/>
  <c r="X49" i="61"/>
  <c r="X18" i="61"/>
  <c r="X54" i="61"/>
  <c r="X30" i="61"/>
  <c r="X46" i="61"/>
  <c r="X21" i="61"/>
  <c r="X50" i="61"/>
  <c r="X26" i="61"/>
  <c r="X42" i="61"/>
  <c r="X48" i="61"/>
  <c r="X47" i="61"/>
  <c r="X52" i="61"/>
  <c r="X14" i="61"/>
  <c r="X25" i="61"/>
  <c r="X27" i="61"/>
  <c r="X38" i="61"/>
  <c r="X33" i="61"/>
  <c r="X24" i="61"/>
  <c r="X29" i="61"/>
  <c r="X41" i="61"/>
  <c r="X43" i="61"/>
  <c r="X51" i="61"/>
  <c r="X17" i="61"/>
  <c r="X23" i="61"/>
  <c r="X32" i="61"/>
  <c r="X37" i="61"/>
  <c r="X45" i="61"/>
  <c r="X15" i="61"/>
  <c r="X20" i="61"/>
  <c r="X31" i="61"/>
  <c r="X40" i="61"/>
  <c r="X53" i="61"/>
  <c r="X12" i="61"/>
  <c r="X22" i="61"/>
  <c r="X36" i="61"/>
  <c r="X39" i="61"/>
  <c r="I38" i="63"/>
  <c r="I37" i="63"/>
  <c r="I36" i="63"/>
  <c r="I48" i="63"/>
  <c r="I43" i="63"/>
  <c r="Z54" i="61" l="1"/>
  <c r="Z53" i="61"/>
  <c r="Z52" i="61"/>
  <c r="Z51" i="61"/>
  <c r="Z50" i="61"/>
  <c r="Z49" i="61"/>
  <c r="Z48" i="61"/>
  <c r="Z47" i="61"/>
  <c r="Z46" i="61"/>
  <c r="Z45" i="61"/>
  <c r="Z44" i="61"/>
  <c r="Z43" i="61"/>
  <c r="Z42" i="61"/>
  <c r="Z41" i="61"/>
  <c r="Z40" i="61"/>
  <c r="Z39" i="61"/>
  <c r="Z38" i="61"/>
  <c r="Z37" i="61"/>
  <c r="Z36" i="61"/>
  <c r="Z35" i="61"/>
  <c r="Z34" i="61"/>
  <c r="Z33" i="61"/>
  <c r="Z32" i="61"/>
  <c r="Z31" i="61"/>
  <c r="Z30" i="61"/>
  <c r="Z29" i="61"/>
  <c r="Z28" i="61"/>
  <c r="Z27" i="61"/>
  <c r="Z26" i="61"/>
  <c r="Z25" i="61"/>
  <c r="Z24" i="61"/>
  <c r="Z23" i="61"/>
  <c r="Z22" i="61"/>
  <c r="Z21" i="61"/>
  <c r="Z20" i="61"/>
  <c r="Z19" i="61"/>
  <c r="Z18" i="61"/>
  <c r="Z17" i="61"/>
  <c r="Z16" i="61"/>
  <c r="Z15" i="61"/>
  <c r="Z14" i="61"/>
  <c r="Z13" i="61"/>
  <c r="Z12" i="61"/>
  <c r="F12" i="31" l="1"/>
  <c r="C9" i="35" l="1"/>
  <c r="E41" i="35"/>
  <c r="E37" i="35"/>
  <c r="E35" i="35"/>
  <c r="E34" i="35"/>
  <c r="E33" i="35"/>
  <c r="E27" i="35"/>
  <c r="E26" i="35"/>
  <c r="E24" i="35"/>
  <c r="E19" i="35"/>
  <c r="E18" i="35"/>
  <c r="E17" i="35"/>
  <c r="E16" i="35"/>
  <c r="E15" i="35"/>
  <c r="E10" i="35"/>
  <c r="F51" i="35"/>
  <c r="E51" i="35"/>
  <c r="F46" i="35"/>
  <c r="E46" i="35"/>
  <c r="A4" i="60" l="1"/>
  <c r="A3" i="60"/>
  <c r="B20" i="48"/>
  <c r="B19" i="48"/>
  <c r="B18" i="48"/>
  <c r="B17" i="48"/>
  <c r="P6" i="36"/>
  <c r="O6" i="36"/>
  <c r="N6" i="36"/>
  <c r="M6" i="36"/>
  <c r="F50" i="63"/>
  <c r="A11" i="63"/>
  <c r="A12" i="63" s="1"/>
  <c r="A13" i="63" s="1"/>
  <c r="A14" i="63" s="1"/>
  <c r="A15" i="63" s="1"/>
  <c r="A16" i="63" s="1"/>
  <c r="A17" i="63" s="1"/>
  <c r="A18" i="63" s="1"/>
  <c r="A19" i="63" s="1"/>
  <c r="A20" i="63" s="1"/>
  <c r="A21" i="63" s="1"/>
  <c r="A22" i="63" s="1"/>
  <c r="A23" i="63" s="1"/>
  <c r="A24" i="63" s="1"/>
  <c r="A25" i="63" s="1"/>
  <c r="A26" i="63" s="1"/>
  <c r="A27" i="63" s="1"/>
  <c r="A28" i="63" s="1"/>
  <c r="A29" i="63" s="1"/>
  <c r="A30" i="63" s="1"/>
  <c r="A31" i="63" s="1"/>
  <c r="A32" i="63" s="1"/>
  <c r="A33" i="63" s="1"/>
  <c r="A34" i="63" s="1"/>
  <c r="A35" i="63" s="1"/>
  <c r="A36" i="63" s="1"/>
  <c r="A37" i="63" s="1"/>
  <c r="A38" i="63" s="1"/>
  <c r="A39" i="63" s="1"/>
  <c r="A40" i="63" s="1"/>
  <c r="A41" i="63" s="1"/>
  <c r="A42" i="63" s="1"/>
  <c r="A43" i="63" s="1"/>
  <c r="A44" i="63" s="1"/>
  <c r="A45" i="63" s="1"/>
  <c r="A46" i="63" s="1"/>
  <c r="A47" i="63" s="1"/>
  <c r="A48" i="63" s="1"/>
  <c r="A49" i="63" s="1"/>
  <c r="O61" i="62"/>
  <c r="A17" i="62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0" i="62" s="1"/>
  <c r="A41" i="62" s="1"/>
  <c r="A42" i="62" s="1"/>
  <c r="A43" i="62" s="1"/>
  <c r="A44" i="62" s="1"/>
  <c r="A45" i="62" s="1"/>
  <c r="A46" i="62" s="1"/>
  <c r="A47" i="62" s="1"/>
  <c r="A48" i="62" s="1"/>
  <c r="A49" i="62" s="1"/>
  <c r="A50" i="62" s="1"/>
  <c r="A51" i="62" s="1"/>
  <c r="A52" i="62" s="1"/>
  <c r="A53" i="62" s="1"/>
  <c r="A54" i="62" s="1"/>
  <c r="A55" i="62" s="1"/>
  <c r="A56" i="62" s="1"/>
  <c r="A57" i="62" s="1"/>
  <c r="A58" i="62" s="1"/>
  <c r="G11" i="62"/>
  <c r="H11" i="62" s="1"/>
  <c r="I11" i="62" s="1"/>
  <c r="J11" i="62" s="1"/>
  <c r="K11" i="62" s="1"/>
  <c r="L11" i="62" s="1"/>
  <c r="M11" i="62" s="1"/>
  <c r="N11" i="62" s="1"/>
  <c r="O11" i="62" s="1"/>
  <c r="D11" i="62"/>
  <c r="E11" i="62" s="1"/>
  <c r="K72" i="61"/>
  <c r="K69" i="61"/>
  <c r="O55" i="61"/>
  <c r="N55" i="61"/>
  <c r="M55" i="61"/>
  <c r="L55" i="61"/>
  <c r="J55" i="61"/>
  <c r="I55" i="61"/>
  <c r="H55" i="61"/>
  <c r="V55" i="61"/>
  <c r="U55" i="61"/>
  <c r="A13" i="6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7" i="61" s="1"/>
  <c r="A38" i="61" s="1"/>
  <c r="A39" i="61" s="1"/>
  <c r="A40" i="61" s="1"/>
  <c r="A41" i="61" s="1"/>
  <c r="A42" i="61" s="1"/>
  <c r="A43" i="61" s="1"/>
  <c r="A44" i="61" s="1"/>
  <c r="A45" i="61" s="1"/>
  <c r="A46" i="61" s="1"/>
  <c r="A47" i="61" s="1"/>
  <c r="A48" i="61" s="1"/>
  <c r="A49" i="61" s="1"/>
  <c r="A50" i="61" s="1"/>
  <c r="A51" i="61" s="1"/>
  <c r="A52" i="61" s="1"/>
  <c r="A53" i="61" s="1"/>
  <c r="A54" i="61" s="1"/>
  <c r="W55" i="61"/>
  <c r="T55" i="61"/>
  <c r="P55" i="61"/>
  <c r="D10" i="61"/>
  <c r="F10" i="61" s="1"/>
  <c r="H10" i="61" s="1"/>
  <c r="I10" i="61" s="1"/>
  <c r="J10" i="61" s="1"/>
  <c r="L10" i="61" s="1"/>
  <c r="M10" i="61" s="1"/>
  <c r="N10" i="61" s="1"/>
  <c r="O10" i="61" s="1"/>
  <c r="P10" i="61" s="1"/>
  <c r="R10" i="61" s="1"/>
  <c r="T10" i="61" s="1"/>
  <c r="U10" i="61" s="1"/>
  <c r="V10" i="61" s="1"/>
  <c r="W10" i="61" s="1"/>
  <c r="X10" i="61" s="1"/>
  <c r="Z10" i="61" s="1"/>
  <c r="A55" i="61" l="1"/>
  <c r="A56" i="61" s="1"/>
  <c r="A57" i="61" s="1"/>
  <c r="A64" i="61" s="1"/>
  <c r="A65" i="61" s="1"/>
  <c r="A66" i="61" s="1"/>
  <c r="A67" i="61" s="1"/>
  <c r="A68" i="61" s="1"/>
  <c r="A69" i="61" s="1"/>
  <c r="A70" i="61" s="1"/>
  <c r="A71" i="61" s="1"/>
  <c r="A72" i="61" s="1"/>
  <c r="A73" i="61" s="1"/>
  <c r="A74" i="61" s="1"/>
  <c r="A60" i="62"/>
  <c r="A61" i="62" s="1"/>
  <c r="A62" i="62" s="1"/>
  <c r="A63" i="62" s="1"/>
  <c r="A64" i="62" s="1"/>
  <c r="A65" i="62" s="1"/>
  <c r="A72" i="62" s="1"/>
  <c r="A59" i="62"/>
  <c r="K74" i="61"/>
  <c r="M65" i="61" s="1"/>
  <c r="H73" i="62" s="1"/>
  <c r="I50" i="63"/>
  <c r="A51" i="63"/>
  <c r="A52" i="63" s="1"/>
  <c r="A53" i="63" s="1"/>
  <c r="A54" i="63" s="1"/>
  <c r="A55" i="63" s="1"/>
  <c r="A56" i="63" s="1"/>
  <c r="F54" i="63" l="1"/>
  <c r="F56" i="63" s="1"/>
  <c r="E20" i="48" s="1"/>
  <c r="P23" i="36" s="1"/>
  <c r="M71" i="61"/>
  <c r="H79" i="62" s="1"/>
  <c r="H80" i="62" s="1"/>
  <c r="M66" i="61"/>
  <c r="H74" i="62" s="1"/>
  <c r="M64" i="61"/>
  <c r="H72" i="62" s="1"/>
  <c r="M68" i="61"/>
  <c r="H76" i="62" s="1"/>
  <c r="M67" i="61"/>
  <c r="H75" i="62" s="1"/>
  <c r="X55" i="61"/>
  <c r="Z55" i="61"/>
  <c r="Z57" i="61" s="1"/>
  <c r="H77" i="62" l="1"/>
  <c r="M69" i="61"/>
  <c r="M72" i="61"/>
  <c r="F59" i="62"/>
  <c r="P64" i="61"/>
  <c r="P66" i="61"/>
  <c r="P67" i="61"/>
  <c r="P71" i="61"/>
  <c r="P68" i="61"/>
  <c r="P65" i="61"/>
  <c r="P72" i="61" l="1"/>
  <c r="M74" i="61"/>
  <c r="P69" i="61"/>
  <c r="K59" i="62"/>
  <c r="L59" i="62"/>
  <c r="L63" i="62" s="1"/>
  <c r="L65" i="62" s="1"/>
  <c r="G59" i="62"/>
  <c r="I59" i="62"/>
  <c r="J59" i="62"/>
  <c r="J63" i="62" s="1"/>
  <c r="J65" i="62" s="1"/>
  <c r="M59" i="62"/>
  <c r="N59" i="62"/>
  <c r="N63" i="62" s="1"/>
  <c r="N65" i="62" s="1"/>
  <c r="P74" i="61" l="1"/>
  <c r="E18" i="48"/>
  <c r="N23" i="36" s="1"/>
  <c r="H59" i="62"/>
  <c r="H63" i="62" s="1"/>
  <c r="O59" i="62"/>
  <c r="H65" i="62" l="1"/>
  <c r="O63" i="62"/>
  <c r="O65" i="62" s="1"/>
  <c r="I76" i="62" l="1"/>
  <c r="I75" i="62"/>
  <c r="I74" i="62"/>
  <c r="I73" i="62"/>
  <c r="I72" i="62"/>
  <c r="I77" i="62" s="1"/>
  <c r="E19" i="48" s="1"/>
  <c r="O23" i="36" s="1"/>
  <c r="I79" i="62"/>
  <c r="I80" i="62" l="1"/>
  <c r="I82" i="62" s="1"/>
  <c r="H48" i="60" l="1"/>
  <c r="E48" i="60"/>
  <c r="A11" i="60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A29" i="60" s="1"/>
  <c r="A30" i="60" s="1"/>
  <c r="A31" i="60" s="1"/>
  <c r="A32" i="60" s="1"/>
  <c r="A33" i="60" s="1"/>
  <c r="A34" i="60" s="1"/>
  <c r="A35" i="60" s="1"/>
  <c r="A36" i="60" s="1"/>
  <c r="A37" i="60" s="1"/>
  <c r="A38" i="60" s="1"/>
  <c r="A39" i="60" s="1"/>
  <c r="A40" i="60" s="1"/>
  <c r="A41" i="60" s="1"/>
  <c r="A42" i="60" s="1"/>
  <c r="A43" i="60" s="1"/>
  <c r="A44" i="60" s="1"/>
  <c r="A45" i="60" s="1"/>
  <c r="A46" i="60" s="1"/>
  <c r="A47" i="60" s="1"/>
  <c r="A48" i="60" s="1"/>
  <c r="F48" i="60" l="1"/>
  <c r="I48" i="60"/>
  <c r="J48" i="60" l="1"/>
  <c r="M28" i="36" s="1"/>
  <c r="G20" i="48"/>
  <c r="G19" i="48"/>
  <c r="G18" i="48"/>
  <c r="G17" i="48" l="1"/>
  <c r="D25" i="35"/>
  <c r="E25" i="35" s="1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F43" i="50"/>
  <c r="B3" i="56"/>
  <c r="B4" i="58"/>
  <c r="B5" i="58"/>
  <c r="B4" i="56"/>
  <c r="A4" i="28"/>
  <c r="A5" i="17"/>
  <c r="A16" i="59" l="1"/>
  <c r="A17" i="59" s="1"/>
  <c r="A18" i="59" s="1"/>
  <c r="A19" i="59" s="1"/>
  <c r="A20" i="59" s="1"/>
  <c r="A13" i="59"/>
  <c r="A14" i="59" s="1"/>
  <c r="A15" i="59" s="1"/>
  <c r="A4" i="59"/>
  <c r="A3" i="59"/>
  <c r="F16" i="59"/>
  <c r="F20" i="59" s="1"/>
  <c r="E14" i="48" s="1"/>
  <c r="A56" i="58" l="1"/>
  <c r="A57" i="58" s="1"/>
  <c r="A58" i="58" s="1"/>
  <c r="A59" i="58" s="1"/>
  <c r="A60" i="58" s="1"/>
  <c r="A61" i="58" s="1"/>
  <c r="A62" i="58" s="1"/>
  <c r="A63" i="58" s="1"/>
  <c r="A13" i="58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7" i="58" s="1"/>
  <c r="A38" i="58" s="1"/>
  <c r="A39" i="58" s="1"/>
  <c r="A40" i="58" s="1"/>
  <c r="A41" i="58" s="1"/>
  <c r="A42" i="58" s="1"/>
  <c r="A43" i="58" s="1"/>
  <c r="A44" i="58" s="1"/>
  <c r="A45" i="58" s="1"/>
  <c r="A46" i="58" s="1"/>
  <c r="A47" i="58" s="1"/>
  <c r="A48" i="58" s="1"/>
  <c r="A49" i="58" s="1"/>
  <c r="A50" i="58" s="1"/>
  <c r="A51" i="58" s="1"/>
  <c r="A52" i="58" s="1"/>
  <c r="A53" i="58" s="1"/>
  <c r="A54" i="58" s="1"/>
  <c r="A55" i="58" s="1"/>
  <c r="C55" i="58"/>
  <c r="E54" i="58"/>
  <c r="G54" i="58" s="1"/>
  <c r="E53" i="58"/>
  <c r="E52" i="58"/>
  <c r="G52" i="58" s="1"/>
  <c r="E51" i="58"/>
  <c r="E50" i="58"/>
  <c r="G50" i="58" s="1"/>
  <c r="E49" i="58"/>
  <c r="E48" i="58"/>
  <c r="G48" i="58" s="1"/>
  <c r="E47" i="58"/>
  <c r="E46" i="58"/>
  <c r="G46" i="58" s="1"/>
  <c r="E45" i="58"/>
  <c r="E44" i="58"/>
  <c r="G44" i="58" s="1"/>
  <c r="E43" i="58"/>
  <c r="E42" i="58"/>
  <c r="G42" i="58" s="1"/>
  <c r="E41" i="58"/>
  <c r="E40" i="58"/>
  <c r="G40" i="58" s="1"/>
  <c r="E39" i="58"/>
  <c r="G39" i="58" s="1"/>
  <c r="E38" i="58"/>
  <c r="G38" i="58" s="1"/>
  <c r="E37" i="58"/>
  <c r="G37" i="58" s="1"/>
  <c r="E36" i="58"/>
  <c r="G36" i="58" s="1"/>
  <c r="E35" i="58"/>
  <c r="G35" i="58" s="1"/>
  <c r="E34" i="58"/>
  <c r="G34" i="58" s="1"/>
  <c r="E33" i="58"/>
  <c r="G33" i="58" s="1"/>
  <c r="E32" i="58"/>
  <c r="G32" i="58" s="1"/>
  <c r="E31" i="58"/>
  <c r="G31" i="58" s="1"/>
  <c r="E30" i="58"/>
  <c r="G30" i="58" s="1"/>
  <c r="E29" i="58"/>
  <c r="G29" i="58" s="1"/>
  <c r="E28" i="58"/>
  <c r="G28" i="58" s="1"/>
  <c r="E27" i="58"/>
  <c r="G27" i="58" s="1"/>
  <c r="E26" i="58"/>
  <c r="G26" i="58" s="1"/>
  <c r="E25" i="58"/>
  <c r="G25" i="58" s="1"/>
  <c r="E24" i="58"/>
  <c r="G24" i="58" s="1"/>
  <c r="E23" i="58"/>
  <c r="G23" i="58" s="1"/>
  <c r="E22" i="58"/>
  <c r="G22" i="58" s="1"/>
  <c r="E21" i="58"/>
  <c r="G21" i="58" s="1"/>
  <c r="E20" i="58"/>
  <c r="G20" i="58" s="1"/>
  <c r="E19" i="58"/>
  <c r="G19" i="58" s="1"/>
  <c r="E18" i="58"/>
  <c r="G18" i="58" s="1"/>
  <c r="E17" i="58"/>
  <c r="G17" i="58" s="1"/>
  <c r="E16" i="58"/>
  <c r="G16" i="58" s="1"/>
  <c r="E15" i="58"/>
  <c r="G15" i="58" s="1"/>
  <c r="E14" i="58"/>
  <c r="G14" i="58" s="1"/>
  <c r="E13" i="58"/>
  <c r="G13" i="58" s="1"/>
  <c r="E12" i="58"/>
  <c r="G12" i="58" s="1"/>
  <c r="F29" i="58" l="1"/>
  <c r="F39" i="58"/>
  <c r="F23" i="58"/>
  <c r="F31" i="58"/>
  <c r="F25" i="58"/>
  <c r="H31" i="58"/>
  <c r="F19" i="58"/>
  <c r="H19" i="58" s="1"/>
  <c r="G43" i="58"/>
  <c r="F43" i="58"/>
  <c r="G51" i="58"/>
  <c r="F51" i="58"/>
  <c r="G49" i="58"/>
  <c r="F49" i="58"/>
  <c r="F13" i="58"/>
  <c r="H13" i="58" s="1"/>
  <c r="F35" i="58"/>
  <c r="H35" i="58" s="1"/>
  <c r="F27" i="58"/>
  <c r="H27" i="58" s="1"/>
  <c r="G45" i="58"/>
  <c r="F45" i="58"/>
  <c r="G53" i="58"/>
  <c r="F53" i="58"/>
  <c r="H25" i="58"/>
  <c r="G41" i="58"/>
  <c r="F41" i="58"/>
  <c r="F15" i="58"/>
  <c r="H15" i="58" s="1"/>
  <c r="F21" i="58"/>
  <c r="H21" i="58" s="1"/>
  <c r="F37" i="58"/>
  <c r="H37" i="58" s="1"/>
  <c r="F17" i="58"/>
  <c r="H17" i="58" s="1"/>
  <c r="H23" i="58"/>
  <c r="F33" i="58"/>
  <c r="H33" i="58" s="1"/>
  <c r="H39" i="58"/>
  <c r="H29" i="58"/>
  <c r="G47" i="58"/>
  <c r="F47" i="58"/>
  <c r="H59" i="58"/>
  <c r="F12" i="58"/>
  <c r="H12" i="58" s="1"/>
  <c r="F14" i="58"/>
  <c r="H14" i="58" s="1"/>
  <c r="F16" i="58"/>
  <c r="H16" i="58" s="1"/>
  <c r="F18" i="58"/>
  <c r="H18" i="58" s="1"/>
  <c r="F20" i="58"/>
  <c r="H20" i="58" s="1"/>
  <c r="F22" i="58"/>
  <c r="H22" i="58" s="1"/>
  <c r="F24" i="58"/>
  <c r="H24" i="58" s="1"/>
  <c r="F26" i="58"/>
  <c r="H26" i="58" s="1"/>
  <c r="F28" i="58"/>
  <c r="H28" i="58" s="1"/>
  <c r="F30" i="58"/>
  <c r="H30" i="58" s="1"/>
  <c r="F32" i="58"/>
  <c r="H32" i="58" s="1"/>
  <c r="F34" i="58"/>
  <c r="H34" i="58" s="1"/>
  <c r="F36" i="58"/>
  <c r="H36" i="58" s="1"/>
  <c r="F38" i="58"/>
  <c r="H38" i="58" s="1"/>
  <c r="F40" i="58"/>
  <c r="H40" i="58" s="1"/>
  <c r="F42" i="58"/>
  <c r="H42" i="58" s="1"/>
  <c r="F44" i="58"/>
  <c r="H44" i="58" s="1"/>
  <c r="F46" i="58"/>
  <c r="H46" i="58" s="1"/>
  <c r="F48" i="58"/>
  <c r="H48" i="58" s="1"/>
  <c r="F50" i="58"/>
  <c r="H50" i="58" s="1"/>
  <c r="F52" i="58"/>
  <c r="H52" i="58" s="1"/>
  <c r="F54" i="58"/>
  <c r="H45" i="58" l="1"/>
  <c r="H43" i="58"/>
  <c r="H51" i="58"/>
  <c r="H47" i="58"/>
  <c r="H49" i="58"/>
  <c r="H41" i="58"/>
  <c r="H55" i="58" s="1"/>
  <c r="H57" i="58" s="1"/>
  <c r="H61" i="58" s="1"/>
  <c r="H63" i="58" s="1"/>
  <c r="E16" i="48" s="1"/>
  <c r="A14" i="56" l="1"/>
  <c r="A15" i="56" s="1"/>
  <c r="A16" i="56" s="1"/>
  <c r="A17" i="56" s="1"/>
  <c r="A18" i="56" s="1"/>
  <c r="A19" i="56" s="1"/>
  <c r="A20" i="56" s="1"/>
  <c r="A21" i="56" s="1"/>
  <c r="A13" i="56"/>
  <c r="A12" i="56"/>
  <c r="F18" i="56"/>
  <c r="C18" i="56"/>
  <c r="F17" i="56"/>
  <c r="C17" i="56"/>
  <c r="E17" i="56" s="1"/>
  <c r="C14" i="56"/>
  <c r="G13" i="56"/>
  <c r="E13" i="56"/>
  <c r="G12" i="56"/>
  <c r="E12" i="56"/>
  <c r="G14" i="56" l="1"/>
  <c r="G18" i="56"/>
  <c r="E14" i="56"/>
  <c r="E18" i="56"/>
  <c r="E19" i="56" s="1"/>
  <c r="G17" i="56"/>
  <c r="G19" i="56" s="1"/>
  <c r="C19" i="56"/>
  <c r="G21" i="56" l="1"/>
  <c r="E12" i="48" s="1"/>
  <c r="J17" i="55" l="1"/>
  <c r="I17" i="55"/>
  <c r="H17" i="55"/>
  <c r="G17" i="55"/>
  <c r="F17" i="55"/>
  <c r="E17" i="55"/>
  <c r="D17" i="55"/>
  <c r="C17" i="55"/>
  <c r="K16" i="55"/>
  <c r="K15" i="55"/>
  <c r="K14" i="55"/>
  <c r="K13" i="55"/>
  <c r="K12" i="55"/>
  <c r="K11" i="55"/>
  <c r="K10" i="55"/>
  <c r="K17" i="55" l="1"/>
  <c r="K22" i="55" s="1"/>
  <c r="K24" i="55" s="1"/>
  <c r="E15" i="48" s="1"/>
  <c r="A13" i="39" l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12" i="39"/>
  <c r="I33" i="39"/>
  <c r="I20" i="39"/>
  <c r="I34" i="39" l="1"/>
  <c r="C11" i="35" l="1"/>
  <c r="A4" i="39" l="1"/>
  <c r="A3" i="39"/>
  <c r="F61" i="50" l="1"/>
  <c r="F63" i="50"/>
  <c r="F19" i="50"/>
  <c r="F17" i="50"/>
  <c r="E21" i="50"/>
  <c r="D21" i="50"/>
  <c r="F14" i="50"/>
  <c r="E12" i="50"/>
  <c r="L6" i="36" l="1"/>
  <c r="K6" i="36"/>
  <c r="J6" i="36"/>
  <c r="I6" i="36"/>
  <c r="H6" i="36"/>
  <c r="G6" i="36"/>
  <c r="F6" i="36"/>
  <c r="E6" i="36"/>
  <c r="D6" i="36"/>
  <c r="C6" i="36"/>
  <c r="U18" i="36"/>
  <c r="U19" i="36"/>
  <c r="U20" i="36"/>
  <c r="U21" i="36"/>
  <c r="U22" i="36"/>
  <c r="F41" i="35"/>
  <c r="E51" i="39" l="1"/>
  <c r="E56" i="39" s="1"/>
  <c r="H37" i="39"/>
  <c r="J37" i="39" s="1"/>
  <c r="I40" i="39"/>
  <c r="F33" i="39"/>
  <c r="E33" i="39"/>
  <c r="H32" i="39"/>
  <c r="J32" i="39" s="1"/>
  <c r="H31" i="39"/>
  <c r="J31" i="39" s="1"/>
  <c r="H30" i="39"/>
  <c r="J30" i="39" s="1"/>
  <c r="H29" i="39"/>
  <c r="J29" i="39" s="1"/>
  <c r="H27" i="39"/>
  <c r="J27" i="39" s="1"/>
  <c r="H26" i="39"/>
  <c r="J26" i="39" s="1"/>
  <c r="H28" i="39"/>
  <c r="J28" i="39" s="1"/>
  <c r="H25" i="39"/>
  <c r="J25" i="39" s="1"/>
  <c r="H24" i="39"/>
  <c r="J24" i="39" s="1"/>
  <c r="F20" i="39"/>
  <c r="E20" i="39"/>
  <c r="H19" i="39"/>
  <c r="J19" i="39" s="1"/>
  <c r="H18" i="39"/>
  <c r="J18" i="39" s="1"/>
  <c r="H17" i="39"/>
  <c r="J17" i="39" s="1"/>
  <c r="H16" i="39"/>
  <c r="J16" i="39" s="1"/>
  <c r="H15" i="39"/>
  <c r="J15" i="39" s="1"/>
  <c r="H14" i="39"/>
  <c r="J14" i="39" s="1"/>
  <c r="H13" i="39"/>
  <c r="J13" i="39" s="1"/>
  <c r="H12" i="39"/>
  <c r="J12" i="39" s="1"/>
  <c r="J33" i="39" l="1"/>
  <c r="F53" i="39"/>
  <c r="F47" i="39"/>
  <c r="F48" i="39"/>
  <c r="F50" i="39"/>
  <c r="G50" i="39" s="1"/>
  <c r="F49" i="39"/>
  <c r="G49" i="39" s="1"/>
  <c r="F46" i="39"/>
  <c r="F51" i="39" s="1"/>
  <c r="F54" i="39" s="1"/>
  <c r="F56" i="39" s="1"/>
  <c r="J20" i="39"/>
  <c r="J34" i="39" s="1"/>
  <c r="F34" i="39"/>
  <c r="F40" i="39" s="1"/>
  <c r="H20" i="39"/>
  <c r="E34" i="39"/>
  <c r="E40" i="39" s="1"/>
  <c r="H33" i="39"/>
  <c r="G48" i="39"/>
  <c r="G47" i="39"/>
  <c r="G53" i="39"/>
  <c r="G54" i="39" s="1"/>
  <c r="G46" i="39" l="1"/>
  <c r="G51" i="39"/>
  <c r="J38" i="39" s="1"/>
  <c r="H34" i="39"/>
  <c r="H40" i="39" s="1"/>
  <c r="J40" i="39" l="1"/>
  <c r="D23" i="35" s="1"/>
  <c r="E23" i="35" s="1"/>
  <c r="G56" i="39"/>
  <c r="K23" i="36"/>
  <c r="F15" i="35" l="1"/>
  <c r="F16" i="35"/>
  <c r="F17" i="35"/>
  <c r="F18" i="35"/>
  <c r="F19" i="35"/>
  <c r="F24" i="35"/>
  <c r="F26" i="35"/>
  <c r="F27" i="35"/>
  <c r="F33" i="35"/>
  <c r="F34" i="35"/>
  <c r="F35" i="35"/>
  <c r="F37" i="35"/>
  <c r="F25" i="35" l="1"/>
  <c r="F47" i="35" l="1"/>
  <c r="H11" i="36"/>
  <c r="F10" i="35"/>
  <c r="B1" i="36"/>
  <c r="A1" i="50"/>
  <c r="F14" i="31"/>
  <c r="A4" i="31"/>
  <c r="A3" i="31"/>
  <c r="A5" i="33"/>
  <c r="A4" i="33"/>
  <c r="A3" i="28"/>
  <c r="A4" i="17"/>
  <c r="A5" i="6"/>
  <c r="A4" i="6"/>
  <c r="E47" i="35" l="1"/>
  <c r="C14" i="17" l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14" i="6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A1" i="48"/>
  <c r="C52" i="35" l="1"/>
  <c r="C47" i="35"/>
  <c r="C21" i="35" l="1"/>
  <c r="F67" i="50" l="1"/>
  <c r="F66" i="50"/>
  <c r="F62" i="50"/>
  <c r="F60" i="50"/>
  <c r="F59" i="50"/>
  <c r="F58" i="50"/>
  <c r="F56" i="50"/>
  <c r="F53" i="50"/>
  <c r="F52" i="50"/>
  <c r="F51" i="50"/>
  <c r="F50" i="50"/>
  <c r="F49" i="50"/>
  <c r="F46" i="50"/>
  <c r="F45" i="50"/>
  <c r="F44" i="50"/>
  <c r="F42" i="50"/>
  <c r="F41" i="50"/>
  <c r="F36" i="50"/>
  <c r="F35" i="50"/>
  <c r="F32" i="50"/>
  <c r="F31" i="50"/>
  <c r="F30" i="50"/>
  <c r="F29" i="50"/>
  <c r="F28" i="50"/>
  <c r="F27" i="50"/>
  <c r="F26" i="50"/>
  <c r="F25" i="50"/>
  <c r="F24" i="50"/>
  <c r="F23" i="50"/>
  <c r="F20" i="50"/>
  <c r="F18" i="50"/>
  <c r="F16" i="50"/>
  <c r="F15" i="50"/>
  <c r="F11" i="50"/>
  <c r="F9" i="50"/>
  <c r="F8" i="50"/>
  <c r="E64" i="50"/>
  <c r="E54" i="50"/>
  <c r="E47" i="50"/>
  <c r="E33" i="50"/>
  <c r="E38" i="50" s="1"/>
  <c r="D64" i="50"/>
  <c r="D54" i="50"/>
  <c r="D47" i="50"/>
  <c r="D33" i="50"/>
  <c r="E68" i="50" l="1"/>
  <c r="F21" i="50"/>
  <c r="D68" i="50"/>
  <c r="F64" i="50"/>
  <c r="F54" i="50"/>
  <c r="F47" i="50"/>
  <c r="F33" i="50"/>
  <c r="D10" i="50"/>
  <c r="D12" i="50" s="1"/>
  <c r="D38" i="50" l="1"/>
  <c r="F10" i="50"/>
  <c r="F68" i="50"/>
  <c r="F12" i="50" l="1"/>
  <c r="F38" i="50" s="1"/>
  <c r="A8" i="50"/>
  <c r="D6" i="50"/>
  <c r="E6" i="50" s="1"/>
  <c r="C7" i="35"/>
  <c r="D5" i="48" l="1"/>
  <c r="E5" i="48" s="1"/>
  <c r="F5" i="48" s="1"/>
  <c r="G5" i="48" s="1"/>
  <c r="B16" i="48"/>
  <c r="B15" i="48"/>
  <c r="B14" i="48"/>
  <c r="B13" i="48"/>
  <c r="B12" i="48"/>
  <c r="B11" i="48"/>
  <c r="B10" i="48"/>
  <c r="B9" i="48"/>
  <c r="B8" i="48"/>
  <c r="H23" i="36" l="1"/>
  <c r="U39" i="36" l="1"/>
  <c r="U37" i="36"/>
  <c r="U35" i="36"/>
  <c r="U30" i="36"/>
  <c r="U29" i="36"/>
  <c r="T44" i="36" l="1"/>
  <c r="T40" i="36"/>
  <c r="T24" i="36"/>
  <c r="T31" i="36" s="1"/>
  <c r="T45" i="36" l="1"/>
  <c r="T47" i="36" s="1"/>
  <c r="T33" i="36"/>
  <c r="T42" i="36" s="1"/>
  <c r="T48" i="36" l="1"/>
  <c r="A9" i="35" l="1"/>
  <c r="U27" i="36" l="1"/>
  <c r="L28" i="36" l="1"/>
  <c r="E13" i="48" l="1"/>
  <c r="I26" i="36" l="1"/>
  <c r="U26" i="36" s="1"/>
  <c r="F23" i="35"/>
  <c r="U28" i="36"/>
  <c r="A12" i="28" l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E13" i="28" l="1"/>
  <c r="R40" i="36" l="1"/>
  <c r="S40" i="36"/>
  <c r="Q40" i="36"/>
  <c r="P40" i="36"/>
  <c r="N40" i="36"/>
  <c r="M40" i="36"/>
  <c r="M46" i="36" s="1"/>
  <c r="L40" i="36"/>
  <c r="L46" i="36" s="1"/>
  <c r="K40" i="36"/>
  <c r="K46" i="36" s="1"/>
  <c r="J40" i="36"/>
  <c r="J46" i="36" s="1"/>
  <c r="I40" i="36"/>
  <c r="I46" i="36" s="1"/>
  <c r="H40" i="36"/>
  <c r="H46" i="36" s="1"/>
  <c r="F40" i="36"/>
  <c r="F46" i="36" s="1"/>
  <c r="E40" i="36"/>
  <c r="E46" i="36" s="1"/>
  <c r="D40" i="36"/>
  <c r="D46" i="36" s="1"/>
  <c r="C40" i="36"/>
  <c r="C46" i="36" s="1"/>
  <c r="P24" i="36"/>
  <c r="P31" i="36" s="1"/>
  <c r="O24" i="36"/>
  <c r="O31" i="36" s="1"/>
  <c r="L24" i="36"/>
  <c r="L31" i="36" s="1"/>
  <c r="L45" i="36" s="1"/>
  <c r="K24" i="36"/>
  <c r="K31" i="36" s="1"/>
  <c r="K45" i="36" s="1"/>
  <c r="H24" i="36"/>
  <c r="H31" i="36" s="1"/>
  <c r="H45" i="36" s="1"/>
  <c r="G24" i="36"/>
  <c r="G31" i="36" s="1"/>
  <c r="G45" i="36" s="1"/>
  <c r="P12" i="36"/>
  <c r="O12" i="36"/>
  <c r="N12" i="36"/>
  <c r="M12" i="36"/>
  <c r="L12" i="36"/>
  <c r="K12" i="36"/>
  <c r="J12" i="36"/>
  <c r="I12" i="36"/>
  <c r="H12" i="36"/>
  <c r="G12" i="36"/>
  <c r="E12" i="36"/>
  <c r="A8" i="36"/>
  <c r="A9" i="36" s="1"/>
  <c r="A10" i="36" s="1"/>
  <c r="A11" i="36" s="1"/>
  <c r="A12" i="36" s="1"/>
  <c r="A13" i="36" s="1"/>
  <c r="A14" i="36" s="1"/>
  <c r="G44" i="36" l="1"/>
  <c r="K44" i="36"/>
  <c r="K47" i="36" s="1"/>
  <c r="H44" i="36"/>
  <c r="H47" i="36" s="1"/>
  <c r="L44" i="36"/>
  <c r="L47" i="36" s="1"/>
  <c r="E44" i="36"/>
  <c r="I44" i="36"/>
  <c r="M44" i="36"/>
  <c r="P45" i="36"/>
  <c r="O44" i="36"/>
  <c r="J44" i="36"/>
  <c r="N44" i="36"/>
  <c r="G16" i="48"/>
  <c r="P44" i="36"/>
  <c r="H33" i="36"/>
  <c r="H42" i="36" s="1"/>
  <c r="L33" i="36"/>
  <c r="L42" i="36" s="1"/>
  <c r="P33" i="36"/>
  <c r="P42" i="36" s="1"/>
  <c r="A15" i="36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G33" i="36"/>
  <c r="K33" i="36"/>
  <c r="K42" i="36" s="1"/>
  <c r="O33" i="36"/>
  <c r="H48" i="36" l="1"/>
  <c r="G15" i="48"/>
  <c r="G12" i="48"/>
  <c r="L48" i="36"/>
  <c r="P47" i="36"/>
  <c r="P48" i="36" s="1"/>
  <c r="K48" i="36"/>
  <c r="A34" i="36"/>
  <c r="A35" i="36" s="1"/>
  <c r="A37" i="36" s="1"/>
  <c r="A38" i="36" s="1"/>
  <c r="A39" i="36" s="1"/>
  <c r="A40" i="36" s="1"/>
  <c r="A41" i="36" s="1"/>
  <c r="A42" i="36" s="1"/>
  <c r="C29" i="35" l="1"/>
  <c r="J44" i="33"/>
  <c r="G56" i="33"/>
  <c r="F39" i="33" s="1"/>
  <c r="G35" i="33"/>
  <c r="H35" i="33"/>
  <c r="F35" i="33"/>
  <c r="C53" i="35" l="1"/>
  <c r="C48" i="35"/>
  <c r="C31" i="35"/>
  <c r="C42" i="35" s="1"/>
  <c r="G39" i="33"/>
  <c r="C39" i="35" l="1"/>
  <c r="H39" i="33"/>
  <c r="C49" i="35" l="1"/>
  <c r="C54" i="35"/>
  <c r="C44" i="35"/>
  <c r="C43" i="35"/>
  <c r="G25" i="33" l="1"/>
  <c r="G27" i="33" s="1"/>
  <c r="H25" i="33"/>
  <c r="H27" i="33" s="1"/>
  <c r="F25" i="33"/>
  <c r="F27" i="33" s="1"/>
  <c r="F30" i="33" l="1"/>
  <c r="F31" i="33" s="1"/>
  <c r="F40" i="33" s="1"/>
  <c r="H30" i="33"/>
  <c r="H31" i="33" s="1"/>
  <c r="G30" i="33"/>
  <c r="G31" i="33" s="1"/>
  <c r="H40" i="33" l="1"/>
  <c r="H36" i="33"/>
  <c r="G36" i="33"/>
  <c r="G40" i="33"/>
  <c r="J40" i="33" s="1"/>
  <c r="F36" i="33"/>
  <c r="E15" i="28"/>
  <c r="E17" i="28" s="1"/>
  <c r="E21" i="28" s="1"/>
  <c r="E23" i="28" s="1"/>
  <c r="E9" i="48" l="1"/>
  <c r="D20" i="35"/>
  <c r="E20" i="35" s="1"/>
  <c r="E23" i="36"/>
  <c r="G9" i="48"/>
  <c r="M24" i="36"/>
  <c r="M31" i="36" s="1"/>
  <c r="F18" i="31"/>
  <c r="G46" i="33" l="1"/>
  <c r="G48" i="33" s="1"/>
  <c r="E10" i="48"/>
  <c r="F15" i="36" s="1"/>
  <c r="F46" i="33"/>
  <c r="F48" i="33" s="1"/>
  <c r="D10" i="48"/>
  <c r="M45" i="36"/>
  <c r="M47" i="36" s="1"/>
  <c r="E24" i="36"/>
  <c r="E31" i="36" s="1"/>
  <c r="F11" i="48"/>
  <c r="S24" i="36"/>
  <c r="S31" i="36" s="1"/>
  <c r="N24" i="36"/>
  <c r="N31" i="36" s="1"/>
  <c r="M33" i="36"/>
  <c r="M42" i="36" s="1"/>
  <c r="I24" i="36"/>
  <c r="U11" i="36" l="1"/>
  <c r="U16" i="36"/>
  <c r="J46" i="33"/>
  <c r="J48" i="33" s="1"/>
  <c r="F9" i="36"/>
  <c r="G10" i="48"/>
  <c r="U15" i="36"/>
  <c r="F24" i="36"/>
  <c r="F31" i="36" s="1"/>
  <c r="F45" i="36" s="1"/>
  <c r="J23" i="36"/>
  <c r="F20" i="35"/>
  <c r="G11" i="48"/>
  <c r="G38" i="36"/>
  <c r="D36" i="35"/>
  <c r="E36" i="35" s="1"/>
  <c r="E45" i="36"/>
  <c r="E47" i="36" s="1"/>
  <c r="E33" i="36"/>
  <c r="E42" i="36" s="1"/>
  <c r="G14" i="48"/>
  <c r="S45" i="36"/>
  <c r="I31" i="36"/>
  <c r="I45" i="36" s="1"/>
  <c r="I47" i="36" s="1"/>
  <c r="S12" i="36"/>
  <c r="N45" i="36"/>
  <c r="N47" i="36" s="1"/>
  <c r="N33" i="36"/>
  <c r="N42" i="36" s="1"/>
  <c r="M48" i="36"/>
  <c r="O40" i="36"/>
  <c r="O45" i="36" s="1"/>
  <c r="U9" i="36" l="1"/>
  <c r="F12" i="36"/>
  <c r="G40" i="36"/>
  <c r="U40" i="36" s="1"/>
  <c r="U38" i="36"/>
  <c r="E48" i="36"/>
  <c r="F36" i="35"/>
  <c r="F52" i="35" s="1"/>
  <c r="F29" i="48"/>
  <c r="J24" i="36"/>
  <c r="J31" i="36" s="1"/>
  <c r="U23" i="36"/>
  <c r="I33" i="36"/>
  <c r="S44" i="36"/>
  <c r="S47" i="36" s="1"/>
  <c r="S33" i="36"/>
  <c r="S42" i="36" s="1"/>
  <c r="N48" i="36"/>
  <c r="O42" i="36"/>
  <c r="O47" i="36"/>
  <c r="F33" i="36" l="1"/>
  <c r="F42" i="36" s="1"/>
  <c r="F44" i="36"/>
  <c r="F47" i="36" s="1"/>
  <c r="F32" i="48"/>
  <c r="J45" i="36"/>
  <c r="J47" i="36" s="1"/>
  <c r="J33" i="36"/>
  <c r="J42" i="36" s="1"/>
  <c r="G46" i="36"/>
  <c r="G42" i="36"/>
  <c r="F23" i="48"/>
  <c r="W40" i="36" s="1"/>
  <c r="G13" i="48"/>
  <c r="I42" i="36"/>
  <c r="S48" i="36"/>
  <c r="O48" i="36"/>
  <c r="F33" i="48" l="1"/>
  <c r="F30" i="48"/>
  <c r="F48" i="36"/>
  <c r="J48" i="36"/>
  <c r="U46" i="36"/>
  <c r="W46" i="36" s="1"/>
  <c r="G47" i="36"/>
  <c r="G48" i="36" s="1"/>
  <c r="E52" i="35"/>
  <c r="I48" i="36"/>
  <c r="F25" i="6"/>
  <c r="H25" i="17" l="1"/>
  <c r="H27" i="17" s="1"/>
  <c r="H31" i="17" s="1"/>
  <c r="F25" i="17"/>
  <c r="F27" i="17" s="1"/>
  <c r="F31" i="17" s="1"/>
  <c r="H25" i="6"/>
  <c r="H27" i="6" s="1"/>
  <c r="H31" i="6" s="1"/>
  <c r="F27" i="6"/>
  <c r="F31" i="6" s="1"/>
  <c r="E7" i="48" l="1"/>
  <c r="C17" i="36" s="1"/>
  <c r="C24" i="36" s="1"/>
  <c r="C31" i="36" s="1"/>
  <c r="C45" i="36" s="1"/>
  <c r="D14" i="35"/>
  <c r="E14" i="35" s="1"/>
  <c r="D7" i="48"/>
  <c r="D9" i="35"/>
  <c r="C10" i="36"/>
  <c r="C12" i="36" s="1"/>
  <c r="G7" i="48"/>
  <c r="R12" i="36"/>
  <c r="D8" i="48"/>
  <c r="D10" i="36" s="1"/>
  <c r="D12" i="36" s="1"/>
  <c r="D44" i="36" s="1"/>
  <c r="R24" i="36"/>
  <c r="R31" i="36" s="1"/>
  <c r="R33" i="36" s="1"/>
  <c r="R42" i="36" s="1"/>
  <c r="E8" i="48"/>
  <c r="R44" i="36"/>
  <c r="Q24" i="36"/>
  <c r="Q12" i="36"/>
  <c r="E9" i="35" l="1"/>
  <c r="D11" i="35"/>
  <c r="D29" i="48" s="1"/>
  <c r="U10" i="36"/>
  <c r="C44" i="36"/>
  <c r="C47" i="36" s="1"/>
  <c r="C33" i="36"/>
  <c r="C42" i="36" s="1"/>
  <c r="D17" i="36"/>
  <c r="R45" i="36"/>
  <c r="G8" i="48"/>
  <c r="R47" i="36"/>
  <c r="R48" i="36" s="1"/>
  <c r="Q31" i="36"/>
  <c r="Q33" i="36" s="1"/>
  <c r="U12" i="36"/>
  <c r="Q44" i="36"/>
  <c r="C48" i="36" l="1"/>
  <c r="D32" i="48"/>
  <c r="F14" i="35"/>
  <c r="F21" i="35" s="1"/>
  <c r="F29" i="35" s="1"/>
  <c r="D21" i="35"/>
  <c r="D29" i="35" s="1"/>
  <c r="D24" i="36"/>
  <c r="U17" i="36"/>
  <c r="U44" i="36"/>
  <c r="D23" i="48"/>
  <c r="D30" i="48" s="1"/>
  <c r="Q42" i="36"/>
  <c r="Q45" i="36"/>
  <c r="E23" i="48"/>
  <c r="E29" i="48" l="1"/>
  <c r="E30" i="48" s="1"/>
  <c r="F48" i="35"/>
  <c r="F53" i="35"/>
  <c r="D33" i="48"/>
  <c r="D31" i="35"/>
  <c r="W44" i="36"/>
  <c r="D31" i="36"/>
  <c r="U24" i="36"/>
  <c r="W12" i="36"/>
  <c r="E11" i="35"/>
  <c r="G23" i="48"/>
  <c r="Q47" i="36"/>
  <c r="D39" i="35" l="1"/>
  <c r="D45" i="36"/>
  <c r="D33" i="36"/>
  <c r="U31" i="36"/>
  <c r="Q48" i="36"/>
  <c r="G29" i="48" l="1"/>
  <c r="G30" i="48" s="1"/>
  <c r="D42" i="36"/>
  <c r="U42" i="36" s="1"/>
  <c r="U33" i="36"/>
  <c r="D47" i="36"/>
  <c r="U45" i="36"/>
  <c r="W45" i="36" s="1"/>
  <c r="W31" i="36"/>
  <c r="E32" i="48"/>
  <c r="E33" i="48" s="1"/>
  <c r="E21" i="35"/>
  <c r="D48" i="36" l="1"/>
  <c r="U47" i="36"/>
  <c r="W42" i="36"/>
  <c r="G32" i="48"/>
  <c r="G33" i="48" s="1"/>
  <c r="E29" i="35"/>
  <c r="E48" i="35" l="1"/>
  <c r="U48" i="36"/>
  <c r="W47" i="36"/>
  <c r="E53" i="35"/>
  <c r="E31" i="35"/>
  <c r="E39" i="35" l="1"/>
  <c r="E54" i="35" s="1"/>
  <c r="E42" i="35"/>
  <c r="E49" i="35"/>
  <c r="E57" i="35" s="1"/>
  <c r="E44" i="35"/>
  <c r="E43" i="35"/>
  <c r="F9" i="35" l="1"/>
  <c r="F57" i="35" s="1"/>
  <c r="B7" i="48"/>
  <c r="F11" i="35" l="1"/>
  <c r="F31" i="35" l="1"/>
  <c r="F39" i="35" s="1"/>
  <c r="F42" i="35"/>
  <c r="F54" i="35" l="1"/>
  <c r="F43" i="35"/>
  <c r="F44" i="35"/>
  <c r="F49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Frasure</author>
  </authors>
  <commentList>
    <comment ref="E14" authorId="0" shapeId="0" xr:uid="{8DC84EB5-294A-463C-A28E-E98FDBDA0B78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  <comment ref="E43" authorId="0" shapeId="0" xr:uid="{DA5941CE-A60D-4D27-A116-F87614A3D294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  <comment ref="E45" authorId="0" shapeId="0" xr:uid="{33F83D3C-DE46-42E7-A607-46D1E2EEBD9D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</commentList>
</comments>
</file>

<file path=xl/sharedStrings.xml><?xml version="1.0" encoding="utf-8"?>
<sst xmlns="http://schemas.openxmlformats.org/spreadsheetml/2006/main" count="784" uniqueCount="415">
  <si>
    <t>Line</t>
  </si>
  <si>
    <t>Description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</si>
  <si>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</si>
  <si>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</si>
  <si>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</si>
  <si>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</si>
  <si>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</si>
  <si>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</si>
  <si>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</si>
  <si>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</si>
  <si>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</si>
  <si>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</si>
  <si>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</si>
  <si>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</si>
  <si>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TOTAL</t>
  </si>
  <si>
    <t>Adjustment</t>
  </si>
  <si>
    <t>Year</t>
  </si>
  <si>
    <t>Month</t>
  </si>
  <si>
    <t>(1)</t>
  </si>
  <si>
    <t>(3)</t>
  </si>
  <si>
    <t>(2)</t>
  </si>
  <si>
    <t>#</t>
  </si>
  <si>
    <t>Subtotal</t>
  </si>
  <si>
    <t>Revenue</t>
  </si>
  <si>
    <t>Expense</t>
  </si>
  <si>
    <t>(4)</t>
  </si>
  <si>
    <t>Reference Schedule:  1.02</t>
  </si>
  <si>
    <t>Reference Schedule:  1.01</t>
  </si>
  <si>
    <t>Reference Schedule:  1.08</t>
  </si>
  <si>
    <t>Depreciation</t>
  </si>
  <si>
    <t>Donations</t>
  </si>
  <si>
    <t>Rate Case Expenses</t>
  </si>
  <si>
    <t>G&amp;T Capital Credits</t>
  </si>
  <si>
    <t xml:space="preserve">Revenue </t>
  </si>
  <si>
    <t>Total Cost of Electric Service</t>
  </si>
  <si>
    <t>Non-Operating Margins - Interest</t>
  </si>
  <si>
    <t>Non-Operating Margins - Other</t>
  </si>
  <si>
    <t>Test Year Amount</t>
  </si>
  <si>
    <t>Pro Forma Year Amount</t>
  </si>
  <si>
    <t>This adjustment removes the FAC revenues and expenses from the test period.</t>
  </si>
  <si>
    <t>This adjustment removes the Envionmental Surcharge revenues and expenses from the test period.</t>
  </si>
  <si>
    <t>Item</t>
  </si>
  <si>
    <t>Account</t>
  </si>
  <si>
    <t>Total Amount</t>
  </si>
  <si>
    <t>Amortization Period (Years)</t>
  </si>
  <si>
    <t>Total</t>
  </si>
  <si>
    <t>Annual Amortization Amount</t>
  </si>
  <si>
    <t>This adjustment estimates the rate case costs amortized over a 3 year period, consistent with standard Commission practice.</t>
  </si>
  <si>
    <t>This adjustment removes the G&amp;T Capital Credits from the test period, consistent with Commission practice.</t>
  </si>
  <si>
    <t>East Kentucky Power Cooperative</t>
  </si>
  <si>
    <t>Year-End Customers</t>
  </si>
  <si>
    <t>(5)</t>
  </si>
  <si>
    <t>(6)</t>
  </si>
  <si>
    <t>(7)</t>
  </si>
  <si>
    <t>(8)</t>
  </si>
  <si>
    <t>Average</t>
  </si>
  <si>
    <t>Total kWh</t>
  </si>
  <si>
    <t>Average kWh</t>
  </si>
  <si>
    <t>Year-End kWh Adjustment</t>
  </si>
  <si>
    <t>Current Base Rate Revenue</t>
  </si>
  <si>
    <t>Average Revenue per kWh</t>
  </si>
  <si>
    <t>Year End Revenue Adj</t>
  </si>
  <si>
    <t>Revenue Adjustment</t>
  </si>
  <si>
    <t>Expense Adjustment</t>
  </si>
  <si>
    <t>Year End Expense Adj</t>
  </si>
  <si>
    <t>Total Purchased Power Expense</t>
  </si>
  <si>
    <t>Less Environmental Surcharge</t>
  </si>
  <si>
    <t>Less Fuel Adjustment Clause</t>
  </si>
  <si>
    <t>Adjusted Purchased Power Expense</t>
  </si>
  <si>
    <t>Total Purchased Power kWh</t>
  </si>
  <si>
    <t>End of Period Increase over Avg</t>
  </si>
  <si>
    <t>For Expense Adjustment:</t>
  </si>
  <si>
    <t>Avg Adj Purchase Exp per kWh</t>
  </si>
  <si>
    <t>Net Rev</t>
  </si>
  <si>
    <t>Interest on LTD</t>
  </si>
  <si>
    <t>TIER</t>
  </si>
  <si>
    <t>GTCC</t>
  </si>
  <si>
    <t>Operating Revenues</t>
  </si>
  <si>
    <t>Operating Expenses:</t>
  </si>
  <si>
    <t>Purchased Power</t>
  </si>
  <si>
    <t>Distribution Operations</t>
  </si>
  <si>
    <t>Distribution Maintenance</t>
  </si>
  <si>
    <t>Customer Accounts</t>
  </si>
  <si>
    <t>Customer Service</t>
  </si>
  <si>
    <t>Sales Expense</t>
  </si>
  <si>
    <t>A&amp;G</t>
  </si>
  <si>
    <t>Total O&amp;M Expense</t>
  </si>
  <si>
    <t xml:space="preserve">Depreciation </t>
  </si>
  <si>
    <t>Taxes - Other</t>
  </si>
  <si>
    <t>Interest - Other</t>
  </si>
  <si>
    <t>Other Deductions</t>
  </si>
  <si>
    <t>Utility Operating Margins</t>
  </si>
  <si>
    <t>Other Capital Credits</t>
  </si>
  <si>
    <t>Net Margins</t>
  </si>
  <si>
    <t>TIER excluding GTCC</t>
  </si>
  <si>
    <t>OTIER</t>
  </si>
  <si>
    <t>Rate</t>
  </si>
  <si>
    <t>Operating Revenues:</t>
  </si>
  <si>
    <t xml:space="preserve">        FAC &amp; ES</t>
  </si>
  <si>
    <t>Services</t>
  </si>
  <si>
    <t>Total Revenues</t>
  </si>
  <si>
    <t xml:space="preserve">        Base Rates</t>
  </si>
  <si>
    <t xml:space="preserve">    Total Operating Expenses</t>
  </si>
  <si>
    <t>Total Non-Operating Margins</t>
  </si>
  <si>
    <t>Interest on Long Term Debt</t>
  </si>
  <si>
    <t>Interest Expense - Other</t>
  </si>
  <si>
    <t>Base Rates</t>
  </si>
  <si>
    <t>FAC &amp; ES</t>
  </si>
  <si>
    <t>Other Electric Revenue</t>
  </si>
  <si>
    <t>Distribution - Operations</t>
  </si>
  <si>
    <t>Distribution - Maintenance</t>
  </si>
  <si>
    <t>Consumer Accounts</t>
  </si>
  <si>
    <t>Sales</t>
  </si>
  <si>
    <t>Administrative and General</t>
  </si>
  <si>
    <t>Consulting - Catalyst Consulting LLC</t>
  </si>
  <si>
    <t>Actual Test Yr</t>
  </si>
  <si>
    <t>Pro Forma Test Yr</t>
  </si>
  <si>
    <t>Expense Adj</t>
  </si>
  <si>
    <t>Revenue Adj</t>
  </si>
  <si>
    <t>Net Adj</t>
  </si>
  <si>
    <t>Check</t>
  </si>
  <si>
    <t>Reference Schedule:  1.05</t>
  </si>
  <si>
    <t>Reference Schedule:  1.04</t>
  </si>
  <si>
    <t>Reference Schedule:  1.03</t>
  </si>
  <si>
    <t>Reference Schedule:  1.09</t>
  </si>
  <si>
    <t>Environmental Surcharge</t>
  </si>
  <si>
    <t>Stores</t>
  </si>
  <si>
    <t>Transportation</t>
  </si>
  <si>
    <t>Meters</t>
  </si>
  <si>
    <t>Administrative &amp; General</t>
  </si>
  <si>
    <t>580-589</t>
  </si>
  <si>
    <t>Operations</t>
  </si>
  <si>
    <t>590-598</t>
  </si>
  <si>
    <t>Maintenance</t>
  </si>
  <si>
    <t>901-905</t>
  </si>
  <si>
    <t>920-935</t>
  </si>
  <si>
    <t>Pro Forma Adj</t>
  </si>
  <si>
    <t>A</t>
  </si>
  <si>
    <t>B</t>
  </si>
  <si>
    <t>Alloc</t>
  </si>
  <si>
    <t>Labor $</t>
  </si>
  <si>
    <t>Test Yr Ending Bal</t>
  </si>
  <si>
    <t>Normalized Expense</t>
  </si>
  <si>
    <t>Test Year Expense</t>
  </si>
  <si>
    <t>Acct #</t>
  </si>
  <si>
    <t>Fully Depr Items</t>
  </si>
  <si>
    <t>Distribution Plant</t>
  </si>
  <si>
    <t>Station equipment</t>
  </si>
  <si>
    <t>Poles, towers &amp; fixtures</t>
  </si>
  <si>
    <t>Overhead conductors &amp; devices</t>
  </si>
  <si>
    <t>Underground conductor &amp; devices</t>
  </si>
  <si>
    <t>Line transformers</t>
  </si>
  <si>
    <t>Installations on customer premises</t>
  </si>
  <si>
    <t>Land</t>
  </si>
  <si>
    <t>Structures and improvements</t>
  </si>
  <si>
    <t>Office furn and eqt</t>
  </si>
  <si>
    <t>Tools, shop and garage</t>
  </si>
  <si>
    <t>Communications</t>
  </si>
  <si>
    <t>Miscellaneous</t>
  </si>
  <si>
    <t>General Plant</t>
  </si>
  <si>
    <t>Transporation Charged to Clearing</t>
  </si>
  <si>
    <t>Allocation of Clearing to O&amp;M</t>
  </si>
  <si>
    <t>Depr $</t>
  </si>
  <si>
    <t>Distribution &amp; General Subtotal</t>
  </si>
  <si>
    <t>Total Operating Revenue</t>
  </si>
  <si>
    <t>Total Sales of Electric Energy</t>
  </si>
  <si>
    <t>Cash Receipts from Lenders</t>
  </si>
  <si>
    <t>Pro Forma Amount</t>
  </si>
  <si>
    <t>Donations, Promotional Advertising, &amp; Dues</t>
  </si>
  <si>
    <t>Variance</t>
  </si>
  <si>
    <t>Summary of Pro Forma Adjustments</t>
  </si>
  <si>
    <t>Fuel Adjustment Clause</t>
  </si>
  <si>
    <t>Non-Operating Income</t>
  </si>
  <si>
    <t>Net Margin</t>
  </si>
  <si>
    <t>This adjustment adjusts the test year expenses and revenues to reflect the number of customers at the end of the test year.</t>
  </si>
  <si>
    <t>Reference Schedule</t>
  </si>
  <si>
    <t>Summary of Adjustments to Test Year Statement of Operations</t>
  </si>
  <si>
    <t>Summary of Adjustments to Test Year Balance Sheet</t>
  </si>
  <si>
    <t>Assets and Other Debits</t>
  </si>
  <si>
    <t>Total Utility Plant in Service</t>
  </si>
  <si>
    <t>Construction Work in Progress</t>
  </si>
  <si>
    <t>Total Utility Plant</t>
  </si>
  <si>
    <t>Accum Provision for Depr and Amort</t>
  </si>
  <si>
    <t>Net Utility Plant</t>
  </si>
  <si>
    <t>Investment in Assoc Org - Patr Capital</t>
  </si>
  <si>
    <t>Investment in Assoc Org - Other Gen Fnd</t>
  </si>
  <si>
    <t>Investment in Assoc Org - Non Gen Fnd</t>
  </si>
  <si>
    <t>Other Investment</t>
  </si>
  <si>
    <t>Total Other Prop &amp; Investments</t>
  </si>
  <si>
    <t>Cash - General Funds</t>
  </si>
  <si>
    <t>Cash - Construction Fund Trust</t>
  </si>
  <si>
    <t>Special Deposits</t>
  </si>
  <si>
    <t>Temporary Investments</t>
  </si>
  <si>
    <t>Accts Receivable - Other (Net)</t>
  </si>
  <si>
    <t>Accts Receivable - Sales Energy (Net)</t>
  </si>
  <si>
    <t>Renewable Energy Credits</t>
  </si>
  <si>
    <t>Material &amp; Supplies - Elec &amp; Other</t>
  </si>
  <si>
    <t>Prepayments</t>
  </si>
  <si>
    <t>Other Current &amp; Accr Assets</t>
  </si>
  <si>
    <t>Total Current &amp; Accr Assets</t>
  </si>
  <si>
    <t>Other Regulatory Assets</t>
  </si>
  <si>
    <t>Other Deferred Debits</t>
  </si>
  <si>
    <t>Total Assets &amp; Other Debits</t>
  </si>
  <si>
    <t>Liabilities &amp; Other Credits</t>
  </si>
  <si>
    <t>Memberships</t>
  </si>
  <si>
    <t>Patronage Capital</t>
  </si>
  <si>
    <t>Operating Margins - Current Year</t>
  </si>
  <si>
    <t>Non-Operating Margins</t>
  </si>
  <si>
    <t>Other Margins &amp; Equities</t>
  </si>
  <si>
    <t>Total Margins &amp; Equities</t>
  </si>
  <si>
    <t>Long Term Debt - RUS (Net)</t>
  </si>
  <si>
    <t>Long Term Debt - FFB - RUS GUAR</t>
  </si>
  <si>
    <t>Long Term Debt - Other - RUS GUAR</t>
  </si>
  <si>
    <t>Long Term Debt - Other (Net)</t>
  </si>
  <si>
    <t>Long Term Debt - RUS -Econ Dev - Net</t>
  </si>
  <si>
    <t>Total Long Term Debt</t>
  </si>
  <si>
    <t>Accum Operating Provisions</t>
  </si>
  <si>
    <t>Notes Payable</t>
  </si>
  <si>
    <t>Accounts Payable</t>
  </si>
  <si>
    <t>Consumer Deposits</t>
  </si>
  <si>
    <t>Other Current &amp; Accr Liabilities</t>
  </si>
  <si>
    <t>Total Current &amp; Accr Liabilities</t>
  </si>
  <si>
    <t>Regulatory Liabilities</t>
  </si>
  <si>
    <t>Other Deferred Credits</t>
  </si>
  <si>
    <t>Total Liabilities &amp; Other Credits</t>
  </si>
  <si>
    <t>Pro Forma Adjs</t>
  </si>
  <si>
    <t>Statement of Operations &amp; Revenue Requirement</t>
  </si>
  <si>
    <t>Income(Loss) from Equity Investments</t>
  </si>
  <si>
    <t>29a</t>
  </si>
  <si>
    <t>Income(Loss) from Equity Invstmts</t>
  </si>
  <si>
    <t>For the 12 Months Ended December 31, 2019</t>
  </si>
  <si>
    <t>Target TIER</t>
  </si>
  <si>
    <t>Margins at Target TIER</t>
  </si>
  <si>
    <t>Revenue Requirement</t>
  </si>
  <si>
    <t>Revenue Deficiency (Excess)</t>
  </si>
  <si>
    <t>Target OTIER</t>
  </si>
  <si>
    <t>Margins at Target OTIER</t>
  </si>
  <si>
    <t>Life Insurance Premiums</t>
  </si>
  <si>
    <t xml:space="preserve">Test Period </t>
  </si>
  <si>
    <t>Depreciation Expense Normalization</t>
  </si>
  <si>
    <t>Actual Test Year</t>
  </si>
  <si>
    <t>Directors Expense</t>
  </si>
  <si>
    <t>Year-End Customer Normalization</t>
  </si>
  <si>
    <t>This adjustment removes charitable donations, promotional advertising expenses, and other applicable items from the revenue requirement consistent with standard Commission practices.</t>
  </si>
  <si>
    <t>A+B</t>
  </si>
  <si>
    <t>Balance Sheet Accounts</t>
  </si>
  <si>
    <t>This adjustment normalizes depreciation expenses by replacing test year actual expenses with test year end balances, less any fully depreciated items, at approved depreciation rates.</t>
  </si>
  <si>
    <t>907-912</t>
  </si>
  <si>
    <t>Capital</t>
  </si>
  <si>
    <t>Pro Forma Adjustments</t>
  </si>
  <si>
    <t>Checks</t>
  </si>
  <si>
    <t>Sum from Rev Req page</t>
  </si>
  <si>
    <t>Sum from Adj IS page</t>
  </si>
  <si>
    <t>Var from Adj List</t>
  </si>
  <si>
    <t>Non Oper Adj</t>
  </si>
  <si>
    <t xml:space="preserve">Reference Schedule &gt;     </t>
  </si>
  <si>
    <t xml:space="preserve">Item  &gt;     </t>
  </si>
  <si>
    <t>Proposed Rates</t>
  </si>
  <si>
    <t>Increase $</t>
  </si>
  <si>
    <t>Investment in Subsidiary Companies</t>
  </si>
  <si>
    <t>Investment in Economic Development Projects</t>
  </si>
  <si>
    <t>Special Funds</t>
  </si>
  <si>
    <t>Current Maturities LTD</t>
  </si>
  <si>
    <t>Current Maturities LTD - Econ Dev</t>
  </si>
  <si>
    <t>Reference Schedule:  1.07</t>
  </si>
  <si>
    <t>LICKING VALLEY R.E.C.C.</t>
  </si>
  <si>
    <t>Power Operated Equipment</t>
  </si>
  <si>
    <t>Tools &amp; Work Equipment - small</t>
  </si>
  <si>
    <t>Laboratory Equipment</t>
  </si>
  <si>
    <t>Residential A</t>
  </si>
  <si>
    <t>Small Commercial B</t>
  </si>
  <si>
    <t>Large Commercial LP</t>
  </si>
  <si>
    <t>Licking Valley R.E.C.C.</t>
  </si>
  <si>
    <t>Directors Expenses</t>
  </si>
  <si>
    <t>Williams</t>
  </si>
  <si>
    <t>Cundiff</t>
  </si>
  <si>
    <t>Holbrook</t>
  </si>
  <si>
    <t>Hill</t>
  </si>
  <si>
    <t>Porter</t>
  </si>
  <si>
    <t>Howard</t>
  </si>
  <si>
    <t>Stacy</t>
  </si>
  <si>
    <t>NRECA Director Training</t>
  </si>
  <si>
    <t>EKPC Committee Meetings</t>
  </si>
  <si>
    <t>R E Magazine</t>
  </si>
  <si>
    <t>KEC Board &amp; Committee Meetings</t>
  </si>
  <si>
    <t>KEC Annual Meeting</t>
  </si>
  <si>
    <t>Christmas Gifts</t>
  </si>
  <si>
    <t>NRECA AD &amp; D Insurance</t>
  </si>
  <si>
    <t>This adjustment removes certain Director expenses consistent with recent Commission orders and standard Commission practices.</t>
  </si>
  <si>
    <t>Health Insurance Premiums</t>
  </si>
  <si>
    <t>Option</t>
  </si>
  <si>
    <t>Total Cost $</t>
  </si>
  <si>
    <t>Employee %</t>
  </si>
  <si>
    <t>Employee $</t>
  </si>
  <si>
    <t>Utility %</t>
  </si>
  <si>
    <t>Utility $</t>
  </si>
  <si>
    <t>Normalized Test Year</t>
  </si>
  <si>
    <t>Employee</t>
  </si>
  <si>
    <t>Employee &amp; Family</t>
  </si>
  <si>
    <t>Pro Forma Year</t>
  </si>
  <si>
    <t>This adjustment normalizes utility contributions to employee premiums for medical insurance to account for employee contribution amounts instituted after the test period.</t>
  </si>
  <si>
    <t>C</t>
  </si>
  <si>
    <t>D</t>
  </si>
  <si>
    <t>E</t>
  </si>
  <si>
    <t>F</t>
  </si>
  <si>
    <t>G</t>
  </si>
  <si>
    <t>Donations, Advertising &amp; Dues</t>
  </si>
  <si>
    <t>Life Insurance</t>
  </si>
  <si>
    <t>(D * 2)</t>
  </si>
  <si>
    <t>((F-E)/F)*B</t>
  </si>
  <si>
    <t>Empl #</t>
  </si>
  <si>
    <t>Total Premium</t>
  </si>
  <si>
    <t>Ending 2019 Rate</t>
  </si>
  <si>
    <t>Ending 2019 Salary</t>
  </si>
  <si>
    <t>Lesser of $50k or Salary</t>
  </si>
  <si>
    <t>Coverage - 2x Salary</t>
  </si>
  <si>
    <t>Amount to Exclude</t>
  </si>
  <si>
    <t>Allowed Total</t>
  </si>
  <si>
    <t>This adjustment removes Life insurance premiums for coverage above the lesser of an employee's annual salary or $50,000 from the test period.</t>
  </si>
  <si>
    <t>Reference Schedule:  1.06</t>
  </si>
  <si>
    <t>Reference Schedule:  1.10</t>
  </si>
  <si>
    <t>Annual Meeting</t>
  </si>
  <si>
    <t>Membership Dues</t>
  </si>
  <si>
    <t>Operating Margins - Prior Years</t>
  </si>
  <si>
    <t>Wages &amp; Salaries</t>
  </si>
  <si>
    <t>Payroll Taxes</t>
  </si>
  <si>
    <t>Professional Services</t>
  </si>
  <si>
    <t>Lender</t>
  </si>
  <si>
    <t>ID</t>
  </si>
  <si>
    <t>Balance</t>
  </si>
  <si>
    <t>Interest</t>
  </si>
  <si>
    <t>RUS</t>
  </si>
  <si>
    <t>FFB</t>
  </si>
  <si>
    <t>CFC</t>
  </si>
  <si>
    <t>LICKING VALLEY RECC</t>
  </si>
  <si>
    <t>Hours Worked</t>
  </si>
  <si>
    <t>Actual Test Year Wages</t>
  </si>
  <si>
    <t>Current Wage Rate</t>
  </si>
  <si>
    <t>Pro Forma Wages at 2,080 Hours</t>
  </si>
  <si>
    <t>Pro Forma Adjustment</t>
  </si>
  <si>
    <t>Count</t>
  </si>
  <si>
    <t>Actual ID</t>
  </si>
  <si>
    <t>Note</t>
  </si>
  <si>
    <t>Regular</t>
  </si>
  <si>
    <t>Overtime</t>
  </si>
  <si>
    <t>Vac P.Out</t>
  </si>
  <si>
    <t>Other</t>
  </si>
  <si>
    <t>&lt; Hide &gt;</t>
  </si>
  <si>
    <t xml:space="preserve"> </t>
  </si>
  <si>
    <t>Total Expensed + Capitalized</t>
  </si>
  <si>
    <t>NOTES:</t>
  </si>
  <si>
    <t>- No longer employed</t>
  </si>
  <si>
    <t>This adjustment normalizes wages and salaries to account for changes due to wage increases, promotions, retirements, terminations, or new hires for standard year of 2,080 hours.</t>
  </si>
  <si>
    <t>Labor Expense Summary</t>
  </si>
  <si>
    <t>907-910</t>
  </si>
  <si>
    <t xml:space="preserve">Expense Adjustment &gt; </t>
  </si>
  <si>
    <t>101-120</t>
  </si>
  <si>
    <t>Social Security</t>
  </si>
  <si>
    <t>Medicare</t>
  </si>
  <si>
    <t>Federal Unemployment</t>
  </si>
  <si>
    <t>State Unemployment</t>
  </si>
  <si>
    <t>Normalized</t>
  </si>
  <si>
    <t>Up To</t>
  </si>
  <si>
    <t>At</t>
  </si>
  <si>
    <t>All</t>
  </si>
  <si>
    <t>(6)+(8)+</t>
  </si>
  <si>
    <t>Wages</t>
  </si>
  <si>
    <t>(10)+(12)</t>
  </si>
  <si>
    <t>Employee ID</t>
  </si>
  <si>
    <t>Total Difference</t>
  </si>
  <si>
    <t xml:space="preserve">A - </t>
  </si>
  <si>
    <t>No longer employed</t>
  </si>
  <si>
    <t>B -</t>
  </si>
  <si>
    <t>Hired after 2019</t>
  </si>
  <si>
    <t>This adjustment normalizes test year payroll taxes for FICA, Medicare, FUTA and SUTA based on most recent effective rates.</t>
  </si>
  <si>
    <t>Allocation to Accounts</t>
  </si>
  <si>
    <t>Professional Service Fees</t>
  </si>
  <si>
    <t>To Be</t>
  </si>
  <si>
    <t>Date</t>
  </si>
  <si>
    <t>Amount</t>
  </si>
  <si>
    <t>Removed</t>
  </si>
  <si>
    <t>NRECA</t>
  </si>
  <si>
    <t>NRECA Insurance AD&amp;D</t>
  </si>
  <si>
    <t>Attorney Fee</t>
  </si>
  <si>
    <t>Audit</t>
  </si>
  <si>
    <t>Rural Coop Credit Union</t>
  </si>
  <si>
    <t>Christmas Gift</t>
  </si>
  <si>
    <t>990 &amp; Property Tax Return</t>
  </si>
  <si>
    <t>Jones, Nale &amp; Mattingly PLC</t>
  </si>
  <si>
    <t>This adjustment removes certain outside professional services costs from the test period, consistent with Commission practice.</t>
  </si>
  <si>
    <t>For the 12 Months Ended December 31, 2023</t>
  </si>
  <si>
    <t>Reference Schedule:  1.11</t>
  </si>
  <si>
    <t>Reference Schedule:  1.12</t>
  </si>
  <si>
    <t>Reference Schedule:  1.13</t>
  </si>
  <si>
    <t>Reference Schedule:  1.14</t>
  </si>
  <si>
    <t>Interest Expense</t>
  </si>
  <si>
    <t>Legal - Honaker Law Office</t>
  </si>
  <si>
    <t>Oldfield</t>
  </si>
  <si>
    <t>Myles L Holbrook</t>
  </si>
  <si>
    <t>ASC- 715 Retirement Plan</t>
  </si>
  <si>
    <t>Program Specific Audit</t>
  </si>
  <si>
    <t>Honaker Law Office</t>
  </si>
  <si>
    <t>Catalyst Consulting LLC</t>
  </si>
  <si>
    <t>RE Magazine</t>
  </si>
  <si>
    <t>Legal Reporting Service</t>
  </si>
  <si>
    <t>Creekside Stiitchin &amp; More</t>
  </si>
  <si>
    <t>Holbrook &amp; Bass</t>
  </si>
  <si>
    <t>- Hired after test year</t>
  </si>
  <si>
    <t>Amounts for annual audit of financials is normalized to 2023 amount.</t>
  </si>
  <si>
    <t>BS</t>
  </si>
  <si>
    <t>Balance Sheet accounts</t>
  </si>
  <si>
    <t>Large Commercial LPG</t>
  </si>
  <si>
    <t>Rate E2</t>
  </si>
  <si>
    <t>Rate G</t>
  </si>
  <si>
    <t>Less Other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</si>
</sst>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_(* #,##0.00000_);_(* \(#,##0.00000\);_(* &quot;-&quot;??_);_(@_)"/>
    <numFmt numFmtId="168" formatCode="0.0%"/>
    <numFmt numFmtId="169" formatCode="\(#\)"/>
    <numFmt numFmtId="170" formatCode="_(* #,##0.0_);_(* \(#,##0.0\);_(* &quot;-&quot;??_);_(@_)"/>
    <numFmt numFmtId="171" formatCode="m/d/yy;@"/>
    <numFmt numFmtId="172" formatCode="0.000%"/>
    <numFmt numFmtId="173" formatCode="###,###,###,###.00"/>
    <numFmt numFmtId="174" formatCode="_(* #,##0.0000_);_(* \(#,##0.000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2"/>
      <name val="P-TIMES"/>
    </font>
    <font>
      <sz val="11"/>
      <name val="P-TIMES"/>
    </font>
    <font>
      <u/>
      <sz val="11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rgb="FF7030A0"/>
      <name val="Arial"/>
      <family val="2"/>
    </font>
    <font>
      <sz val="10"/>
      <color rgb="FF0000CC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9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  <xf numFmtId="0" fontId="22" fillId="0" borderId="0" applyNumberFormat="0" applyFill="0" applyBorder="0" applyAlignment="0" applyProtection="0"/>
  </cellStyleXfs>
  <cellXfs count="32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4" fillId="0" borderId="0" xfId="3" applyFont="1" applyAlignment="1">
      <alignment horizontal="right"/>
    </xf>
    <xf numFmtId="0" fontId="5" fillId="0" borderId="0" xfId="3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3" xfId="0" applyFont="1" applyBorder="1"/>
    <xf numFmtId="164" fontId="5" fillId="0" borderId="0" xfId="1" applyNumberFormat="1" applyFont="1" applyBorder="1"/>
    <xf numFmtId="164" fontId="5" fillId="0" borderId="0" xfId="1" applyNumberFormat="1" applyFont="1" applyFill="1" applyBorder="1"/>
    <xf numFmtId="0" fontId="5" fillId="0" borderId="2" xfId="0" applyFont="1" applyBorder="1"/>
    <xf numFmtId="164" fontId="5" fillId="0" borderId="2" xfId="1" applyNumberFormat="1" applyFont="1" applyBorder="1"/>
    <xf numFmtId="165" fontId="5" fillId="0" borderId="0" xfId="2" applyNumberFormat="1" applyFont="1"/>
    <xf numFmtId="165" fontId="5" fillId="0" borderId="0" xfId="2" applyNumberFormat="1" applyFont="1" applyFill="1"/>
    <xf numFmtId="43" fontId="5" fillId="0" borderId="0" xfId="2" applyFont="1"/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65" fontId="5" fillId="0" borderId="0" xfId="2" applyNumberFormat="1" applyFont="1" applyBorder="1"/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/>
    </xf>
    <xf numFmtId="165" fontId="2" fillId="0" borderId="0" xfId="2" applyNumberFormat="1" applyFont="1" applyFill="1"/>
    <xf numFmtId="164" fontId="2" fillId="0" borderId="0" xfId="1" applyNumberFormat="1" applyFont="1" applyBorder="1" applyProtection="1"/>
    <xf numFmtId="168" fontId="2" fillId="0" borderId="0" xfId="5" applyNumberFormat="1" applyFont="1" applyBorder="1" applyProtection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69" fontId="2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2" fillId="0" borderId="0" xfId="0" applyFont="1" applyAlignment="1">
      <alignment horizontal="left"/>
    </xf>
    <xf numFmtId="164" fontId="2" fillId="0" borderId="0" xfId="1" applyNumberFormat="1" applyFont="1" applyBorder="1" applyAlignment="1" applyProtection="1">
      <alignment horizontal="center"/>
    </xf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168" fontId="2" fillId="0" borderId="2" xfId="5" applyNumberFormat="1" applyFont="1" applyBorder="1" applyProtection="1"/>
    <xf numFmtId="0" fontId="12" fillId="0" borderId="0" xfId="0" applyFont="1" applyAlignment="1">
      <alignment horizontal="right" wrapText="1"/>
    </xf>
    <xf numFmtId="41" fontId="2" fillId="0" borderId="0" xfId="0" applyNumberFormat="1" applyFont="1"/>
    <xf numFmtId="168" fontId="2" fillId="0" borderId="0" xfId="0" applyNumberFormat="1" applyFont="1"/>
    <xf numFmtId="164" fontId="2" fillId="0" borderId="7" xfId="1" applyNumberFormat="1" applyFont="1" applyBorder="1" applyAlignment="1" applyProtection="1">
      <alignment horizontal="center"/>
    </xf>
    <xf numFmtId="37" fontId="7" fillId="0" borderId="0" xfId="4" applyNumberFormat="1" applyFont="1"/>
    <xf numFmtId="165" fontId="2" fillId="0" borderId="2" xfId="2" applyNumberFormat="1" applyFont="1" applyFill="1" applyBorder="1"/>
    <xf numFmtId="0" fontId="5" fillId="0" borderId="0" xfId="0" applyFont="1" applyAlignment="1">
      <alignment vertical="center"/>
    </xf>
    <xf numFmtId="169" fontId="2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2" fillId="0" borderId="3" xfId="2" applyNumberFormat="1" applyFont="1" applyFill="1" applyBorder="1"/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4" applyFont="1" applyAlignment="1">
      <alignment horizontal="centerContinuous"/>
    </xf>
    <xf numFmtId="0" fontId="7" fillId="0" borderId="0" xfId="4" applyFont="1" applyAlignment="1">
      <alignment horizontal="right"/>
    </xf>
    <xf numFmtId="0" fontId="7" fillId="0" borderId="0" xfId="4" applyFont="1"/>
    <xf numFmtId="0" fontId="10" fillId="0" borderId="0" xfId="4" applyFont="1"/>
    <xf numFmtId="0" fontId="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2" fontId="7" fillId="0" borderId="0" xfId="4" applyNumberFormat="1" applyFont="1" applyAlignment="1">
      <alignment horizontal="center"/>
    </xf>
    <xf numFmtId="0" fontId="11" fillId="0" borderId="0" xfId="4" applyFont="1" applyAlignment="1">
      <alignment horizontal="centerContinuous"/>
    </xf>
    <xf numFmtId="0" fontId="7" fillId="0" borderId="1" xfId="4" applyFont="1" applyBorder="1" applyAlignment="1">
      <alignment horizontal="center" wrapText="1"/>
    </xf>
    <xf numFmtId="0" fontId="10" fillId="0" borderId="1" xfId="4" applyFont="1" applyBorder="1" applyAlignment="1">
      <alignment horizontal="center" wrapText="1"/>
    </xf>
    <xf numFmtId="0" fontId="11" fillId="0" borderId="0" xfId="4" applyFont="1"/>
    <xf numFmtId="165" fontId="7" fillId="0" borderId="0" xfId="2" applyNumberFormat="1" applyFont="1" applyFill="1"/>
    <xf numFmtId="37" fontId="7" fillId="0" borderId="1" xfId="4" applyNumberFormat="1" applyFont="1" applyBorder="1"/>
    <xf numFmtId="0" fontId="7" fillId="0" borderId="5" xfId="4" applyFont="1" applyBorder="1"/>
    <xf numFmtId="37" fontId="7" fillId="0" borderId="5" xfId="4" applyNumberFormat="1" applyFont="1" applyBorder="1"/>
    <xf numFmtId="37" fontId="7" fillId="0" borderId="0" xfId="4" applyNumberFormat="1" applyFont="1" applyAlignment="1">
      <alignment horizontal="right"/>
    </xf>
    <xf numFmtId="0" fontId="7" fillId="0" borderId="6" xfId="4" applyFont="1" applyBorder="1"/>
    <xf numFmtId="37" fontId="7" fillId="0" borderId="6" xfId="4" applyNumberFormat="1" applyFont="1" applyBorder="1"/>
    <xf numFmtId="0" fontId="17" fillId="0" borderId="0" xfId="4" applyFont="1" applyAlignment="1">
      <alignment horizontal="centerContinuous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65" fontId="5" fillId="0" borderId="2" xfId="2" applyNumberFormat="1" applyFont="1" applyBorder="1" applyAlignment="1">
      <alignment vertical="center"/>
    </xf>
    <xf numFmtId="168" fontId="2" fillId="0" borderId="0" xfId="5" applyNumberFormat="1" applyFont="1" applyFill="1" applyBorder="1" applyProtection="1"/>
    <xf numFmtId="168" fontId="2" fillId="0" borderId="3" xfId="5" applyNumberFormat="1" applyFont="1" applyFill="1" applyBorder="1" applyProtection="1"/>
    <xf numFmtId="0" fontId="13" fillId="0" borderId="1" xfId="0" applyFont="1" applyBorder="1" applyAlignment="1">
      <alignment horizontal="center"/>
    </xf>
    <xf numFmtId="169" fontId="13" fillId="0" borderId="1" xfId="0" quotePrefix="1" applyNumberFormat="1" applyFont="1" applyBorder="1" applyAlignment="1">
      <alignment horizontal="center"/>
    </xf>
    <xf numFmtId="0" fontId="16" fillId="0" borderId="0" xfId="0" applyFont="1"/>
    <xf numFmtId="0" fontId="4" fillId="0" borderId="0" xfId="0" applyFont="1"/>
    <xf numFmtId="165" fontId="2" fillId="0" borderId="0" xfId="2" applyNumberFormat="1" applyFont="1" applyProtection="1"/>
    <xf numFmtId="0" fontId="18" fillId="0" borderId="0" xfId="0" applyFont="1" applyAlignment="1">
      <alignment horizontal="left"/>
    </xf>
    <xf numFmtId="0" fontId="18" fillId="0" borderId="0" xfId="0" applyFont="1"/>
    <xf numFmtId="165" fontId="4" fillId="0" borderId="0" xfId="2" applyNumberFormat="1" applyFont="1" applyFill="1" applyAlignment="1"/>
    <xf numFmtId="165" fontId="4" fillId="0" borderId="0" xfId="2" applyNumberFormat="1" applyFont="1" applyFill="1" applyAlignment="1">
      <alignment horizontal="center"/>
    </xf>
    <xf numFmtId="165" fontId="2" fillId="0" borderId="3" xfId="2" applyNumberFormat="1" applyFont="1" applyBorder="1" applyProtection="1"/>
    <xf numFmtId="165" fontId="0" fillId="0" borderId="0" xfId="2" applyNumberFormat="1" applyFont="1" applyFill="1"/>
    <xf numFmtId="165" fontId="2" fillId="0" borderId="0" xfId="2" applyNumberFormat="1" applyFont="1" applyBorder="1" applyProtection="1"/>
    <xf numFmtId="165" fontId="2" fillId="0" borderId="2" xfId="2" applyNumberFormat="1" applyFont="1" applyBorder="1" applyProtection="1"/>
    <xf numFmtId="0" fontId="13" fillId="0" borderId="0" xfId="0" applyFont="1"/>
    <xf numFmtId="165" fontId="19" fillId="0" borderId="0" xfId="0" applyNumberFormat="1" applyFont="1"/>
    <xf numFmtId="165" fontId="2" fillId="0" borderId="8" xfId="2" applyNumberFormat="1" applyFont="1" applyFill="1" applyBorder="1"/>
    <xf numFmtId="43" fontId="2" fillId="0" borderId="0" xfId="2" applyFont="1" applyFill="1"/>
    <xf numFmtId="0" fontId="19" fillId="0" borderId="0" xfId="0" applyFont="1"/>
    <xf numFmtId="165" fontId="2" fillId="0" borderId="0" xfId="2" applyNumberFormat="1" applyFont="1" applyFill="1" applyBorder="1"/>
    <xf numFmtId="0" fontId="20" fillId="0" borderId="0" xfId="0" applyFont="1"/>
    <xf numFmtId="0" fontId="13" fillId="0" borderId="0" xfId="0" applyFont="1" applyAlignment="1">
      <alignment horizontal="center" wrapText="1"/>
    </xf>
    <xf numFmtId="164" fontId="2" fillId="0" borderId="3" xfId="1" applyNumberFormat="1" applyFont="1" applyBorder="1" applyAlignment="1" applyProtection="1">
      <alignment horizontal="center"/>
    </xf>
    <xf numFmtId="164" fontId="2" fillId="0" borderId="2" xfId="1" applyNumberFormat="1" applyFont="1" applyBorder="1" applyAlignment="1" applyProtection="1">
      <alignment horizontal="center"/>
    </xf>
    <xf numFmtId="0" fontId="13" fillId="0" borderId="0" xfId="0" applyFont="1" applyAlignment="1">
      <alignment horizontal="center"/>
    </xf>
    <xf numFmtId="43" fontId="2" fillId="0" borderId="0" xfId="2" applyFont="1" applyBorder="1" applyAlignment="1" applyProtection="1">
      <alignment horizontal="left"/>
    </xf>
    <xf numFmtId="43" fontId="2" fillId="0" borderId="0" xfId="2" applyFont="1" applyBorder="1" applyAlignment="1" applyProtection="1">
      <alignment horizontal="center"/>
    </xf>
    <xf numFmtId="43" fontId="2" fillId="0" borderId="8" xfId="2" applyFont="1" applyBorder="1" applyAlignment="1" applyProtection="1">
      <alignment horizontal="left"/>
    </xf>
    <xf numFmtId="0" fontId="2" fillId="0" borderId="8" xfId="0" applyFont="1" applyBorder="1"/>
    <xf numFmtId="41" fontId="2" fillId="0" borderId="8" xfId="0" applyNumberFormat="1" applyFont="1" applyBorder="1"/>
    <xf numFmtId="10" fontId="2" fillId="0" borderId="8" xfId="0" applyNumberFormat="1" applyFont="1" applyBorder="1"/>
    <xf numFmtId="165" fontId="2" fillId="0" borderId="0" xfId="2" applyNumberFormat="1" applyFont="1" applyFill="1" applyAlignment="1">
      <alignment horizontal="right"/>
    </xf>
    <xf numFmtId="43" fontId="2" fillId="2" borderId="0" xfId="2" applyFont="1" applyFill="1"/>
    <xf numFmtId="165" fontId="2" fillId="2" borderId="0" xfId="2" applyNumberFormat="1" applyFont="1" applyFill="1"/>
    <xf numFmtId="0" fontId="7" fillId="0" borderId="1" xfId="4" applyFont="1" applyBorder="1" applyAlignment="1">
      <alignment horizontal="right" vertical="center"/>
    </xf>
    <xf numFmtId="37" fontId="5" fillId="0" borderId="0" xfId="0" applyNumberFormat="1" applyFont="1"/>
    <xf numFmtId="10" fontId="2" fillId="0" borderId="0" xfId="0" applyNumberFormat="1" applyFont="1"/>
    <xf numFmtId="164" fontId="2" fillId="0" borderId="0" xfId="1" applyNumberFormat="1" applyFont="1" applyFill="1" applyBorder="1"/>
    <xf numFmtId="43" fontId="19" fillId="0" borderId="0" xfId="2" applyFont="1" applyFill="1"/>
    <xf numFmtId="0" fontId="21" fillId="0" borderId="0" xfId="0" applyFont="1"/>
    <xf numFmtId="0" fontId="12" fillId="0" borderId="0" xfId="0" applyFont="1"/>
    <xf numFmtId="43" fontId="19" fillId="0" borderId="0" xfId="0" applyNumberFormat="1" applyFont="1"/>
    <xf numFmtId="0" fontId="19" fillId="0" borderId="0" xfId="0" applyFont="1" applyAlignment="1">
      <alignment horizontal="center"/>
    </xf>
    <xf numFmtId="165" fontId="2" fillId="2" borderId="0" xfId="0" applyNumberFormat="1" applyFont="1" applyFill="1"/>
    <xf numFmtId="0" fontId="2" fillId="2" borderId="0" xfId="0" applyFont="1" applyFill="1"/>
    <xf numFmtId="165" fontId="2" fillId="0" borderId="3" xfId="2" applyNumberFormat="1" applyFont="1" applyBorder="1"/>
    <xf numFmtId="165" fontId="2" fillId="0" borderId="0" xfId="2" applyNumberFormat="1" applyFont="1" applyBorder="1"/>
    <xf numFmtId="164" fontId="2" fillId="0" borderId="0" xfId="1" applyNumberFormat="1" applyFont="1" applyBorder="1"/>
    <xf numFmtId="165" fontId="2" fillId="0" borderId="0" xfId="0" applyNumberFormat="1" applyFont="1"/>
    <xf numFmtId="164" fontId="2" fillId="0" borderId="0" xfId="1" applyNumberFormat="1" applyFont="1"/>
    <xf numFmtId="166" fontId="2" fillId="0" borderId="0" xfId="1" applyNumberFormat="1" applyFont="1" applyBorder="1"/>
    <xf numFmtId="167" fontId="2" fillId="0" borderId="0" xfId="2" applyNumberFormat="1" applyFont="1" applyBorder="1"/>
    <xf numFmtId="170" fontId="2" fillId="0" borderId="0" xfId="0" applyNumberFormat="1" applyFont="1"/>
    <xf numFmtId="164" fontId="2" fillId="0" borderId="4" xfId="1" applyNumberFormat="1" applyFont="1" applyBorder="1"/>
    <xf numFmtId="0" fontId="2" fillId="0" borderId="4" xfId="0" applyFont="1" applyBorder="1"/>
    <xf numFmtId="164" fontId="13" fillId="0" borderId="1" xfId="1" applyNumberFormat="1" applyFont="1" applyBorder="1" applyAlignment="1">
      <alignment horizontal="right"/>
    </xf>
    <xf numFmtId="164" fontId="2" fillId="0" borderId="0" xfId="0" applyNumberFormat="1" applyFont="1"/>
    <xf numFmtId="164" fontId="2" fillId="0" borderId="2" xfId="1" applyNumberFormat="1" applyFont="1" applyBorder="1"/>
    <xf numFmtId="0" fontId="13" fillId="0" borderId="1" xfId="0" applyFont="1" applyBorder="1"/>
    <xf numFmtId="0" fontId="13" fillId="0" borderId="0" xfId="3" applyFont="1" applyAlignment="1">
      <alignment horizontal="right"/>
    </xf>
    <xf numFmtId="0" fontId="2" fillId="0" borderId="0" xfId="3" applyFont="1"/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10" fontId="2" fillId="0" borderId="0" xfId="5" applyNumberFormat="1" applyFont="1"/>
    <xf numFmtId="0" fontId="2" fillId="0" borderId="3" xfId="0" applyFont="1" applyBorder="1" applyAlignment="1">
      <alignment horizontal="right"/>
    </xf>
    <xf numFmtId="41" fontId="2" fillId="0" borderId="3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0" xfId="0" applyFont="1" applyAlignment="1">
      <alignment horizontal="right"/>
    </xf>
    <xf numFmtId="164" fontId="2" fillId="0" borderId="8" xfId="1" applyNumberFormat="1" applyFont="1" applyBorder="1"/>
    <xf numFmtId="41" fontId="2" fillId="0" borderId="2" xfId="0" applyNumberFormat="1" applyFont="1" applyBorder="1"/>
    <xf numFmtId="41" fontId="13" fillId="0" borderId="2" xfId="0" applyNumberFormat="1" applyFont="1" applyBorder="1"/>
    <xf numFmtId="171" fontId="13" fillId="0" borderId="0" xfId="0" quotePrefix="1" applyNumberFormat="1" applyFont="1" applyAlignment="1">
      <alignment horizontal="center" wrapText="1"/>
    </xf>
    <xf numFmtId="0" fontId="13" fillId="0" borderId="0" xfId="0" quotePrefix="1" applyFont="1" applyAlignment="1">
      <alignment horizontal="center" wrapText="1"/>
    </xf>
    <xf numFmtId="0" fontId="6" fillId="0" borderId="0" xfId="0" applyFont="1"/>
    <xf numFmtId="171" fontId="6" fillId="0" borderId="0" xfId="0" applyNumberFormat="1" applyFont="1" applyAlignment="1">
      <alignment horizontal="left"/>
    </xf>
    <xf numFmtId="171" fontId="2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center"/>
    </xf>
    <xf numFmtId="171" fontId="2" fillId="0" borderId="0" xfId="0" applyNumberFormat="1" applyFont="1" applyAlignment="1">
      <alignment horizontal="center" wrapText="1"/>
    </xf>
    <xf numFmtId="165" fontId="2" fillId="0" borderId="0" xfId="2" applyNumberFormat="1" applyFont="1" applyFill="1" applyAlignment="1"/>
    <xf numFmtId="10" fontId="2" fillId="0" borderId="0" xfId="5" applyNumberFormat="1" applyFont="1" applyFill="1" applyAlignment="1"/>
    <xf numFmtId="165" fontId="2" fillId="0" borderId="1" xfId="2" applyNumberFormat="1" applyFont="1" applyFill="1" applyBorder="1" applyAlignment="1"/>
    <xf numFmtId="165" fontId="2" fillId="0" borderId="3" xfId="2" applyNumberFormat="1" applyFont="1" applyFill="1" applyBorder="1" applyAlignment="1">
      <alignment horizontal="right"/>
    </xf>
    <xf numFmtId="165" fontId="2" fillId="0" borderId="3" xfId="2" applyNumberFormat="1" applyFont="1" applyFill="1" applyBorder="1" applyAlignment="1"/>
    <xf numFmtId="10" fontId="2" fillId="0" borderId="3" xfId="2" applyNumberFormat="1" applyFont="1" applyFill="1" applyBorder="1" applyAlignment="1"/>
    <xf numFmtId="10" fontId="2" fillId="0" borderId="0" xfId="2" applyNumberFormat="1" applyFont="1" applyFill="1"/>
    <xf numFmtId="165" fontId="6" fillId="0" borderId="0" xfId="2" applyNumberFormat="1" applyFont="1" applyFill="1" applyAlignment="1"/>
    <xf numFmtId="0" fontId="6" fillId="0" borderId="0" xfId="0" applyFont="1" applyAlignment="1">
      <alignment horizontal="left"/>
    </xf>
    <xf numFmtId="0" fontId="13" fillId="0" borderId="2" xfId="0" applyFont="1" applyBorder="1"/>
    <xf numFmtId="165" fontId="2" fillId="0" borderId="2" xfId="2" applyNumberFormat="1" applyFont="1" applyFill="1" applyBorder="1" applyAlignment="1">
      <alignment horizontal="right"/>
    </xf>
    <xf numFmtId="44" fontId="2" fillId="0" borderId="0" xfId="1" applyFont="1"/>
    <xf numFmtId="164" fontId="2" fillId="0" borderId="3" xfId="1" applyNumberFormat="1" applyFont="1" applyFill="1" applyBorder="1"/>
    <xf numFmtId="165" fontId="2" fillId="0" borderId="0" xfId="2" applyNumberFormat="1" applyFont="1" applyFill="1" applyProtection="1"/>
    <xf numFmtId="164" fontId="2" fillId="0" borderId="3" xfId="1" applyNumberFormat="1" applyFont="1" applyBorder="1"/>
    <xf numFmtId="164" fontId="2" fillId="0" borderId="2" xfId="0" applyNumberFormat="1" applyFont="1" applyBorder="1"/>
    <xf numFmtId="165" fontId="2" fillId="0" borderId="0" xfId="2" applyNumberFormat="1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3" fillId="0" borderId="0" xfId="3" applyFont="1"/>
    <xf numFmtId="0" fontId="13" fillId="0" borderId="1" xfId="0" quotePrefix="1" applyFont="1" applyBorder="1" applyAlignment="1">
      <alignment horizontal="left"/>
    </xf>
    <xf numFmtId="0" fontId="13" fillId="0" borderId="1" xfId="0" quotePrefix="1" applyFont="1" applyBorder="1" applyAlignment="1">
      <alignment horizontal="center"/>
    </xf>
    <xf numFmtId="0" fontId="12" fillId="0" borderId="0" xfId="0" applyFont="1" applyAlignment="1">
      <alignment horizontal="right"/>
    </xf>
    <xf numFmtId="9" fontId="19" fillId="0" borderId="0" xfId="0" applyNumberFormat="1" applyFont="1"/>
    <xf numFmtId="0" fontId="12" fillId="0" borderId="0" xfId="9" applyFont="1"/>
    <xf numFmtId="0" fontId="23" fillId="0" borderId="0" xfId="0" applyFont="1" applyAlignment="1">
      <alignment horizontal="right"/>
    </xf>
    <xf numFmtId="0" fontId="23" fillId="0" borderId="0" xfId="0" applyFont="1"/>
    <xf numFmtId="10" fontId="2" fillId="0" borderId="0" xfId="5" applyNumberFormat="1" applyFont="1" applyBorder="1" applyProtection="1"/>
    <xf numFmtId="0" fontId="2" fillId="0" borderId="0" xfId="3" applyFont="1" applyAlignment="1">
      <alignment horizontal="left"/>
    </xf>
    <xf numFmtId="0" fontId="2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wrapText="1"/>
    </xf>
    <xf numFmtId="44" fontId="2" fillId="0" borderId="0" xfId="0" applyNumberFormat="1" applyFont="1"/>
    <xf numFmtId="44" fontId="2" fillId="0" borderId="0" xfId="1" applyFont="1" applyFill="1"/>
    <xf numFmtId="43" fontId="2" fillId="0" borderId="0" xfId="2" applyFont="1"/>
    <xf numFmtId="44" fontId="2" fillId="0" borderId="3" xfId="1" applyFont="1" applyBorder="1"/>
    <xf numFmtId="0" fontId="13" fillId="0" borderId="2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right" wrapText="1"/>
    </xf>
    <xf numFmtId="165" fontId="5" fillId="0" borderId="0" xfId="2" quotePrefix="1" applyNumberFormat="1" applyFont="1" applyBorder="1" applyAlignment="1">
      <alignment horizontal="right"/>
    </xf>
    <xf numFmtId="172" fontId="5" fillId="0" borderId="0" xfId="5" applyNumberFormat="1" applyFont="1" applyBorder="1"/>
    <xf numFmtId="165" fontId="5" fillId="0" borderId="0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10" fontId="5" fillId="0" borderId="2" xfId="0" applyNumberFormat="1" applyFont="1" applyBorder="1"/>
    <xf numFmtId="164" fontId="4" fillId="0" borderId="2" xfId="1" applyNumberFormat="1" applyFont="1" applyBorder="1"/>
    <xf numFmtId="43" fontId="5" fillId="0" borderId="0" xfId="0" applyNumberFormat="1" applyFont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wrapText="1"/>
    </xf>
    <xf numFmtId="0" fontId="2" fillId="4" borderId="0" xfId="3" applyFont="1" applyFill="1" applyAlignment="1">
      <alignment horizontal="center"/>
    </xf>
    <xf numFmtId="169" fontId="2" fillId="3" borderId="1" xfId="0" quotePrefix="1" applyNumberFormat="1" applyFont="1" applyFill="1" applyBorder="1" applyAlignment="1">
      <alignment horizontal="center"/>
    </xf>
    <xf numFmtId="41" fontId="2" fillId="0" borderId="0" xfId="2" applyNumberFormat="1" applyFont="1" applyFill="1"/>
    <xf numFmtId="2" fontId="2" fillId="0" borderId="0" xfId="0" applyNumberFormat="1" applyFont="1"/>
    <xf numFmtId="37" fontId="2" fillId="0" borderId="0" xfId="0" applyNumberFormat="1" applyFont="1"/>
    <xf numFmtId="0" fontId="25" fillId="4" borderId="0" xfId="3" applyFont="1" applyFill="1" applyAlignment="1">
      <alignment horizontal="center"/>
    </xf>
    <xf numFmtId="164" fontId="25" fillId="0" borderId="0" xfId="1" applyNumberFormat="1" applyFont="1"/>
    <xf numFmtId="165" fontId="2" fillId="4" borderId="0" xfId="2" applyNumberFormat="1" applyFont="1" applyFill="1"/>
    <xf numFmtId="165" fontId="2" fillId="4" borderId="0" xfId="2" applyNumberFormat="1" applyFont="1" applyFill="1" applyAlignment="1">
      <alignment horizontal="center" wrapText="1"/>
    </xf>
    <xf numFmtId="165" fontId="2" fillId="4" borderId="0" xfId="2" applyNumberFormat="1" applyFont="1" applyFill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3" fontId="2" fillId="4" borderId="0" xfId="2" applyFont="1" applyFill="1" applyAlignment="1">
      <alignment vertical="center"/>
    </xf>
    <xf numFmtId="0" fontId="2" fillId="4" borderId="0" xfId="0" applyFont="1" applyFill="1" applyAlignment="1">
      <alignment horizontal="center" vertical="center" wrapText="1"/>
    </xf>
    <xf numFmtId="0" fontId="2" fillId="4" borderId="0" xfId="3" applyFont="1" applyFill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0" fontId="2" fillId="0" borderId="0" xfId="0" quotePrefix="1" applyFont="1"/>
    <xf numFmtId="0" fontId="12" fillId="0" borderId="0" xfId="0" applyFont="1" applyAlignment="1">
      <alignment horizontal="center"/>
    </xf>
    <xf numFmtId="164" fontId="2" fillId="0" borderId="0" xfId="1" applyNumberFormat="1" applyFont="1" applyFill="1" applyBorder="1" applyProtection="1"/>
    <xf numFmtId="0" fontId="13" fillId="0" borderId="3" xfId="0" applyFont="1" applyBorder="1" applyAlignment="1">
      <alignment horizontal="left"/>
    </xf>
    <xf numFmtId="10" fontId="2" fillId="0" borderId="3" xfId="5" applyNumberFormat="1" applyFont="1" applyBorder="1" applyProtection="1"/>
    <xf numFmtId="164" fontId="13" fillId="0" borderId="7" xfId="0" applyNumberFormat="1" applyFont="1" applyBorder="1"/>
    <xf numFmtId="164" fontId="2" fillId="0" borderId="0" xfId="1" applyNumberFormat="1" applyFont="1" applyFill="1" applyBorder="1" applyAlignment="1" applyProtection="1">
      <alignment horizontal="center"/>
    </xf>
    <xf numFmtId="164" fontId="2" fillId="0" borderId="3" xfId="0" applyNumberFormat="1" applyFont="1" applyBorder="1"/>
    <xf numFmtId="164" fontId="2" fillId="0" borderId="2" xfId="1" applyNumberFormat="1" applyFont="1" applyBorder="1" applyAlignment="1" applyProtection="1"/>
    <xf numFmtId="164" fontId="26" fillId="0" borderId="0" xfId="1" applyNumberFormat="1" applyFont="1" applyBorder="1" applyProtection="1"/>
    <xf numFmtId="168" fontId="2" fillId="0" borderId="0" xfId="5" applyNumberFormat="1" applyFont="1" applyBorder="1"/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4" xfId="0" quotePrefix="1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6" fontId="2" fillId="0" borderId="15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6" fontId="2" fillId="0" borderId="0" xfId="0" applyNumberFormat="1" applyFont="1" applyAlignment="1">
      <alignment horizontal="center"/>
    </xf>
    <xf numFmtId="6" fontId="2" fillId="0" borderId="14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169" fontId="2" fillId="0" borderId="11" xfId="0" quotePrefix="1" applyNumberFormat="1" applyFont="1" applyBorder="1" applyAlignment="1">
      <alignment horizontal="center"/>
    </xf>
    <xf numFmtId="169" fontId="2" fillId="0" borderId="8" xfId="0" quotePrefix="1" applyNumberFormat="1" applyFont="1" applyBorder="1" applyAlignment="1">
      <alignment horizontal="center"/>
    </xf>
    <xf numFmtId="169" fontId="2" fillId="0" borderId="12" xfId="0" quotePrefix="1" applyNumberFormat="1" applyFont="1" applyBorder="1" applyAlignment="1">
      <alignment horizontal="center"/>
    </xf>
    <xf numFmtId="169" fontId="2" fillId="0" borderId="7" xfId="0" quotePrefix="1" applyNumberFormat="1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168" fontId="2" fillId="0" borderId="0" xfId="5" applyNumberFormat="1" applyFont="1"/>
    <xf numFmtId="14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1" fontId="2" fillId="0" borderId="0" xfId="2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3" fillId="0" borderId="8" xfId="0" applyFont="1" applyBorder="1" applyAlignment="1">
      <alignment horizontal="center" vertical="center"/>
    </xf>
    <xf numFmtId="165" fontId="2" fillId="0" borderId="8" xfId="2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38" fontId="2" fillId="0" borderId="0" xfId="2" applyNumberFormat="1" applyFont="1" applyAlignment="1">
      <alignment vertical="center"/>
    </xf>
    <xf numFmtId="165" fontId="2" fillId="0" borderId="0" xfId="2" applyNumberFormat="1" applyFont="1" applyBorder="1" applyAlignment="1">
      <alignment horizontal="right"/>
    </xf>
    <xf numFmtId="0" fontId="13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0" fontId="2" fillId="0" borderId="3" xfId="5" applyNumberFormat="1" applyFont="1" applyBorder="1"/>
    <xf numFmtId="165" fontId="13" fillId="0" borderId="7" xfId="2" applyNumberFormat="1" applyFont="1" applyBorder="1"/>
    <xf numFmtId="165" fontId="2" fillId="0" borderId="2" xfId="2" applyNumberFormat="1" applyFont="1" applyBorder="1"/>
    <xf numFmtId="10" fontId="2" fillId="0" borderId="2" xfId="5" applyNumberFormat="1" applyFont="1" applyBorder="1"/>
    <xf numFmtId="0" fontId="2" fillId="0" borderId="0" xfId="0" applyFont="1" applyAlignment="1">
      <alignment horizontal="left" vertical="top" wrapText="1"/>
    </xf>
    <xf numFmtId="174" fontId="2" fillId="0" borderId="3" xfId="2" applyNumberFormat="1" applyFont="1" applyBorder="1"/>
    <xf numFmtId="164" fontId="2" fillId="0" borderId="0" xfId="1" applyNumberFormat="1" applyFont="1" applyBorder="1" applyAlignment="1">
      <alignment horizontal="right"/>
    </xf>
    <xf numFmtId="0" fontId="2" fillId="0" borderId="1" xfId="0" applyFont="1" applyBorder="1"/>
    <xf numFmtId="164" fontId="19" fillId="0" borderId="0" xfId="1" applyNumberFormat="1" applyFont="1"/>
    <xf numFmtId="164" fontId="19" fillId="0" borderId="0" xfId="1" applyNumberFormat="1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174" fontId="2" fillId="0" borderId="0" xfId="2" applyNumberFormat="1" applyFont="1" applyBorder="1"/>
    <xf numFmtId="0" fontId="13" fillId="0" borderId="0" xfId="3" applyFont="1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4" applyFont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3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164" fontId="4" fillId="0" borderId="7" xfId="1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3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164" fontId="2" fillId="0" borderId="0" xfId="1" applyNumberFormat="1" applyFont="1" applyBorder="1" applyAlignment="1" applyProtection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43" fontId="2" fillId="5" borderId="0" xfId="2" applyFont="1" applyFill="1"/>
    <xf numFmtId="165" fontId="2" fillId="0" borderId="7" xfId="2" applyNumberFormat="1" applyFont="1" applyFill="1" applyBorder="1"/>
    <xf numFmtId="164" fontId="2" fillId="0" borderId="0" xfId="1" applyNumberFormat="1" applyFont="1" applyFill="1"/>
    <xf numFmtId="165" fontId="2" fillId="0" borderId="1" xfId="2" applyNumberFormat="1" applyFont="1" applyFill="1" applyBorder="1" applyAlignment="1">
      <alignment horizontal="right"/>
    </xf>
    <xf numFmtId="10" fontId="2" fillId="0" borderId="1" xfId="5" applyNumberFormat="1" applyFont="1" applyFill="1" applyBorder="1" applyAlignment="1"/>
    <xf numFmtId="41" fontId="2" fillId="0" borderId="0" xfId="0" applyNumberFormat="1" applyFont="1" applyFill="1"/>
    <xf numFmtId="10" fontId="2" fillId="0" borderId="0" xfId="5" applyNumberFormat="1" applyFont="1" applyFill="1" applyBorder="1" applyProtection="1"/>
    <xf numFmtId="10" fontId="2" fillId="0" borderId="0" xfId="0" applyNumberFormat="1" applyFont="1" applyFill="1"/>
    <xf numFmtId="165" fontId="13" fillId="0" borderId="2" xfId="2" applyNumberFormat="1" applyFont="1" applyFill="1" applyBorder="1" applyAlignment="1"/>
    <xf numFmtId="164" fontId="13" fillId="0" borderId="2" xfId="1" applyNumberFormat="1" applyFont="1" applyBorder="1"/>
    <xf numFmtId="164" fontId="13" fillId="0" borderId="2" xfId="0" applyNumberFormat="1" applyFont="1" applyBorder="1"/>
    <xf numFmtId="0" fontId="7" fillId="0" borderId="0" xfId="0" applyFont="1"/>
    <xf numFmtId="44" fontId="7" fillId="0" borderId="0" xfId="1" applyFont="1"/>
    <xf numFmtId="44" fontId="2" fillId="0" borderId="0" xfId="2" applyNumberFormat="1" applyFont="1" applyBorder="1"/>
    <xf numFmtId="43" fontId="7" fillId="0" borderId="0" xfId="2" applyFont="1"/>
    <xf numFmtId="0" fontId="2" fillId="0" borderId="0" xfId="0" applyFont="1" applyAlignment="1">
      <alignment horizontal="left" vertical="center"/>
    </xf>
    <xf numFmtId="44" fontId="13" fillId="0" borderId="2" xfId="2" applyNumberFormat="1" applyFont="1" applyBorder="1"/>
    <xf numFmtId="44" fontId="2" fillId="0" borderId="3" xfId="0" applyNumberFormat="1" applyFont="1" applyBorder="1"/>
    <xf numFmtId="14" fontId="2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left"/>
    </xf>
    <xf numFmtId="173" fontId="2" fillId="0" borderId="0" xfId="0" quotePrefix="1" applyNumberFormat="1" applyFont="1"/>
    <xf numFmtId="173" fontId="2" fillId="0" borderId="0" xfId="0" applyNumberFormat="1" applyFont="1"/>
    <xf numFmtId="0" fontId="2" fillId="0" borderId="3" xfId="0" applyFont="1" applyBorder="1" applyAlignment="1">
      <alignment horizontal="left"/>
    </xf>
    <xf numFmtId="173" fontId="2" fillId="0" borderId="3" xfId="0" applyNumberFormat="1" applyFont="1" applyBorder="1"/>
    <xf numFmtId="43" fontId="2" fillId="0" borderId="3" xfId="2" applyFont="1" applyFill="1" applyBorder="1"/>
    <xf numFmtId="43" fontId="2" fillId="0" borderId="0" xfId="2" applyFont="1" applyFill="1" applyBorder="1"/>
    <xf numFmtId="164" fontId="13" fillId="0" borderId="20" xfId="1" applyNumberFormat="1" applyFont="1" applyFill="1" applyBorder="1"/>
    <xf numFmtId="165" fontId="0" fillId="0" borderId="0" xfId="0" applyNumberFormat="1"/>
  </cellXfs>
  <cellStyles count="10">
    <cellStyle name="Comma" xfId="2" builtinId="3"/>
    <cellStyle name="Comma 2" xfId="6" xr:uid="{00000000-0005-0000-0000-000001000000}"/>
    <cellStyle name="Currency" xfId="1" builtinId="4"/>
    <cellStyle name="Currency 2" xfId="7" xr:uid="{00000000-0005-0000-0000-000003000000}"/>
    <cellStyle name="Hyperlink" xfId="9" builtinId="8"/>
    <cellStyle name="Normal" xfId="0" builtinId="0"/>
    <cellStyle name="Normal 2" xfId="3" xr:uid="{00000000-0005-0000-0000-000005000000}"/>
    <cellStyle name="Normal 3" xfId="4" xr:uid="{00000000-0005-0000-0000-000006000000}"/>
    <cellStyle name="Normal 4" xfId="8" xr:uid="{00000000-0005-0000-0000-000007000000}"/>
    <cellStyle name="Percent" xfId="5" builtinId="5"/>
  </cellStyles>
  <dxfs count="16"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00CC"/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9"/>
  <sheetViews>
    <sheetView view="pageBreakPreview" topLeftCell="A29" zoomScaleNormal="75" zoomScaleSheetLayoutView="100" workbookViewId="0">
      <selection activeCell="I61" sqref="I61"/>
    </sheetView>
  </sheetViews>
  <sheetFormatPr defaultColWidth="9.109375" defaultRowHeight="14.4"/>
  <cols>
    <col min="1" max="1" width="9.109375" style="112"/>
    <col min="2" max="2" width="26.33203125" style="88" customWidth="1"/>
    <col min="3" max="3" width="16.33203125" style="88" customWidth="1"/>
    <col min="4" max="4" width="13.109375" style="88" customWidth="1"/>
    <col min="5" max="6" width="13.44140625" style="88" customWidth="1"/>
    <col min="7" max="7" width="9.109375" style="88"/>
    <col min="8" max="8" width="14.33203125" style="88" bestFit="1" customWidth="1"/>
    <col min="9" max="9" width="11.33203125" style="88" bestFit="1" customWidth="1"/>
    <col min="10" max="16384" width="9.109375" style="88"/>
  </cols>
  <sheetData>
    <row r="1" spans="1:9">
      <c r="A1" s="84" t="s">
        <v>265</v>
      </c>
      <c r="B1" s="84"/>
      <c r="C1" s="84"/>
      <c r="D1" s="84"/>
      <c r="E1" s="84"/>
      <c r="F1" s="84"/>
      <c r="H1" s="108"/>
    </row>
    <row r="2" spans="1:9">
      <c r="A2" s="84" t="s">
        <v>226</v>
      </c>
      <c r="B2" s="84"/>
      <c r="C2" s="84"/>
      <c r="D2" s="84"/>
      <c r="E2" s="84"/>
      <c r="F2" s="84"/>
      <c r="H2" s="108"/>
    </row>
    <row r="3" spans="1:9">
      <c r="A3" s="84" t="s">
        <v>390</v>
      </c>
      <c r="B3" s="84"/>
      <c r="C3" s="84"/>
      <c r="D3" s="84"/>
      <c r="E3" s="84"/>
      <c r="F3" s="84"/>
      <c r="H3" s="108"/>
    </row>
    <row r="4" spans="1:9">
      <c r="A4" s="94"/>
      <c r="B4" s="2"/>
      <c r="C4" s="2"/>
      <c r="D4" s="2"/>
      <c r="E4" s="2"/>
      <c r="F4" s="2"/>
      <c r="H4" s="108"/>
    </row>
    <row r="5" spans="1:9">
      <c r="A5" s="1"/>
      <c r="B5" s="2"/>
      <c r="C5" s="94"/>
      <c r="H5" s="108"/>
    </row>
    <row r="6" spans="1:9" ht="41.25" customHeight="1">
      <c r="A6" s="94" t="s">
        <v>0</v>
      </c>
      <c r="B6" s="94" t="s">
        <v>1</v>
      </c>
      <c r="C6" s="91" t="s">
        <v>240</v>
      </c>
      <c r="D6" s="91" t="s">
        <v>249</v>
      </c>
      <c r="E6" s="91" t="s">
        <v>116</v>
      </c>
      <c r="F6" s="91" t="s">
        <v>257</v>
      </c>
      <c r="H6" s="108"/>
    </row>
    <row r="7" spans="1:9" s="109" customFormat="1">
      <c r="A7" s="71" t="s">
        <v>21</v>
      </c>
      <c r="B7" s="72">
        <v>1</v>
      </c>
      <c r="C7" s="72">
        <f>B7+1</f>
        <v>2</v>
      </c>
      <c r="D7" s="72" t="s">
        <v>25</v>
      </c>
      <c r="E7" s="72" t="s">
        <v>51</v>
      </c>
      <c r="F7" s="72" t="s">
        <v>52</v>
      </c>
      <c r="G7" s="88"/>
      <c r="H7" s="108"/>
      <c r="I7" s="88"/>
    </row>
    <row r="8" spans="1:9">
      <c r="A8" s="1">
        <v>1</v>
      </c>
      <c r="B8" s="110" t="s">
        <v>77</v>
      </c>
      <c r="C8" s="85"/>
      <c r="D8" s="85"/>
      <c r="E8" s="85"/>
      <c r="F8" s="85"/>
      <c r="H8" s="108"/>
    </row>
    <row r="9" spans="1:9">
      <c r="A9" s="1">
        <f>A8+1</f>
        <v>2</v>
      </c>
      <c r="B9" s="2" t="s">
        <v>165</v>
      </c>
      <c r="C9" s="23">
        <f>33685308-C10</f>
        <v>33071852</v>
      </c>
      <c r="D9" s="23">
        <f>'1.04 CUST'!F48+'1.01 FAC'!F31+'1.02 ES'!F31</f>
        <v>-2874825.68</v>
      </c>
      <c r="E9" s="23">
        <f>D9+C9</f>
        <v>30197026.32</v>
      </c>
      <c r="F9" s="23">
        <f>E9+E57</f>
        <v>33033971.424610652</v>
      </c>
      <c r="H9" s="108"/>
    </row>
    <row r="10" spans="1:9">
      <c r="A10" s="1">
        <f t="shared" ref="A10:A57" si="0">A9+1</f>
        <v>3</v>
      </c>
      <c r="B10" s="2" t="s">
        <v>108</v>
      </c>
      <c r="C10" s="23">
        <v>613456</v>
      </c>
      <c r="D10" s="23">
        <v>0</v>
      </c>
      <c r="E10" s="23">
        <f>D10+C10</f>
        <v>613456</v>
      </c>
      <c r="F10" s="23">
        <f>E10</f>
        <v>613456</v>
      </c>
    </row>
    <row r="11" spans="1:9">
      <c r="A11" s="1">
        <f t="shared" si="0"/>
        <v>4</v>
      </c>
      <c r="B11" s="32" t="s">
        <v>164</v>
      </c>
      <c r="C11" s="44">
        <f>SUM(C9:C10)</f>
        <v>33685308</v>
      </c>
      <c r="D11" s="44">
        <f>SUM(D9:D10)</f>
        <v>-2874825.68</v>
      </c>
      <c r="E11" s="44">
        <f>SUM(E9:E10)</f>
        <v>30810482.32</v>
      </c>
      <c r="F11" s="44">
        <f>SUM(F9:F10)</f>
        <v>33647427.424610652</v>
      </c>
      <c r="H11" s="111"/>
      <c r="I11" s="111"/>
    </row>
    <row r="12" spans="1:9">
      <c r="A12" s="1">
        <f t="shared" si="0"/>
        <v>5</v>
      </c>
      <c r="B12" s="2"/>
      <c r="C12" s="23"/>
      <c r="D12" s="23"/>
      <c r="E12" s="23"/>
      <c r="F12" s="23"/>
      <c r="H12" s="111"/>
    </row>
    <row r="13" spans="1:9">
      <c r="A13" s="1">
        <f t="shared" si="0"/>
        <v>6</v>
      </c>
      <c r="B13" s="110" t="s">
        <v>78</v>
      </c>
      <c r="C13" s="23"/>
      <c r="D13" s="23"/>
      <c r="E13" s="23"/>
      <c r="F13" s="23"/>
    </row>
    <row r="14" spans="1:9">
      <c r="A14" s="1">
        <f t="shared" si="0"/>
        <v>7</v>
      </c>
      <c r="B14" s="2" t="s">
        <v>79</v>
      </c>
      <c r="C14" s="23">
        <v>22444020</v>
      </c>
      <c r="D14" s="23">
        <f>'1.04 CUST'!G48+'1.01 FAC'!H31+'1.02 ES'!H31</f>
        <v>-2732048.05</v>
      </c>
      <c r="E14" s="23">
        <f t="shared" ref="E14:E20" si="1">D14+C14</f>
        <v>19711971.949999999</v>
      </c>
      <c r="F14" s="23">
        <f>E14</f>
        <v>19711971.949999999</v>
      </c>
    </row>
    <row r="15" spans="1:9">
      <c r="A15" s="1">
        <f t="shared" si="0"/>
        <v>8</v>
      </c>
      <c r="B15" s="2" t="s">
        <v>80</v>
      </c>
      <c r="C15" s="23">
        <v>2104832</v>
      </c>
      <c r="D15" s="23">
        <v>0</v>
      </c>
      <c r="E15" s="23">
        <f t="shared" si="1"/>
        <v>2104832</v>
      </c>
      <c r="F15" s="23">
        <f t="shared" ref="F15:F20" si="2">E15</f>
        <v>2104832</v>
      </c>
    </row>
    <row r="16" spans="1:9">
      <c r="A16" s="1">
        <f t="shared" si="0"/>
        <v>9</v>
      </c>
      <c r="B16" s="2" t="s">
        <v>81</v>
      </c>
      <c r="C16" s="23">
        <v>3940837</v>
      </c>
      <c r="D16" s="23">
        <v>0</v>
      </c>
      <c r="E16" s="23">
        <f t="shared" si="1"/>
        <v>3940837</v>
      </c>
      <c r="F16" s="23">
        <f t="shared" si="2"/>
        <v>3940837</v>
      </c>
    </row>
    <row r="17" spans="1:9">
      <c r="A17" s="1">
        <f t="shared" si="0"/>
        <v>10</v>
      </c>
      <c r="B17" s="2" t="s">
        <v>82</v>
      </c>
      <c r="C17" s="23">
        <v>746294</v>
      </c>
      <c r="D17" s="23">
        <v>0</v>
      </c>
      <c r="E17" s="23">
        <f t="shared" si="1"/>
        <v>746294</v>
      </c>
      <c r="F17" s="23">
        <f t="shared" si="2"/>
        <v>746294</v>
      </c>
    </row>
    <row r="18" spans="1:9">
      <c r="A18" s="1">
        <f t="shared" si="0"/>
        <v>11</v>
      </c>
      <c r="B18" s="2" t="s">
        <v>83</v>
      </c>
      <c r="C18" s="23">
        <v>21473</v>
      </c>
      <c r="D18" s="23">
        <v>0</v>
      </c>
      <c r="E18" s="23">
        <f t="shared" si="1"/>
        <v>21473</v>
      </c>
      <c r="F18" s="23">
        <f t="shared" si="2"/>
        <v>21473</v>
      </c>
    </row>
    <row r="19" spans="1:9">
      <c r="A19" s="1">
        <f t="shared" si="0"/>
        <v>12</v>
      </c>
      <c r="B19" s="2" t="s">
        <v>84</v>
      </c>
      <c r="C19" s="23">
        <v>9485</v>
      </c>
      <c r="D19" s="23">
        <v>0</v>
      </c>
      <c r="E19" s="23">
        <f t="shared" si="1"/>
        <v>9485</v>
      </c>
      <c r="F19" s="23">
        <f t="shared" si="2"/>
        <v>9485</v>
      </c>
    </row>
    <row r="20" spans="1:9">
      <c r="A20" s="1">
        <f t="shared" si="0"/>
        <v>13</v>
      </c>
      <c r="B20" s="2" t="s">
        <v>85</v>
      </c>
      <c r="C20" s="23">
        <v>1208571</v>
      </c>
      <c r="D20" s="23">
        <f>'1.08 AdsDonat'!F20+'1.09 Dir'!K24+'1.03 RC'!E23+'1.06 Health'!G21+'1.10 Life Insur'!H63+'Adj List'!E20+'Adj List'!E18+'Adj List'!E19</f>
        <v>-319773.01700434269</v>
      </c>
      <c r="E20" s="23">
        <f t="shared" si="1"/>
        <v>888797.98299565725</v>
      </c>
      <c r="F20" s="23">
        <f t="shared" si="2"/>
        <v>888797.98299565725</v>
      </c>
    </row>
    <row r="21" spans="1:9">
      <c r="A21" s="1">
        <f t="shared" si="0"/>
        <v>14</v>
      </c>
      <c r="B21" s="32" t="s">
        <v>86</v>
      </c>
      <c r="C21" s="44">
        <f>SUM(C14:C20)</f>
        <v>30475512</v>
      </c>
      <c r="D21" s="44">
        <f>SUM(D14:D20)</f>
        <v>-3051821.0670043426</v>
      </c>
      <c r="E21" s="44">
        <f>SUM(E14:E20)</f>
        <v>27423690.932995655</v>
      </c>
      <c r="F21" s="44">
        <f>SUM(F14:F20)</f>
        <v>27423690.932995655</v>
      </c>
    </row>
    <row r="22" spans="1:9">
      <c r="A22" s="1">
        <f t="shared" si="0"/>
        <v>15</v>
      </c>
      <c r="C22" s="23"/>
      <c r="D22" s="23"/>
      <c r="E22" s="23"/>
      <c r="F22" s="23"/>
    </row>
    <row r="23" spans="1:9">
      <c r="A23" s="1">
        <f t="shared" si="0"/>
        <v>16</v>
      </c>
      <c r="B23" s="2" t="s">
        <v>87</v>
      </c>
      <c r="C23" s="23">
        <v>2882776</v>
      </c>
      <c r="D23" s="23">
        <f>'1.07 Depr'!J40</f>
        <v>239443.28000000014</v>
      </c>
      <c r="E23" s="23">
        <f t="shared" ref="E23:E27" si="3">D23+C23</f>
        <v>3122219.2800000003</v>
      </c>
      <c r="F23" s="23">
        <f>E23</f>
        <v>3122219.2800000003</v>
      </c>
    </row>
    <row r="24" spans="1:9">
      <c r="A24" s="1">
        <f t="shared" si="0"/>
        <v>17</v>
      </c>
      <c r="B24" s="2" t="s">
        <v>88</v>
      </c>
      <c r="C24" s="23">
        <v>37583</v>
      </c>
      <c r="D24" s="23">
        <v>0</v>
      </c>
      <c r="E24" s="23">
        <f t="shared" si="3"/>
        <v>37583</v>
      </c>
      <c r="F24" s="23">
        <f t="shared" ref="F24:F27" si="4">E24</f>
        <v>37583</v>
      </c>
    </row>
    <row r="25" spans="1:9">
      <c r="A25" s="1">
        <f t="shared" si="0"/>
        <v>18</v>
      </c>
      <c r="B25" s="2" t="s">
        <v>74</v>
      </c>
      <c r="C25" s="23">
        <v>1574801</v>
      </c>
      <c r="D25" s="23">
        <f>'Adj List'!E17</f>
        <v>21646.605807500033</v>
      </c>
      <c r="E25" s="23">
        <f t="shared" si="3"/>
        <v>1596447.6058075</v>
      </c>
      <c r="F25" s="23">
        <f t="shared" si="4"/>
        <v>1596447.6058075</v>
      </c>
    </row>
    <row r="26" spans="1:9">
      <c r="A26" s="1">
        <f t="shared" si="0"/>
        <v>19</v>
      </c>
      <c r="B26" s="2" t="s">
        <v>89</v>
      </c>
      <c r="C26" s="23">
        <v>81681</v>
      </c>
      <c r="D26" s="23">
        <v>0</v>
      </c>
      <c r="E26" s="23">
        <f t="shared" si="3"/>
        <v>81681</v>
      </c>
      <c r="F26" s="23">
        <f t="shared" si="4"/>
        <v>81681</v>
      </c>
    </row>
    <row r="27" spans="1:9">
      <c r="A27" s="1">
        <f t="shared" si="0"/>
        <v>20</v>
      </c>
      <c r="B27" s="2" t="s">
        <v>90</v>
      </c>
      <c r="C27" s="23">
        <v>6285</v>
      </c>
      <c r="D27" s="23">
        <v>0</v>
      </c>
      <c r="E27" s="23">
        <f t="shared" si="3"/>
        <v>6285</v>
      </c>
      <c r="F27" s="23">
        <f t="shared" si="4"/>
        <v>6285</v>
      </c>
    </row>
    <row r="28" spans="1:9">
      <c r="A28" s="1">
        <f t="shared" si="0"/>
        <v>21</v>
      </c>
      <c r="C28" s="23"/>
      <c r="D28" s="23"/>
      <c r="E28" s="23"/>
      <c r="F28" s="23"/>
    </row>
    <row r="29" spans="1:9">
      <c r="A29" s="1">
        <f t="shared" si="0"/>
        <v>22</v>
      </c>
      <c r="B29" s="98" t="s">
        <v>34</v>
      </c>
      <c r="C29" s="86">
        <f>SUM(C21:C27)</f>
        <v>35058638</v>
      </c>
      <c r="D29" s="86">
        <f>SUM(D21:D27)</f>
        <v>-2790731.1811968423</v>
      </c>
      <c r="E29" s="86">
        <f>SUM(E21:E27)</f>
        <v>32267906.818803154</v>
      </c>
      <c r="F29" s="86">
        <f>SUM(F21:F27)</f>
        <v>32267906.818803154</v>
      </c>
      <c r="H29" s="85"/>
      <c r="I29" s="85"/>
    </row>
    <row r="30" spans="1:9">
      <c r="A30" s="1">
        <f t="shared" si="0"/>
        <v>23</v>
      </c>
      <c r="C30" s="23"/>
      <c r="D30" s="23"/>
      <c r="E30" s="23"/>
      <c r="F30" s="23"/>
    </row>
    <row r="31" spans="1:9" ht="15" thickBot="1">
      <c r="A31" s="1">
        <f t="shared" si="0"/>
        <v>24</v>
      </c>
      <c r="B31" s="3" t="s">
        <v>91</v>
      </c>
      <c r="C31" s="40">
        <f>C11-C29</f>
        <v>-1373330</v>
      </c>
      <c r="D31" s="40">
        <f>D11-D29</f>
        <v>-84094.498803157825</v>
      </c>
      <c r="E31" s="40">
        <f>E11-E29</f>
        <v>-1457424.4988031536</v>
      </c>
      <c r="F31" s="40">
        <f>F11-F29</f>
        <v>1379520.6058074981</v>
      </c>
      <c r="H31" s="85"/>
    </row>
    <row r="32" spans="1:9" ht="15" thickTop="1">
      <c r="A32" s="1">
        <f t="shared" si="0"/>
        <v>25</v>
      </c>
      <c r="C32" s="23"/>
      <c r="D32" s="23"/>
      <c r="E32" s="23"/>
      <c r="F32" s="23"/>
    </row>
    <row r="33" spans="1:6">
      <c r="A33" s="1">
        <f t="shared" si="0"/>
        <v>26</v>
      </c>
      <c r="B33" s="2" t="s">
        <v>35</v>
      </c>
      <c r="C33" s="23">
        <v>51360</v>
      </c>
      <c r="D33" s="23">
        <v>0</v>
      </c>
      <c r="E33" s="23">
        <f t="shared" ref="E33:E37" si="5">D33+C33</f>
        <v>51360</v>
      </c>
      <c r="F33" s="23">
        <f>E33</f>
        <v>51360</v>
      </c>
    </row>
    <row r="34" spans="1:6">
      <c r="A34" s="1">
        <f t="shared" si="0"/>
        <v>27</v>
      </c>
      <c r="B34" s="2" t="s">
        <v>227</v>
      </c>
      <c r="C34" s="23">
        <v>0</v>
      </c>
      <c r="D34" s="23">
        <v>0</v>
      </c>
      <c r="E34" s="23">
        <f t="shared" si="5"/>
        <v>0</v>
      </c>
      <c r="F34" s="23">
        <f t="shared" ref="F34:F37" si="6">E34</f>
        <v>0</v>
      </c>
    </row>
    <row r="35" spans="1:6">
      <c r="A35" s="1">
        <f t="shared" si="0"/>
        <v>28</v>
      </c>
      <c r="B35" s="2" t="s">
        <v>36</v>
      </c>
      <c r="C35" s="23">
        <v>0</v>
      </c>
      <c r="D35" s="23">
        <v>0</v>
      </c>
      <c r="E35" s="23">
        <f t="shared" si="5"/>
        <v>0</v>
      </c>
      <c r="F35" s="23">
        <f t="shared" si="6"/>
        <v>0</v>
      </c>
    </row>
    <row r="36" spans="1:6">
      <c r="A36" s="1">
        <f t="shared" si="0"/>
        <v>29</v>
      </c>
      <c r="B36" s="2" t="s">
        <v>32</v>
      </c>
      <c r="C36" s="23">
        <v>402409</v>
      </c>
      <c r="D36" s="23">
        <f>'Adj List'!F11</f>
        <v>-402409</v>
      </c>
      <c r="E36" s="101">
        <f t="shared" si="5"/>
        <v>0</v>
      </c>
      <c r="F36" s="101">
        <f t="shared" si="6"/>
        <v>0</v>
      </c>
    </row>
    <row r="37" spans="1:6">
      <c r="A37" s="1">
        <f t="shared" si="0"/>
        <v>30</v>
      </c>
      <c r="B37" s="2" t="s">
        <v>92</v>
      </c>
      <c r="C37" s="23">
        <v>165567</v>
      </c>
      <c r="D37" s="23">
        <v>0</v>
      </c>
      <c r="E37" s="23">
        <f t="shared" si="5"/>
        <v>165567</v>
      </c>
      <c r="F37" s="23">
        <f t="shared" si="6"/>
        <v>165567</v>
      </c>
    </row>
    <row r="38" spans="1:6">
      <c r="A38" s="1">
        <f t="shared" si="0"/>
        <v>31</v>
      </c>
      <c r="B38" s="2"/>
      <c r="C38" s="23"/>
      <c r="D38" s="23"/>
      <c r="E38" s="23"/>
      <c r="F38" s="23"/>
    </row>
    <row r="39" spans="1:6" ht="15" thickBot="1">
      <c r="A39" s="1">
        <f t="shared" si="0"/>
        <v>32</v>
      </c>
      <c r="B39" s="3" t="s">
        <v>93</v>
      </c>
      <c r="C39" s="40">
        <f>C31+SUM(C33:C37)</f>
        <v>-753994</v>
      </c>
      <c r="D39" s="40">
        <f>D31+SUM(D33:D37)</f>
        <v>-486503.49880315783</v>
      </c>
      <c r="E39" s="40">
        <f>E31+SUM(E33:E37)</f>
        <v>-1240497.4988031536</v>
      </c>
      <c r="F39" s="40">
        <f>F31+SUM(F33:F37)</f>
        <v>1596447.6058074981</v>
      </c>
    </row>
    <row r="40" spans="1:6" ht="15" thickTop="1">
      <c r="A40" s="1">
        <f t="shared" si="0"/>
        <v>33</v>
      </c>
      <c r="B40" s="2"/>
      <c r="C40" s="23"/>
      <c r="D40" s="23"/>
      <c r="E40" s="23"/>
      <c r="F40" s="23"/>
    </row>
    <row r="41" spans="1:6">
      <c r="A41" s="1">
        <f t="shared" si="0"/>
        <v>34</v>
      </c>
      <c r="B41" s="2" t="s">
        <v>166</v>
      </c>
      <c r="C41" s="23">
        <v>0</v>
      </c>
      <c r="D41" s="23">
        <v>0</v>
      </c>
      <c r="E41" s="23">
        <f t="shared" ref="E41" si="7">D41+C41</f>
        <v>0</v>
      </c>
      <c r="F41" s="23">
        <f t="shared" ref="F41" si="8">D41+E41</f>
        <v>0</v>
      </c>
    </row>
    <row r="42" spans="1:6">
      <c r="A42" s="1">
        <f t="shared" si="0"/>
        <v>35</v>
      </c>
      <c r="B42" s="2" t="s">
        <v>95</v>
      </c>
      <c r="C42" s="87">
        <f>(C31+C41+C25)/C25</f>
        <v>0.12793425963026439</v>
      </c>
      <c r="D42" s="102"/>
      <c r="E42" s="87">
        <f>(E31+E41+E25)/E25</f>
        <v>8.7082787119735744E-2</v>
      </c>
      <c r="F42" s="87">
        <f>(F31+F41+F25)/F25</f>
        <v>1.8641189355598815</v>
      </c>
    </row>
    <row r="43" spans="1:6">
      <c r="A43" s="1">
        <f t="shared" si="0"/>
        <v>36</v>
      </c>
      <c r="B43" s="2" t="s">
        <v>75</v>
      </c>
      <c r="C43" s="87">
        <f>(C39+C25)/C25</f>
        <v>0.52121315645595856</v>
      </c>
      <c r="D43" s="102"/>
      <c r="E43" s="87">
        <f>(E39+E25)/E25</f>
        <v>0.22296385155985313</v>
      </c>
      <c r="F43" s="87">
        <f>(F39+F25)/F25</f>
        <v>1.9999999999999989</v>
      </c>
    </row>
    <row r="44" spans="1:6">
      <c r="A44" s="1">
        <f t="shared" si="0"/>
        <v>37</v>
      </c>
      <c r="B44" s="2" t="s">
        <v>94</v>
      </c>
      <c r="C44" s="87">
        <f>(C25+C39-C36)/C25</f>
        <v>0.26568309265742146</v>
      </c>
      <c r="D44" s="102"/>
      <c r="E44" s="87">
        <f>(E25+E39-E36)/E25</f>
        <v>0.22296385155985313</v>
      </c>
      <c r="F44" s="87">
        <f>(F25+F39-F36)/F25</f>
        <v>1.9999999999999989</v>
      </c>
    </row>
    <row r="45" spans="1:6" ht="14.25" customHeight="1">
      <c r="A45" s="1">
        <f t="shared" si="0"/>
        <v>38</v>
      </c>
      <c r="B45" s="2"/>
    </row>
    <row r="46" spans="1:6">
      <c r="A46" s="1">
        <f t="shared" si="0"/>
        <v>39</v>
      </c>
      <c r="B46" s="2" t="s">
        <v>231</v>
      </c>
      <c r="C46" s="87">
        <v>2</v>
      </c>
      <c r="D46" s="103"/>
      <c r="E46" s="87">
        <f>C46</f>
        <v>2</v>
      </c>
      <c r="F46" s="87">
        <f>C46</f>
        <v>2</v>
      </c>
    </row>
    <row r="47" spans="1:6">
      <c r="A47" s="1">
        <f t="shared" si="0"/>
        <v>40</v>
      </c>
      <c r="B47" s="2" t="s">
        <v>232</v>
      </c>
      <c r="C47" s="23">
        <f>C46*C25-C25</f>
        <v>1574801</v>
      </c>
      <c r="D47" s="103"/>
      <c r="E47" s="23">
        <f>E46*E25-E25</f>
        <v>1596447.6058075</v>
      </c>
      <c r="F47" s="23">
        <f>F46*F25-F25</f>
        <v>1596447.6058075</v>
      </c>
    </row>
    <row r="48" spans="1:6">
      <c r="A48" s="1">
        <f t="shared" si="0"/>
        <v>41</v>
      </c>
      <c r="B48" s="2" t="s">
        <v>233</v>
      </c>
      <c r="C48" s="23">
        <f>C29+C47</f>
        <v>36633439</v>
      </c>
      <c r="D48" s="103"/>
      <c r="E48" s="23">
        <f>E29+E47</f>
        <v>33864354.424610652</v>
      </c>
      <c r="F48" s="23">
        <f>F29+F47</f>
        <v>33864354.424610652</v>
      </c>
    </row>
    <row r="49" spans="1:6">
      <c r="A49" s="1">
        <f t="shared" si="0"/>
        <v>42</v>
      </c>
      <c r="B49" s="2" t="s">
        <v>234</v>
      </c>
      <c r="C49" s="23">
        <f>C47-C39</f>
        <v>2328795</v>
      </c>
      <c r="D49" s="103"/>
      <c r="E49" s="300">
        <f>E47-E39</f>
        <v>2836945.1046106536</v>
      </c>
      <c r="F49" s="23">
        <f>F47-F39</f>
        <v>1.862645149230957E-9</v>
      </c>
    </row>
    <row r="50" spans="1:6">
      <c r="A50" s="1">
        <f t="shared" si="0"/>
        <v>43</v>
      </c>
      <c r="B50" s="2"/>
      <c r="C50" s="23"/>
      <c r="D50" s="23"/>
      <c r="E50" s="23"/>
      <c r="F50" s="23"/>
    </row>
    <row r="51" spans="1:6" hidden="1">
      <c r="A51" s="1">
        <f t="shared" si="0"/>
        <v>44</v>
      </c>
      <c r="B51" s="2" t="s">
        <v>235</v>
      </c>
      <c r="C51" s="299">
        <v>1.85</v>
      </c>
      <c r="D51" s="103"/>
      <c r="E51" s="87">
        <f>C51</f>
        <v>1.85</v>
      </c>
      <c r="F51" s="87">
        <f>C51</f>
        <v>1.85</v>
      </c>
    </row>
    <row r="52" spans="1:6" hidden="1">
      <c r="A52" s="1">
        <f t="shared" si="0"/>
        <v>45</v>
      </c>
      <c r="B52" s="2" t="s">
        <v>236</v>
      </c>
      <c r="C52" s="23">
        <f>C51*C25-C25-C41+SUM(C33:C37)</f>
        <v>1957916.85</v>
      </c>
      <c r="D52" s="103"/>
      <c r="E52" s="23">
        <f>E51*E25-E25-E41+SUM(E33:E37)</f>
        <v>1573907.4649363752</v>
      </c>
      <c r="F52" s="23">
        <f>F51*F25-F25-F41+SUM(F33:F37)</f>
        <v>1573907.4649363752</v>
      </c>
    </row>
    <row r="53" spans="1:6" hidden="1">
      <c r="A53" s="1">
        <f t="shared" si="0"/>
        <v>46</v>
      </c>
      <c r="B53" s="2" t="s">
        <v>233</v>
      </c>
      <c r="C53" s="23">
        <f>C29+C52</f>
        <v>37016554.850000001</v>
      </c>
      <c r="D53" s="103"/>
      <c r="E53" s="23">
        <f>E29+E52</f>
        <v>33841814.28373953</v>
      </c>
      <c r="F53" s="23">
        <f>F29+F52</f>
        <v>33841814.28373953</v>
      </c>
    </row>
    <row r="54" spans="1:6" hidden="1">
      <c r="A54" s="1">
        <f t="shared" si="0"/>
        <v>47</v>
      </c>
      <c r="B54" s="2" t="s">
        <v>234</v>
      </c>
      <c r="C54" s="23">
        <f>C52-C39</f>
        <v>2711910.85</v>
      </c>
      <c r="D54" s="103"/>
      <c r="E54" s="23">
        <f>E52-E39</f>
        <v>2814404.9637395288</v>
      </c>
      <c r="F54" s="23">
        <f>F52-F39</f>
        <v>-22540.140871122945</v>
      </c>
    </row>
    <row r="55" spans="1:6" hidden="1">
      <c r="A55" s="1">
        <f t="shared" si="0"/>
        <v>48</v>
      </c>
      <c r="D55" s="23"/>
    </row>
    <row r="56" spans="1:6" hidden="1">
      <c r="A56" s="1">
        <f t="shared" si="0"/>
        <v>49</v>
      </c>
      <c r="B56" s="90"/>
    </row>
    <row r="57" spans="1:6">
      <c r="A57" s="1">
        <f t="shared" si="0"/>
        <v>50</v>
      </c>
      <c r="B57" s="2" t="s">
        <v>258</v>
      </c>
      <c r="E57" s="107">
        <f>E49</f>
        <v>2836945.1046106536</v>
      </c>
      <c r="F57" s="107">
        <f>F9-E9</f>
        <v>2836945.1046106517</v>
      </c>
    </row>
    <row r="58" spans="1:6">
      <c r="A58" s="1"/>
      <c r="B58" s="2"/>
      <c r="E58" s="106"/>
      <c r="F58" s="106"/>
    </row>
    <row r="60" spans="1:6">
      <c r="E60" s="85"/>
      <c r="F60" s="85"/>
    </row>
    <row r="61" spans="1:6">
      <c r="A61" s="274"/>
      <c r="B61" s="275"/>
      <c r="C61" s="276"/>
      <c r="D61" s="276"/>
      <c r="E61" s="276"/>
      <c r="F61" s="276"/>
    </row>
    <row r="62" spans="1:6">
      <c r="C62" s="273"/>
      <c r="D62" s="273"/>
      <c r="E62" s="273"/>
      <c r="F62" s="273"/>
    </row>
    <row r="63" spans="1:6">
      <c r="C63" s="272"/>
      <c r="D63" s="272"/>
      <c r="E63" s="272"/>
      <c r="F63" s="272"/>
    </row>
    <row r="64" spans="1:6">
      <c r="C64" s="272"/>
      <c r="D64" s="272"/>
      <c r="E64" s="272"/>
      <c r="F64" s="272"/>
    </row>
    <row r="65" spans="3:6">
      <c r="C65" s="272"/>
      <c r="D65" s="272"/>
      <c r="E65" s="272"/>
      <c r="F65" s="272"/>
    </row>
    <row r="66" spans="3:6">
      <c r="C66" s="111"/>
      <c r="D66" s="111"/>
      <c r="E66" s="111"/>
      <c r="F66" s="111"/>
    </row>
    <row r="67" spans="3:6">
      <c r="C67" s="111"/>
      <c r="D67" s="111"/>
      <c r="E67" s="111"/>
      <c r="F67" s="111"/>
    </row>
    <row r="68" spans="3:6">
      <c r="E68" s="111"/>
    </row>
    <row r="69" spans="3:6">
      <c r="E69" s="111"/>
    </row>
  </sheetData>
  <printOptions horizontalCentered="1"/>
  <pageMargins left="0.7" right="0.7" top="0.75" bottom="0.75" header="0.3" footer="0.3"/>
  <pageSetup scale="88" orientation="portrait" r:id="rId1"/>
  <headerFooter>
    <oddFooter>&amp;R&amp;"Times New Roman,Regular"&amp;12Exhibit JW-2
Page &amp;P of &amp;N</oddFooter>
  </headerFooter>
  <ignoredErrors>
    <ignoredError sqref="C44 F42 F11" evalError="1"/>
    <ignoredError sqref="E21 E29 E31" formula="1"/>
    <ignoredError sqref="D7 E7:F7 J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10086-5E72-4431-A250-46687C36EB62}">
  <sheetPr>
    <pageSetUpPr fitToPage="1"/>
  </sheetPr>
  <dimension ref="A1:L27"/>
  <sheetViews>
    <sheetView view="pageBreakPreview" topLeftCell="A7" zoomScaleNormal="75" zoomScaleSheetLayoutView="100" workbookViewId="0">
      <selection activeCell="I61" sqref="I61"/>
    </sheetView>
  </sheetViews>
  <sheetFormatPr defaultColWidth="8.88671875" defaultRowHeight="14.4"/>
  <cols>
    <col min="1" max="1" width="4.44140625" style="166" customWidth="1"/>
    <col min="2" max="2" width="22.109375" style="88" customWidth="1"/>
    <col min="3" max="3" width="12.6640625" style="167" customWidth="1"/>
    <col min="4" max="7" width="12.6640625" style="88" customWidth="1"/>
    <col min="8" max="9" width="8.88671875" style="88"/>
    <col min="10" max="10" width="7.88671875" style="88" bestFit="1" customWidth="1"/>
    <col min="11" max="11" width="8.44140625" style="88" bestFit="1" customWidth="1"/>
    <col min="12" max="12" width="9.44140625" style="88" bestFit="1" customWidth="1"/>
    <col min="13" max="13" width="10.5546875" style="88" bestFit="1" customWidth="1"/>
    <col min="14" max="16384" width="8.88671875" style="88"/>
  </cols>
  <sheetData>
    <row r="1" spans="1:12">
      <c r="D1" s="129"/>
      <c r="G1" s="129" t="s">
        <v>319</v>
      </c>
    </row>
    <row r="2" spans="1:12">
      <c r="E2" s="129"/>
    </row>
    <row r="3" spans="1:12">
      <c r="B3" s="283" t="str">
        <f>RevReq!A1</f>
        <v>LICKING VALLEY R.E.C.C.</v>
      </c>
      <c r="C3" s="283"/>
      <c r="D3" s="283"/>
      <c r="E3" s="283"/>
      <c r="F3" s="283"/>
      <c r="G3" s="283"/>
      <c r="H3" s="168"/>
      <c r="I3" s="168"/>
    </row>
    <row r="4" spans="1:12">
      <c r="B4" s="283" t="str">
        <f>RevReq!A3</f>
        <v>For the 12 Months Ended December 31, 2023</v>
      </c>
      <c r="C4" s="283"/>
      <c r="D4" s="283"/>
      <c r="E4" s="283"/>
      <c r="F4" s="283"/>
      <c r="G4" s="283"/>
    </row>
    <row r="6" spans="1:12">
      <c r="B6" s="282" t="s">
        <v>289</v>
      </c>
      <c r="C6" s="282"/>
      <c r="D6" s="282"/>
      <c r="E6" s="282"/>
      <c r="F6" s="282"/>
      <c r="G6" s="282"/>
      <c r="H6" s="130"/>
    </row>
    <row r="8" spans="1:12" ht="15" customHeight="1">
      <c r="B8" s="142" t="s">
        <v>290</v>
      </c>
      <c r="C8" s="143" t="s">
        <v>291</v>
      </c>
      <c r="D8" s="94" t="s">
        <v>292</v>
      </c>
      <c r="E8" s="94" t="s">
        <v>293</v>
      </c>
      <c r="F8" s="94" t="s">
        <v>294</v>
      </c>
      <c r="G8" s="94" t="s">
        <v>295</v>
      </c>
      <c r="H8" s="2"/>
    </row>
    <row r="9" spans="1:12">
      <c r="A9" s="169" t="s">
        <v>21</v>
      </c>
      <c r="B9" s="170" t="s">
        <v>18</v>
      </c>
      <c r="C9" s="170" t="s">
        <v>20</v>
      </c>
      <c r="D9" s="170" t="s">
        <v>19</v>
      </c>
      <c r="E9" s="170" t="s">
        <v>25</v>
      </c>
      <c r="F9" s="170" t="s">
        <v>51</v>
      </c>
      <c r="G9" s="170" t="s">
        <v>52</v>
      </c>
      <c r="H9" s="2"/>
    </row>
    <row r="10" spans="1:12">
      <c r="B10" s="2"/>
      <c r="C10" s="135"/>
      <c r="D10" s="2"/>
      <c r="E10" s="2"/>
      <c r="F10" s="2"/>
      <c r="G10" s="144"/>
      <c r="H10" s="2"/>
    </row>
    <row r="11" spans="1:12">
      <c r="B11" s="145" t="s">
        <v>296</v>
      </c>
      <c r="C11" s="146"/>
      <c r="D11" s="1"/>
      <c r="E11" s="147"/>
      <c r="F11" s="148"/>
      <c r="G11" s="144"/>
      <c r="H11" s="2"/>
    </row>
    <row r="12" spans="1:12">
      <c r="A12" s="166">
        <f>1</f>
        <v>1</v>
      </c>
      <c r="B12" s="2" t="s">
        <v>297</v>
      </c>
      <c r="C12" s="101">
        <v>127619</v>
      </c>
      <c r="D12" s="150">
        <v>0</v>
      </c>
      <c r="E12" s="149">
        <f>C12*D12</f>
        <v>0</v>
      </c>
      <c r="F12" s="150">
        <v>1</v>
      </c>
      <c r="G12" s="149">
        <f>C12*F12</f>
        <v>127619</v>
      </c>
      <c r="H12" s="2"/>
    </row>
    <row r="13" spans="1:12">
      <c r="A13" s="166">
        <f>A12+1</f>
        <v>2</v>
      </c>
      <c r="B13" s="2" t="s">
        <v>298</v>
      </c>
      <c r="C13" s="302">
        <v>672073</v>
      </c>
      <c r="D13" s="303">
        <v>0.1037</v>
      </c>
      <c r="E13" s="151">
        <f>C13*D13</f>
        <v>69693.970100000006</v>
      </c>
      <c r="F13" s="303">
        <v>0.89629999999999999</v>
      </c>
      <c r="G13" s="151">
        <f>C13*F13</f>
        <v>602379.02989999996</v>
      </c>
      <c r="H13" s="2"/>
    </row>
    <row r="14" spans="1:12">
      <c r="A14" s="166">
        <f t="shared" ref="A14:A21" si="0">A13+1</f>
        <v>3</v>
      </c>
      <c r="B14" s="32" t="s">
        <v>45</v>
      </c>
      <c r="C14" s="152">
        <f>SUM(C12:C13)</f>
        <v>799692</v>
      </c>
      <c r="D14" s="153"/>
      <c r="E14" s="153">
        <f>SUM(E12:E13)</f>
        <v>69693.970100000006</v>
      </c>
      <c r="F14" s="154"/>
      <c r="G14" s="153">
        <f>SUM(G12:G13)</f>
        <v>729998.02989999996</v>
      </c>
      <c r="H14" s="2"/>
    </row>
    <row r="15" spans="1:12">
      <c r="A15" s="166">
        <f t="shared" si="0"/>
        <v>4</v>
      </c>
      <c r="B15" s="2"/>
      <c r="C15" s="101"/>
      <c r="D15" s="23"/>
      <c r="E15" s="23"/>
      <c r="F15" s="155"/>
      <c r="G15" s="156"/>
      <c r="H15" s="2"/>
    </row>
    <row r="16" spans="1:12">
      <c r="A16" s="166">
        <f t="shared" si="0"/>
        <v>5</v>
      </c>
      <c r="B16" s="157" t="s">
        <v>299</v>
      </c>
      <c r="C16" s="101"/>
      <c r="D16" s="23"/>
      <c r="E16" s="23"/>
      <c r="F16" s="155"/>
      <c r="G16" s="156"/>
      <c r="H16" s="2"/>
      <c r="L16" s="171"/>
    </row>
    <row r="17" spans="1:12">
      <c r="A17" s="166">
        <f t="shared" si="0"/>
        <v>6</v>
      </c>
      <c r="B17" s="2" t="s">
        <v>297</v>
      </c>
      <c r="C17" s="101">
        <f>C12</f>
        <v>127619</v>
      </c>
      <c r="D17" s="150">
        <v>0.21</v>
      </c>
      <c r="E17" s="149">
        <f>C17*D17</f>
        <v>26799.989999999998</v>
      </c>
      <c r="F17" s="150">
        <f>1-D17</f>
        <v>0.79</v>
      </c>
      <c r="G17" s="149">
        <f>C17*F17</f>
        <v>100819.01000000001</v>
      </c>
      <c r="H17" s="2"/>
      <c r="L17" s="172"/>
    </row>
    <row r="18" spans="1:12">
      <c r="A18" s="166">
        <f t="shared" si="0"/>
        <v>7</v>
      </c>
      <c r="B18" s="2" t="s">
        <v>298</v>
      </c>
      <c r="C18" s="101">
        <f>C13</f>
        <v>672073</v>
      </c>
      <c r="D18" s="303">
        <v>0.33</v>
      </c>
      <c r="E18" s="151">
        <f>C18*D18</f>
        <v>221784.09</v>
      </c>
      <c r="F18" s="150">
        <f t="shared" ref="F18" si="1">1-D18</f>
        <v>0.66999999999999993</v>
      </c>
      <c r="G18" s="151">
        <f>C18*F18</f>
        <v>450288.91</v>
      </c>
      <c r="H18" s="2"/>
      <c r="L18" s="172"/>
    </row>
    <row r="19" spans="1:12">
      <c r="A19" s="166">
        <f t="shared" si="0"/>
        <v>8</v>
      </c>
      <c r="B19" s="32" t="s">
        <v>45</v>
      </c>
      <c r="C19" s="152">
        <f>SUM(C17:C18)</f>
        <v>799692</v>
      </c>
      <c r="D19" s="153"/>
      <c r="E19" s="153">
        <f>SUM(E17:E18)</f>
        <v>248584.08</v>
      </c>
      <c r="F19" s="153"/>
      <c r="G19" s="153">
        <f>SUM(G17:G18)</f>
        <v>551107.91999999993</v>
      </c>
      <c r="H19" s="2"/>
      <c r="L19" s="118"/>
    </row>
    <row r="20" spans="1:12">
      <c r="A20" s="166">
        <f t="shared" si="0"/>
        <v>9</v>
      </c>
      <c r="B20" s="2"/>
      <c r="C20" s="101"/>
      <c r="D20" s="23"/>
      <c r="E20" s="23"/>
      <c r="F20" s="23"/>
      <c r="G20" s="23"/>
      <c r="H20" s="2"/>
    </row>
    <row r="21" spans="1:12" ht="15" thickBot="1">
      <c r="A21" s="166">
        <f t="shared" si="0"/>
        <v>10</v>
      </c>
      <c r="B21" s="158" t="s">
        <v>15</v>
      </c>
      <c r="C21" s="159"/>
      <c r="D21" s="40"/>
      <c r="E21" s="40"/>
      <c r="F21" s="40"/>
      <c r="G21" s="307">
        <f>G19-G14</f>
        <v>-178890.10990000004</v>
      </c>
      <c r="H21" s="2"/>
    </row>
    <row r="22" spans="1:12" ht="15" thickTop="1"/>
    <row r="24" spans="1:12" ht="33.6" customHeight="1">
      <c r="B24" s="284" t="s">
        <v>300</v>
      </c>
      <c r="C24" s="284"/>
      <c r="D24" s="284"/>
      <c r="E24" s="284"/>
      <c r="F24" s="284"/>
      <c r="G24" s="284"/>
    </row>
    <row r="25" spans="1:12">
      <c r="B25" s="173"/>
      <c r="C25" s="174"/>
      <c r="D25" s="175"/>
      <c r="E25" s="175"/>
      <c r="F25" s="175"/>
      <c r="G25" s="175"/>
    </row>
    <row r="26" spans="1:12">
      <c r="B26" s="2"/>
      <c r="C26" s="174"/>
      <c r="D26" s="175"/>
      <c r="E26" s="175"/>
      <c r="F26" s="175"/>
      <c r="G26" s="175"/>
    </row>
    <row r="27" spans="1:12">
      <c r="B27" s="2"/>
      <c r="C27" s="174"/>
      <c r="D27" s="175"/>
      <c r="E27" s="175"/>
      <c r="F27" s="175"/>
      <c r="G27" s="175"/>
    </row>
  </sheetData>
  <mergeCells count="4">
    <mergeCell ref="B3:G3"/>
    <mergeCell ref="B4:G4"/>
    <mergeCell ref="B6:G6"/>
    <mergeCell ref="B24:G24"/>
  </mergeCells>
  <printOptions horizontalCentered="1"/>
  <pageMargins left="0.7" right="0.7" top="0.75" bottom="0.75" header="0.3" footer="0.3"/>
  <pageSetup orientation="portrait" r:id="rId1"/>
  <headerFooter>
    <oddFooter>&amp;R&amp;"Times New Roman,Regular"Exhibit JW-2
Page &amp;P of &amp;N</oddFooter>
  </headerFooter>
  <ignoredErrors>
    <ignoredError sqref="B9:G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Y57"/>
  <sheetViews>
    <sheetView view="pageBreakPreview" topLeftCell="A35" zoomScaleNormal="75" zoomScaleSheetLayoutView="100" workbookViewId="0">
      <selection activeCell="I61" sqref="I61"/>
    </sheetView>
  </sheetViews>
  <sheetFormatPr defaultColWidth="9.109375" defaultRowHeight="13.2"/>
  <cols>
    <col min="1" max="1" width="5.88671875" style="2" customWidth="1"/>
    <col min="2" max="2" width="2.33203125" style="2" customWidth="1"/>
    <col min="3" max="3" width="9.33203125" style="2" customWidth="1"/>
    <col min="4" max="4" width="30.5546875" style="2" bestFit="1" customWidth="1"/>
    <col min="5" max="5" width="12.33203125" style="2" customWidth="1"/>
    <col min="6" max="8" width="10.33203125" style="2" bestFit="1" customWidth="1"/>
    <col min="9" max="9" width="13.33203125" style="2" bestFit="1" customWidth="1"/>
    <col min="10" max="10" width="11.5546875" style="2" customWidth="1"/>
    <col min="11" max="14" width="9.109375" style="2"/>
    <col min="15" max="15" width="13.33203125" style="2" bestFit="1" customWidth="1"/>
    <col min="16" max="17" width="9.109375" style="2"/>
    <col min="18" max="18" width="15.33203125" style="2" customWidth="1"/>
    <col min="19" max="16384" width="9.109375" style="2"/>
  </cols>
  <sheetData>
    <row r="1" spans="1:13">
      <c r="G1" s="129"/>
      <c r="J1" s="129" t="s">
        <v>264</v>
      </c>
    </row>
    <row r="2" spans="1:13" ht="20.25" customHeight="1">
      <c r="G2" s="129"/>
    </row>
    <row r="3" spans="1:13">
      <c r="A3" s="283" t="str">
        <f>RevReq!A1</f>
        <v>LICKING VALLEY R.E.C.C.</v>
      </c>
      <c r="B3" s="283"/>
      <c r="C3" s="283"/>
      <c r="D3" s="283"/>
      <c r="E3" s="283"/>
      <c r="F3" s="283"/>
      <c r="G3" s="283"/>
      <c r="H3" s="283"/>
      <c r="I3" s="283"/>
      <c r="J3" s="283"/>
    </row>
    <row r="4" spans="1:13">
      <c r="A4" s="283" t="str">
        <f>RevReq!A3</f>
        <v>For the 12 Months Ended December 31, 2023</v>
      </c>
      <c r="B4" s="283"/>
      <c r="C4" s="283"/>
      <c r="D4" s="283"/>
      <c r="E4" s="283"/>
      <c r="F4" s="283"/>
      <c r="G4" s="283"/>
      <c r="H4" s="283"/>
      <c r="I4" s="283"/>
      <c r="J4" s="283"/>
    </row>
    <row r="6" spans="1:13" s="130" customFormat="1" ht="15" customHeight="1">
      <c r="A6" s="282" t="s">
        <v>29</v>
      </c>
      <c r="B6" s="282"/>
      <c r="C6" s="282"/>
      <c r="D6" s="282"/>
      <c r="E6" s="282"/>
      <c r="F6" s="282"/>
      <c r="G6" s="282"/>
      <c r="H6" s="282"/>
      <c r="I6" s="282"/>
      <c r="J6" s="282"/>
    </row>
    <row r="8" spans="1:13" s="26" customFormat="1" ht="38.25" customHeight="1">
      <c r="A8" s="26" t="s">
        <v>0</v>
      </c>
      <c r="C8" s="26" t="s">
        <v>144</v>
      </c>
      <c r="D8" s="26" t="s">
        <v>1</v>
      </c>
      <c r="E8" s="26" t="s">
        <v>141</v>
      </c>
      <c r="F8" s="26" t="s">
        <v>145</v>
      </c>
      <c r="G8" s="26" t="s">
        <v>96</v>
      </c>
      <c r="H8" s="26" t="s">
        <v>142</v>
      </c>
      <c r="I8" s="26" t="s">
        <v>143</v>
      </c>
      <c r="J8" s="26" t="s">
        <v>136</v>
      </c>
    </row>
    <row r="9" spans="1:13">
      <c r="A9" s="27" t="s">
        <v>21</v>
      </c>
      <c r="B9" s="1"/>
      <c r="C9" s="131" t="s">
        <v>18</v>
      </c>
      <c r="D9" s="131" t="s">
        <v>20</v>
      </c>
      <c r="E9" s="131" t="s">
        <v>19</v>
      </c>
      <c r="F9" s="131" t="s">
        <v>25</v>
      </c>
      <c r="G9" s="131" t="s">
        <v>51</v>
      </c>
      <c r="H9" s="131" t="s">
        <v>52</v>
      </c>
      <c r="I9" s="131" t="s">
        <v>53</v>
      </c>
      <c r="J9" s="131" t="s">
        <v>54</v>
      </c>
    </row>
    <row r="10" spans="1:13">
      <c r="A10" s="1"/>
      <c r="B10" s="1"/>
    </row>
    <row r="11" spans="1:13">
      <c r="A11" s="1">
        <v>1</v>
      </c>
      <c r="B11" s="1"/>
      <c r="C11" s="30" t="s">
        <v>146</v>
      </c>
    </row>
    <row r="12" spans="1:13">
      <c r="A12" s="1">
        <f>A11+1</f>
        <v>2</v>
      </c>
      <c r="B12" s="1"/>
      <c r="C12" s="96">
        <v>362</v>
      </c>
      <c r="D12" s="2" t="s">
        <v>147</v>
      </c>
      <c r="E12" s="304">
        <v>31442</v>
      </c>
      <c r="F12" s="304">
        <v>0</v>
      </c>
      <c r="G12" s="305">
        <v>6.6699999999999995E-2</v>
      </c>
      <c r="H12" s="304">
        <f t="shared" ref="H12:H19" si="0">ROUND(((+E12-F12)*G12),2)</f>
        <v>2097.1799999999998</v>
      </c>
      <c r="I12" s="304">
        <v>2097</v>
      </c>
      <c r="J12" s="36">
        <f t="shared" ref="J12:J19" si="1">H12-I12</f>
        <v>0.17999999999983629</v>
      </c>
      <c r="M12" s="134"/>
    </row>
    <row r="13" spans="1:13">
      <c r="A13" s="1">
        <f t="shared" ref="A13:A56" si="2">A12+1</f>
        <v>3</v>
      </c>
      <c r="B13" s="1"/>
      <c r="C13" s="96">
        <v>364</v>
      </c>
      <c r="D13" s="2" t="s">
        <v>148</v>
      </c>
      <c r="E13" s="304">
        <v>29171649.5</v>
      </c>
      <c r="F13" s="304">
        <v>0</v>
      </c>
      <c r="G13" s="305">
        <v>3.9300000000000002E-2</v>
      </c>
      <c r="H13" s="304">
        <f t="shared" si="0"/>
        <v>1146445.83</v>
      </c>
      <c r="I13" s="304">
        <v>1118839.43</v>
      </c>
      <c r="J13" s="36">
        <f t="shared" si="1"/>
        <v>27606.40000000014</v>
      </c>
      <c r="M13" s="134"/>
    </row>
    <row r="14" spans="1:13">
      <c r="A14" s="1">
        <f t="shared" si="2"/>
        <v>4</v>
      </c>
      <c r="B14" s="1"/>
      <c r="C14" s="96">
        <v>365</v>
      </c>
      <c r="D14" s="2" t="s">
        <v>149</v>
      </c>
      <c r="E14" s="304">
        <v>24523552.109999999</v>
      </c>
      <c r="F14" s="304">
        <v>0</v>
      </c>
      <c r="G14" s="305">
        <v>2.5000000000000001E-2</v>
      </c>
      <c r="H14" s="304">
        <f t="shared" si="0"/>
        <v>613088.80000000005</v>
      </c>
      <c r="I14" s="304">
        <v>600356.41</v>
      </c>
      <c r="J14" s="36">
        <f t="shared" si="1"/>
        <v>12732.390000000014</v>
      </c>
      <c r="M14" s="134"/>
    </row>
    <row r="15" spans="1:13">
      <c r="A15" s="1">
        <f t="shared" si="2"/>
        <v>5</v>
      </c>
      <c r="B15" s="1"/>
      <c r="C15" s="96">
        <v>367</v>
      </c>
      <c r="D15" s="2" t="s">
        <v>150</v>
      </c>
      <c r="E15" s="304">
        <v>883355.49</v>
      </c>
      <c r="F15" s="304">
        <v>0</v>
      </c>
      <c r="G15" s="305">
        <v>2.5000000000000001E-2</v>
      </c>
      <c r="H15" s="304">
        <f t="shared" si="0"/>
        <v>22083.89</v>
      </c>
      <c r="I15" s="304">
        <v>21762.12</v>
      </c>
      <c r="J15" s="36">
        <f t="shared" si="1"/>
        <v>321.77000000000044</v>
      </c>
      <c r="M15" s="134"/>
    </row>
    <row r="16" spans="1:13">
      <c r="A16" s="1">
        <f t="shared" si="2"/>
        <v>6</v>
      </c>
      <c r="B16" s="1"/>
      <c r="C16" s="96">
        <v>368</v>
      </c>
      <c r="D16" s="2" t="s">
        <v>151</v>
      </c>
      <c r="E16" s="304">
        <v>10322214.93</v>
      </c>
      <c r="F16" s="304">
        <v>0</v>
      </c>
      <c r="G16" s="305">
        <v>2.5000000000000001E-2</v>
      </c>
      <c r="H16" s="304">
        <f t="shared" si="0"/>
        <v>258055.37</v>
      </c>
      <c r="I16" s="304">
        <v>249108.53</v>
      </c>
      <c r="J16" s="36">
        <f t="shared" si="1"/>
        <v>8946.8399999999965</v>
      </c>
      <c r="M16" s="134"/>
    </row>
    <row r="17" spans="1:16">
      <c r="A17" s="1">
        <f t="shared" si="2"/>
        <v>7</v>
      </c>
      <c r="C17" s="96">
        <v>369</v>
      </c>
      <c r="D17" s="2" t="s">
        <v>99</v>
      </c>
      <c r="E17" s="304">
        <v>7842868.2300000004</v>
      </c>
      <c r="F17" s="304">
        <v>0</v>
      </c>
      <c r="G17" s="305">
        <v>3.4299999999999997E-2</v>
      </c>
      <c r="H17" s="304">
        <f t="shared" si="0"/>
        <v>269010.38</v>
      </c>
      <c r="I17" s="304">
        <v>262115</v>
      </c>
      <c r="J17" s="36">
        <f t="shared" si="1"/>
        <v>6895.3800000000047</v>
      </c>
      <c r="M17" s="134"/>
    </row>
    <row r="18" spans="1:16">
      <c r="A18" s="1">
        <f t="shared" si="2"/>
        <v>8</v>
      </c>
      <c r="C18" s="96">
        <v>370</v>
      </c>
      <c r="D18" s="2" t="s">
        <v>128</v>
      </c>
      <c r="E18" s="304">
        <v>6021730.4000000004</v>
      </c>
      <c r="F18" s="304">
        <v>0</v>
      </c>
      <c r="G18" s="305">
        <v>6.6699999999999995E-2</v>
      </c>
      <c r="H18" s="304">
        <f t="shared" si="0"/>
        <v>401649.42</v>
      </c>
      <c r="I18" s="304">
        <v>390947.62</v>
      </c>
      <c r="J18" s="36">
        <f t="shared" si="1"/>
        <v>10701.799999999988</v>
      </c>
      <c r="M18" s="134"/>
    </row>
    <row r="19" spans="1:16">
      <c r="A19" s="1">
        <f t="shared" si="2"/>
        <v>9</v>
      </c>
      <c r="C19" s="96">
        <v>371</v>
      </c>
      <c r="D19" s="2" t="s">
        <v>152</v>
      </c>
      <c r="E19" s="304">
        <v>3311780.15</v>
      </c>
      <c r="F19" s="304">
        <v>0</v>
      </c>
      <c r="G19" s="305">
        <v>3.9100000000000003E-2</v>
      </c>
      <c r="H19" s="304">
        <f t="shared" si="0"/>
        <v>129490.6</v>
      </c>
      <c r="I19" s="304">
        <v>125961.97</v>
      </c>
      <c r="J19" s="36">
        <f t="shared" si="1"/>
        <v>3528.6300000000047</v>
      </c>
      <c r="M19" s="134"/>
    </row>
    <row r="20" spans="1:16">
      <c r="A20" s="1">
        <f t="shared" si="2"/>
        <v>10</v>
      </c>
      <c r="D20" s="135" t="s">
        <v>22</v>
      </c>
      <c r="E20" s="136">
        <f>SUM(E12:E19)</f>
        <v>82108592.810000017</v>
      </c>
      <c r="F20" s="136">
        <f>SUM(F12:F19)</f>
        <v>0</v>
      </c>
      <c r="G20" s="136"/>
      <c r="H20" s="136">
        <f>SUM(H12:H19)</f>
        <v>2841921.4699999997</v>
      </c>
      <c r="I20" s="136">
        <f>SUM(I12:I19)</f>
        <v>2771188.0800000005</v>
      </c>
      <c r="J20" s="136">
        <f>SUM(J12:J19)</f>
        <v>70733.390000000145</v>
      </c>
    </row>
    <row r="21" spans="1:16">
      <c r="A21" s="1">
        <f t="shared" si="2"/>
        <v>11</v>
      </c>
    </row>
    <row r="22" spans="1:16">
      <c r="A22" s="1">
        <f t="shared" si="2"/>
        <v>12</v>
      </c>
      <c r="C22" s="30" t="s">
        <v>159</v>
      </c>
    </row>
    <row r="23" spans="1:16">
      <c r="A23" s="1">
        <f t="shared" si="2"/>
        <v>13</v>
      </c>
      <c r="C23" s="95">
        <v>389</v>
      </c>
      <c r="D23" s="2" t="s">
        <v>153</v>
      </c>
      <c r="E23" s="36">
        <v>0</v>
      </c>
      <c r="F23" s="36"/>
      <c r="G23" s="37"/>
      <c r="H23" s="36"/>
      <c r="I23" s="36"/>
      <c r="J23" s="117"/>
    </row>
    <row r="24" spans="1:16">
      <c r="A24" s="1">
        <f t="shared" si="2"/>
        <v>14</v>
      </c>
      <c r="C24" s="95">
        <v>390</v>
      </c>
      <c r="D24" s="2" t="s">
        <v>154</v>
      </c>
      <c r="E24" s="304">
        <v>1725567.5</v>
      </c>
      <c r="F24" s="304"/>
      <c r="G24" s="306">
        <v>0.03</v>
      </c>
      <c r="H24" s="304">
        <f>ROUND(((+E24-F24)*G24),2)</f>
        <v>51767.03</v>
      </c>
      <c r="I24" s="304">
        <v>45162</v>
      </c>
      <c r="J24" s="36">
        <f t="shared" ref="J24" si="3">H24-I24</f>
        <v>6605.0299999999988</v>
      </c>
      <c r="M24" s="134"/>
    </row>
    <row r="25" spans="1:16">
      <c r="A25" s="1">
        <f t="shared" si="2"/>
        <v>15</v>
      </c>
      <c r="C25" s="95">
        <v>391</v>
      </c>
      <c r="D25" s="2" t="s">
        <v>155</v>
      </c>
      <c r="E25" s="304">
        <v>840552.95</v>
      </c>
      <c r="F25" s="304"/>
      <c r="G25" s="306">
        <v>0.06</v>
      </c>
      <c r="H25" s="304">
        <f t="shared" ref="H25:H32" si="4">ROUND(((+E25-F25)*G25),2)</f>
        <v>50433.18</v>
      </c>
      <c r="I25" s="304">
        <v>42696.480000000003</v>
      </c>
      <c r="J25" s="36">
        <f t="shared" ref="J25:J32" si="5">H25-I25</f>
        <v>7736.6999999999971</v>
      </c>
      <c r="M25" s="134"/>
      <c r="P25" s="134"/>
    </row>
    <row r="26" spans="1:16">
      <c r="A26" s="1">
        <f t="shared" si="2"/>
        <v>16</v>
      </c>
      <c r="C26" s="95">
        <v>393</v>
      </c>
      <c r="D26" s="2" t="s">
        <v>126</v>
      </c>
      <c r="E26" s="304">
        <v>80060.179999999993</v>
      </c>
      <c r="F26" s="304"/>
      <c r="G26" s="306">
        <v>0.06</v>
      </c>
      <c r="H26" s="304">
        <f t="shared" si="4"/>
        <v>4803.6099999999997</v>
      </c>
      <c r="I26" s="304">
        <v>67.5</v>
      </c>
      <c r="J26" s="36">
        <f t="shared" si="5"/>
        <v>4736.1099999999997</v>
      </c>
      <c r="M26" s="134"/>
    </row>
    <row r="27" spans="1:16">
      <c r="A27" s="1">
        <f t="shared" si="2"/>
        <v>17</v>
      </c>
      <c r="C27" s="95">
        <v>394</v>
      </c>
      <c r="D27" s="2" t="s">
        <v>156</v>
      </c>
      <c r="E27" s="304">
        <v>123267.23</v>
      </c>
      <c r="F27" s="304"/>
      <c r="G27" s="306">
        <v>0.1</v>
      </c>
      <c r="H27" s="304">
        <f t="shared" si="4"/>
        <v>12326.72</v>
      </c>
      <c r="I27" s="304">
        <v>2412.86</v>
      </c>
      <c r="J27" s="36">
        <f t="shared" si="5"/>
        <v>9913.8599999999988</v>
      </c>
      <c r="M27" s="134"/>
    </row>
    <row r="28" spans="1:16">
      <c r="A28" s="1">
        <f t="shared" si="2"/>
        <v>18</v>
      </c>
      <c r="C28" s="95">
        <v>395</v>
      </c>
      <c r="D28" s="2" t="s">
        <v>268</v>
      </c>
      <c r="E28" s="304">
        <v>176127.38</v>
      </c>
      <c r="F28" s="304"/>
      <c r="G28" s="306">
        <v>0.06</v>
      </c>
      <c r="H28" s="304">
        <f>ROUND(((+E28-F28)*G28),2)</f>
        <v>10567.64</v>
      </c>
      <c r="I28" s="304">
        <v>8348.36</v>
      </c>
      <c r="J28" s="36">
        <f t="shared" si="5"/>
        <v>2219.2799999999988</v>
      </c>
      <c r="M28" s="134"/>
      <c r="P28" s="134"/>
    </row>
    <row r="29" spans="1:16">
      <c r="A29" s="1">
        <f t="shared" si="2"/>
        <v>19</v>
      </c>
      <c r="C29" s="95">
        <v>396.1</v>
      </c>
      <c r="D29" s="2" t="s">
        <v>266</v>
      </c>
      <c r="E29" s="304">
        <v>155189.48000000001</v>
      </c>
      <c r="F29" s="304"/>
      <c r="G29" s="306">
        <v>0.11</v>
      </c>
      <c r="H29" s="304">
        <f t="shared" si="4"/>
        <v>17070.84</v>
      </c>
      <c r="I29" s="304">
        <v>1980</v>
      </c>
      <c r="J29" s="36">
        <f t="shared" si="5"/>
        <v>15090.84</v>
      </c>
      <c r="M29" s="134"/>
    </row>
    <row r="30" spans="1:16">
      <c r="A30" s="1">
        <f t="shared" si="2"/>
        <v>20</v>
      </c>
      <c r="C30" s="95">
        <v>396.2</v>
      </c>
      <c r="D30" s="2" t="s">
        <v>267</v>
      </c>
      <c r="E30" s="304">
        <v>44518</v>
      </c>
      <c r="F30" s="304"/>
      <c r="G30" s="306">
        <v>0.06</v>
      </c>
      <c r="H30" s="304">
        <f t="shared" si="4"/>
        <v>2671.08</v>
      </c>
      <c r="I30" s="304">
        <v>1995.96</v>
      </c>
      <c r="J30" s="36">
        <f t="shared" si="5"/>
        <v>675.11999999999989</v>
      </c>
      <c r="M30" s="134"/>
    </row>
    <row r="31" spans="1:16">
      <c r="A31" s="1">
        <f t="shared" si="2"/>
        <v>21</v>
      </c>
      <c r="C31" s="95">
        <v>397</v>
      </c>
      <c r="D31" s="2" t="s">
        <v>157</v>
      </c>
      <c r="E31" s="304">
        <v>225398.85</v>
      </c>
      <c r="F31" s="304"/>
      <c r="G31" s="306">
        <v>0.08</v>
      </c>
      <c r="H31" s="304">
        <f t="shared" si="4"/>
        <v>18031.91</v>
      </c>
      <c r="I31" s="304">
        <v>0</v>
      </c>
      <c r="J31" s="36">
        <f t="shared" si="5"/>
        <v>18031.91</v>
      </c>
      <c r="M31" s="134"/>
    </row>
    <row r="32" spans="1:16">
      <c r="A32" s="1">
        <f t="shared" si="2"/>
        <v>22</v>
      </c>
      <c r="C32" s="95">
        <v>398</v>
      </c>
      <c r="D32" s="2" t="s">
        <v>158</v>
      </c>
      <c r="E32" s="304">
        <v>112806.57</v>
      </c>
      <c r="F32" s="304"/>
      <c r="G32" s="306">
        <v>0.08</v>
      </c>
      <c r="H32" s="304">
        <f t="shared" si="4"/>
        <v>9024.5300000000007</v>
      </c>
      <c r="I32" s="304">
        <v>8924.4</v>
      </c>
      <c r="J32" s="36">
        <f t="shared" si="5"/>
        <v>100.13000000000102</v>
      </c>
      <c r="M32" s="134"/>
    </row>
    <row r="33" spans="1:25">
      <c r="A33" s="1">
        <f t="shared" si="2"/>
        <v>23</v>
      </c>
      <c r="D33" s="135" t="s">
        <v>22</v>
      </c>
      <c r="E33" s="136">
        <f>SUM(E23:E32)</f>
        <v>3483488.14</v>
      </c>
      <c r="F33" s="136">
        <f>SUM(F23:F32)</f>
        <v>0</v>
      </c>
      <c r="G33" s="136"/>
      <c r="H33" s="136">
        <f>SUM(H23:H32)</f>
        <v>176696.53999999998</v>
      </c>
      <c r="I33" s="136">
        <f t="shared" ref="I33:J33" si="6">SUM(I23:I32)</f>
        <v>111587.56000000001</v>
      </c>
      <c r="J33" s="136">
        <f t="shared" si="6"/>
        <v>65108.979999999996</v>
      </c>
    </row>
    <row r="34" spans="1:25">
      <c r="A34" s="1">
        <f t="shared" si="2"/>
        <v>24</v>
      </c>
      <c r="C34" s="98" t="s">
        <v>137</v>
      </c>
      <c r="D34" s="137" t="s">
        <v>163</v>
      </c>
      <c r="E34" s="99">
        <f>E20+E33</f>
        <v>85592080.950000018</v>
      </c>
      <c r="F34" s="99">
        <f>F20+F33</f>
        <v>0</v>
      </c>
      <c r="G34" s="99"/>
      <c r="H34" s="99">
        <f>H20+H33</f>
        <v>3018618.01</v>
      </c>
      <c r="I34" s="99">
        <f t="shared" ref="I34:J34" si="7">I20+I33</f>
        <v>2882775.6400000006</v>
      </c>
      <c r="J34" s="99">
        <f t="shared" si="7"/>
        <v>135842.37000000014</v>
      </c>
    </row>
    <row r="35" spans="1:25">
      <c r="A35" s="1">
        <f t="shared" si="2"/>
        <v>25</v>
      </c>
      <c r="D35" s="138"/>
      <c r="E35" s="36"/>
      <c r="F35" s="36"/>
      <c r="G35" s="36"/>
      <c r="H35" s="36"/>
      <c r="I35" s="36"/>
      <c r="J35" s="36"/>
    </row>
    <row r="36" spans="1:25">
      <c r="A36" s="1">
        <f t="shared" si="2"/>
        <v>26</v>
      </c>
      <c r="C36" s="30" t="s">
        <v>160</v>
      </c>
      <c r="E36" s="36"/>
      <c r="F36" s="36"/>
      <c r="G36" s="36"/>
      <c r="H36" s="36"/>
      <c r="I36" s="36"/>
      <c r="J36" s="36"/>
    </row>
    <row r="37" spans="1:25">
      <c r="A37" s="1">
        <f t="shared" si="2"/>
        <v>27</v>
      </c>
      <c r="C37" s="95">
        <v>392</v>
      </c>
      <c r="D37" s="2" t="s">
        <v>127</v>
      </c>
      <c r="E37" s="304">
        <v>3076267.02</v>
      </c>
      <c r="F37" s="304"/>
      <c r="G37" s="306">
        <v>0.16</v>
      </c>
      <c r="H37" s="304">
        <f>ROUND(((+E37-F37)*G37),2)</f>
        <v>492202.72</v>
      </c>
      <c r="I37" s="304">
        <v>324865.11</v>
      </c>
      <c r="J37" s="117">
        <f>H37-I37</f>
        <v>167337.60999999999</v>
      </c>
      <c r="M37" s="134"/>
    </row>
    <row r="38" spans="1:25">
      <c r="A38" s="1">
        <f t="shared" si="2"/>
        <v>28</v>
      </c>
      <c r="C38" s="97" t="s">
        <v>138</v>
      </c>
      <c r="D38" s="98" t="s">
        <v>161</v>
      </c>
      <c r="E38" s="99"/>
      <c r="F38" s="99"/>
      <c r="G38" s="100"/>
      <c r="H38" s="99"/>
      <c r="I38" s="99"/>
      <c r="J38" s="139">
        <f>G51</f>
        <v>103600.91</v>
      </c>
      <c r="M38" s="134"/>
    </row>
    <row r="39" spans="1:25">
      <c r="A39" s="1">
        <f t="shared" si="2"/>
        <v>29</v>
      </c>
    </row>
    <row r="40" spans="1:25" ht="13.8" thickBot="1">
      <c r="A40" s="1">
        <f t="shared" si="2"/>
        <v>30</v>
      </c>
      <c r="C40" s="3" t="s">
        <v>244</v>
      </c>
      <c r="D40" s="3" t="s">
        <v>14</v>
      </c>
      <c r="E40" s="140">
        <f>E34+E37</f>
        <v>88668347.970000014</v>
      </c>
      <c r="F40" s="140">
        <f>F34+F37</f>
        <v>0</v>
      </c>
      <c r="G40" s="3"/>
      <c r="H40" s="140">
        <f>H34+H37</f>
        <v>3510820.7299999995</v>
      </c>
      <c r="I40" s="140">
        <f>I34+I37</f>
        <v>3207640.7500000005</v>
      </c>
      <c r="J40" s="141">
        <f>J38+J34</f>
        <v>239443.28000000014</v>
      </c>
    </row>
    <row r="41" spans="1:25" ht="13.8" thickTop="1">
      <c r="A41" s="1">
        <f t="shared" si="2"/>
        <v>31</v>
      </c>
    </row>
    <row r="42" spans="1:25" ht="29.25" customHeight="1">
      <c r="A42" s="1">
        <f t="shared" si="2"/>
        <v>32</v>
      </c>
      <c r="B42" s="29"/>
      <c r="C42" s="284" t="s">
        <v>246</v>
      </c>
      <c r="D42" s="284"/>
      <c r="E42" s="284"/>
      <c r="F42" s="284"/>
      <c r="G42" s="284"/>
      <c r="H42" s="284"/>
      <c r="I42" s="284"/>
      <c r="J42" s="284"/>
      <c r="K42" s="29"/>
      <c r="L42" s="29"/>
      <c r="M42" s="29"/>
      <c r="V42" s="29"/>
      <c r="W42" s="29"/>
      <c r="X42" s="29"/>
      <c r="Y42" s="29"/>
    </row>
    <row r="43" spans="1:25">
      <c r="A43" s="1">
        <f t="shared" si="2"/>
        <v>33</v>
      </c>
    </row>
    <row r="44" spans="1:25">
      <c r="A44" s="1">
        <f t="shared" si="2"/>
        <v>34</v>
      </c>
      <c r="C44" s="30" t="s">
        <v>161</v>
      </c>
      <c r="D44" s="1"/>
      <c r="E44" s="35" t="s">
        <v>140</v>
      </c>
      <c r="F44" s="35" t="s">
        <v>139</v>
      </c>
      <c r="G44" s="35" t="s">
        <v>162</v>
      </c>
    </row>
    <row r="45" spans="1:25">
      <c r="A45" s="1">
        <f t="shared" si="2"/>
        <v>35</v>
      </c>
      <c r="D45" s="1"/>
    </row>
    <row r="46" spans="1:25">
      <c r="A46" s="1">
        <f t="shared" si="2"/>
        <v>36</v>
      </c>
      <c r="C46" s="1" t="s">
        <v>130</v>
      </c>
      <c r="D46" s="2" t="s">
        <v>131</v>
      </c>
      <c r="E46" s="24">
        <v>1150688.9300000002</v>
      </c>
      <c r="F46" s="69">
        <f>E46/E$56</f>
        <v>0.20749800936500704</v>
      </c>
      <c r="G46" s="24">
        <f>ROUND(F46*$J$37,2)</f>
        <v>34722.22</v>
      </c>
    </row>
    <row r="47" spans="1:25">
      <c r="A47" s="1">
        <f t="shared" si="2"/>
        <v>37</v>
      </c>
      <c r="C47" s="1" t="s">
        <v>132</v>
      </c>
      <c r="D47" s="2" t="s">
        <v>133</v>
      </c>
      <c r="E47" s="24">
        <v>1053990.08</v>
      </c>
      <c r="F47" s="69">
        <f t="shared" ref="F47:F50" si="8">E47/E$56</f>
        <v>0.19006078688048603</v>
      </c>
      <c r="G47" s="24">
        <f>ROUND(F47*$J$37,2)</f>
        <v>31804.32</v>
      </c>
    </row>
    <row r="48" spans="1:25">
      <c r="A48" s="1">
        <f t="shared" si="2"/>
        <v>38</v>
      </c>
      <c r="C48" s="1" t="s">
        <v>134</v>
      </c>
      <c r="D48" s="2" t="s">
        <v>111</v>
      </c>
      <c r="E48" s="24">
        <v>284961.39</v>
      </c>
      <c r="F48" s="69">
        <f t="shared" si="8"/>
        <v>5.1385669601327802E-2</v>
      </c>
      <c r="G48" s="24">
        <f>ROUND(F48*$J$37,2)</f>
        <v>8598.76</v>
      </c>
    </row>
    <row r="49" spans="1:7">
      <c r="A49" s="1">
        <f t="shared" si="2"/>
        <v>39</v>
      </c>
      <c r="C49" s="1" t="s">
        <v>247</v>
      </c>
      <c r="D49" s="2" t="s">
        <v>83</v>
      </c>
      <c r="E49" s="24">
        <v>32800.44</v>
      </c>
      <c r="F49" s="69">
        <f t="shared" si="8"/>
        <v>5.9147401429301581E-3</v>
      </c>
      <c r="G49" s="24">
        <f>ROUND(F49*$J$37,2)</f>
        <v>989.76</v>
      </c>
    </row>
    <row r="50" spans="1:7">
      <c r="A50" s="1">
        <f t="shared" si="2"/>
        <v>40</v>
      </c>
      <c r="C50" s="1" t="s">
        <v>135</v>
      </c>
      <c r="D50" s="2" t="s">
        <v>129</v>
      </c>
      <c r="E50" s="24">
        <v>910876.70999999985</v>
      </c>
      <c r="F50" s="69">
        <f t="shared" si="8"/>
        <v>0.16425386494501754</v>
      </c>
      <c r="G50" s="24">
        <f>ROUND(F50*$J$37,2)</f>
        <v>27485.85</v>
      </c>
    </row>
    <row r="51" spans="1:7">
      <c r="A51" s="1">
        <f t="shared" si="2"/>
        <v>41</v>
      </c>
      <c r="C51" s="4"/>
      <c r="D51" s="32" t="s">
        <v>22</v>
      </c>
      <c r="E51" s="38">
        <f>SUM(E46:E50)</f>
        <v>3433317.5500000003</v>
      </c>
      <c r="F51" s="70">
        <f>SUM(F46:F50)</f>
        <v>0.61911307093476853</v>
      </c>
      <c r="G51" s="38">
        <f>SUM(G46:G50)</f>
        <v>103600.91</v>
      </c>
    </row>
    <row r="52" spans="1:7">
      <c r="A52" s="1">
        <f t="shared" si="2"/>
        <v>42</v>
      </c>
      <c r="C52" s="1"/>
      <c r="E52" s="31"/>
      <c r="F52" s="69"/>
      <c r="G52" s="31"/>
    </row>
    <row r="53" spans="1:7">
      <c r="A53" s="1">
        <f t="shared" si="2"/>
        <v>43</v>
      </c>
      <c r="C53" s="1" t="s">
        <v>248</v>
      </c>
      <c r="D53" s="2" t="s">
        <v>245</v>
      </c>
      <c r="E53" s="24">
        <v>2112224.4700000002</v>
      </c>
      <c r="F53" s="69">
        <f t="shared" ref="F53" si="9">E53/E$56</f>
        <v>0.38088692906523142</v>
      </c>
      <c r="G53" s="24">
        <f>ROUND(F53*$J$37,2)</f>
        <v>63736.71</v>
      </c>
    </row>
    <row r="54" spans="1:7">
      <c r="A54" s="1">
        <f t="shared" si="2"/>
        <v>44</v>
      </c>
      <c r="C54" s="4"/>
      <c r="D54" s="32" t="s">
        <v>22</v>
      </c>
      <c r="E54" s="92"/>
      <c r="F54" s="70">
        <f>SUM(F53:F53)</f>
        <v>0.38088692906523142</v>
      </c>
      <c r="G54" s="92">
        <f>SUM(G53:G53)</f>
        <v>63736.71</v>
      </c>
    </row>
    <row r="55" spans="1:7">
      <c r="A55" s="1">
        <f t="shared" si="2"/>
        <v>45</v>
      </c>
      <c r="C55" s="1"/>
      <c r="E55" s="31"/>
      <c r="F55" s="25"/>
      <c r="G55" s="31"/>
    </row>
    <row r="56" spans="1:7" ht="13.8" thickBot="1">
      <c r="A56" s="1">
        <f t="shared" si="2"/>
        <v>46</v>
      </c>
      <c r="C56" s="33"/>
      <c r="D56" s="3" t="s">
        <v>45</v>
      </c>
      <c r="E56" s="93">
        <f>E53+E51</f>
        <v>5545542.0200000005</v>
      </c>
      <c r="F56" s="34">
        <f>F51+F54</f>
        <v>1</v>
      </c>
      <c r="G56" s="93">
        <f>G54+G51</f>
        <v>167337.62</v>
      </c>
    </row>
    <row r="57" spans="1:7" ht="13.8" thickTop="1"/>
  </sheetData>
  <mergeCells count="4">
    <mergeCell ref="C42:J42"/>
    <mergeCell ref="A3:J3"/>
    <mergeCell ref="A4:J4"/>
    <mergeCell ref="A6:J6"/>
  </mergeCells>
  <printOptions horizontalCentered="1"/>
  <pageMargins left="1" right="0.75" top="0.75" bottom="0.5" header="0.5" footer="0.5"/>
  <pageSetup scale="73" orientation="portrait" r:id="rId1"/>
  <headerFooter alignWithMargins="0">
    <oddFooter>&amp;RRevised Exhibit JW-2
Page &amp;P of &amp;N</oddFooter>
  </headerFooter>
  <ignoredErrors>
    <ignoredError sqref="C9:J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EED36-1B5F-48DE-AD5E-B293EB996D7D}">
  <dimension ref="A1:I23"/>
  <sheetViews>
    <sheetView view="pageBreakPreview" zoomScaleNormal="75" zoomScaleSheetLayoutView="100" workbookViewId="0">
      <selection activeCell="I61" sqref="I61"/>
    </sheetView>
  </sheetViews>
  <sheetFormatPr defaultColWidth="9.109375" defaultRowHeight="13.2"/>
  <cols>
    <col min="1" max="1" width="5.88671875" style="2" customWidth="1"/>
    <col min="2" max="2" width="3.33203125" style="2" customWidth="1"/>
    <col min="3" max="3" width="12.5546875" style="2" customWidth="1"/>
    <col min="4" max="4" width="17.33203125" style="2" customWidth="1"/>
    <col min="5" max="5" width="10.109375" style="2" bestFit="1" customWidth="1"/>
    <col min="6" max="6" width="16.6640625" style="2" customWidth="1"/>
    <col min="7" max="7" width="12.109375" style="2" customWidth="1"/>
    <col min="8" max="8" width="12" style="2" customWidth="1"/>
    <col min="9" max="15" width="9.109375" style="2"/>
    <col min="16" max="16" width="16.6640625" style="2" bestFit="1" customWidth="1"/>
    <col min="17" max="16384" width="9.109375" style="2"/>
  </cols>
  <sheetData>
    <row r="1" spans="1:9">
      <c r="F1" s="129" t="s">
        <v>28</v>
      </c>
    </row>
    <row r="2" spans="1:9" ht="20.25" customHeight="1">
      <c r="H2" s="129"/>
    </row>
    <row r="3" spans="1:9">
      <c r="A3" s="283" t="str">
        <f>RevReq!A1</f>
        <v>LICKING VALLEY R.E.C.C.</v>
      </c>
      <c r="B3" s="283"/>
      <c r="C3" s="283"/>
      <c r="D3" s="283"/>
      <c r="E3" s="283"/>
      <c r="F3" s="283"/>
      <c r="G3" s="168"/>
      <c r="H3" s="168"/>
    </row>
    <row r="4" spans="1:9">
      <c r="A4" s="283" t="str">
        <f>RevReq!A3</f>
        <v>For the 12 Months Ended December 31, 2023</v>
      </c>
      <c r="B4" s="283"/>
      <c r="C4" s="283"/>
      <c r="D4" s="283"/>
      <c r="E4" s="283"/>
      <c r="F4" s="283"/>
      <c r="G4" s="168"/>
      <c r="H4" s="168"/>
    </row>
    <row r="6" spans="1:9" s="130" customFormat="1" ht="15" customHeight="1">
      <c r="A6" s="282" t="s">
        <v>168</v>
      </c>
      <c r="B6" s="282"/>
      <c r="C6" s="282"/>
      <c r="D6" s="282"/>
      <c r="E6" s="282"/>
      <c r="F6" s="282"/>
      <c r="G6" s="2"/>
      <c r="H6" s="144"/>
    </row>
    <row r="8" spans="1:9">
      <c r="A8" s="1" t="s">
        <v>0</v>
      </c>
      <c r="C8" s="1" t="s">
        <v>41</v>
      </c>
      <c r="E8" s="1" t="s">
        <v>42</v>
      </c>
      <c r="F8" s="1" t="s">
        <v>24</v>
      </c>
    </row>
    <row r="9" spans="1:9">
      <c r="A9" s="27" t="s">
        <v>21</v>
      </c>
      <c r="C9" s="131" t="s">
        <v>18</v>
      </c>
      <c r="D9" s="271"/>
      <c r="E9" s="131" t="s">
        <v>20</v>
      </c>
      <c r="F9" s="131" t="s">
        <v>19</v>
      </c>
    </row>
    <row r="10" spans="1:9">
      <c r="A10" s="1"/>
    </row>
    <row r="11" spans="1:9">
      <c r="A11" s="1"/>
    </row>
    <row r="12" spans="1:9">
      <c r="A12" s="1">
        <v>1</v>
      </c>
      <c r="C12" s="2" t="s">
        <v>30</v>
      </c>
      <c r="E12" s="133">
        <v>426</v>
      </c>
      <c r="F12" s="119">
        <v>6285.16</v>
      </c>
    </row>
    <row r="13" spans="1:9">
      <c r="A13" s="1">
        <f>A12+1</f>
        <v>2</v>
      </c>
      <c r="C13" s="2" t="s">
        <v>322</v>
      </c>
      <c r="E13" s="133">
        <v>930.2</v>
      </c>
      <c r="F13" s="119">
        <v>66305.62</v>
      </c>
    </row>
    <row r="14" spans="1:9">
      <c r="A14" s="1">
        <f t="shared" ref="A14:A20" si="0">A13+1</f>
        <v>3</v>
      </c>
      <c r="C14" s="2" t="s">
        <v>321</v>
      </c>
      <c r="E14" s="133">
        <v>930.3</v>
      </c>
      <c r="F14" s="119">
        <v>28102.67</v>
      </c>
    </row>
    <row r="15" spans="1:9">
      <c r="A15" s="1">
        <f t="shared" si="0"/>
        <v>4</v>
      </c>
      <c r="C15" s="2" t="s">
        <v>158</v>
      </c>
      <c r="E15" s="133">
        <v>930.4</v>
      </c>
      <c r="F15" s="119">
        <v>111679.34</v>
      </c>
      <c r="I15" s="182"/>
    </row>
    <row r="16" spans="1:9">
      <c r="A16" s="1">
        <f t="shared" si="0"/>
        <v>5</v>
      </c>
      <c r="C16" s="32" t="s">
        <v>37</v>
      </c>
      <c r="D16" s="32"/>
      <c r="E16" s="32"/>
      <c r="F16" s="161">
        <f>SUM(F12:F15)</f>
        <v>212372.78999999998</v>
      </c>
      <c r="I16" s="182"/>
    </row>
    <row r="17" spans="1:8">
      <c r="A17" s="1">
        <f t="shared" si="0"/>
        <v>6</v>
      </c>
      <c r="F17" s="126"/>
    </row>
    <row r="18" spans="1:8">
      <c r="A18" s="1">
        <f t="shared" si="0"/>
        <v>7</v>
      </c>
      <c r="C18" s="2" t="s">
        <v>38</v>
      </c>
      <c r="F18" s="119">
        <v>0</v>
      </c>
    </row>
    <row r="19" spans="1:8">
      <c r="A19" s="1">
        <f t="shared" si="0"/>
        <v>8</v>
      </c>
      <c r="F19" s="126"/>
    </row>
    <row r="20" spans="1:8" ht="13.8" thickBot="1">
      <c r="A20" s="1">
        <f t="shared" si="0"/>
        <v>9</v>
      </c>
      <c r="C20" s="3" t="s">
        <v>15</v>
      </c>
      <c r="D20" s="3"/>
      <c r="E20" s="3"/>
      <c r="F20" s="308">
        <f>ROUND(F18-F16,2)</f>
        <v>-212372.79</v>
      </c>
    </row>
    <row r="21" spans="1:8" ht="13.8" thickTop="1">
      <c r="E21" s="1"/>
    </row>
    <row r="23" spans="1:8" ht="42" customHeight="1">
      <c r="B23" s="284" t="s">
        <v>243</v>
      </c>
      <c r="C23" s="284"/>
      <c r="D23" s="284"/>
      <c r="E23" s="284"/>
      <c r="F23" s="284"/>
      <c r="G23" s="29"/>
      <c r="H23" s="29"/>
    </row>
  </sheetData>
  <mergeCells count="4">
    <mergeCell ref="A3:F3"/>
    <mergeCell ref="A4:F4"/>
    <mergeCell ref="A6:F6"/>
    <mergeCell ref="B23:F23"/>
  </mergeCells>
  <printOptions horizontalCentered="1"/>
  <pageMargins left="1" right="0.75" top="0.75" bottom="0.5" header="0.5" footer="0.5"/>
  <pageSetup fitToHeight="4" orientation="portrait" r:id="rId1"/>
  <headerFooter alignWithMargins="0">
    <oddFooter>&amp;RRevised Exhibit JW-2
Page &amp;P of &amp;N</oddFooter>
  </headerFooter>
  <ignoredErrors>
    <ignoredError sqref="C9:F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C8C3C-855C-472D-A7A9-F19AB4B262B8}">
  <sheetPr>
    <pageSetUpPr fitToPage="1"/>
  </sheetPr>
  <dimension ref="A1:N35"/>
  <sheetViews>
    <sheetView view="pageBreakPreview" zoomScale="75" zoomScaleNormal="75" zoomScaleSheetLayoutView="75" workbookViewId="0">
      <selection activeCell="I61" sqref="I61"/>
    </sheetView>
  </sheetViews>
  <sheetFormatPr defaultColWidth="9.109375" defaultRowHeight="13.8"/>
  <cols>
    <col min="1" max="1" width="5.33203125" style="310" customWidth="1"/>
    <col min="2" max="2" width="30.6640625" style="310" bestFit="1" customWidth="1"/>
    <col min="3" max="3" width="10.6640625" style="310" bestFit="1" customWidth="1"/>
    <col min="4" max="6" width="10.44140625" style="310" bestFit="1" customWidth="1"/>
    <col min="7" max="7" width="10.6640625" style="310" bestFit="1" customWidth="1"/>
    <col min="8" max="8" width="9" style="310" bestFit="1" customWidth="1"/>
    <col min="9" max="9" width="11.33203125" style="310" customWidth="1"/>
    <col min="10" max="10" width="10.6640625" style="310" bestFit="1" customWidth="1"/>
    <col min="11" max="11" width="13.6640625" style="310" customWidth="1"/>
    <col min="12" max="12" width="9.88671875" style="310" bestFit="1" customWidth="1"/>
    <col min="13" max="16384" width="9.109375" style="310"/>
  </cols>
  <sheetData>
    <row r="1" spans="1:13" s="2" customFormat="1" ht="13.2">
      <c r="K1" s="129" t="s">
        <v>124</v>
      </c>
    </row>
    <row r="2" spans="1:13" s="2" customFormat="1" ht="13.2"/>
    <row r="3" spans="1:13" s="2" customFormat="1" ht="13.2"/>
    <row r="4" spans="1:13" s="2" customFormat="1" ht="13.2">
      <c r="A4" s="283" t="s">
        <v>272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13" s="2" customFormat="1" ht="13.2">
      <c r="A5" s="283" t="s">
        <v>390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</row>
    <row r="6" spans="1:13" s="2" customFormat="1" ht="13.2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</row>
    <row r="7" spans="1:13" s="2" customFormat="1" ht="13.2">
      <c r="A7" s="282" t="s">
        <v>273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</row>
    <row r="8" spans="1:13" s="2" customFormat="1" ht="13.2"/>
    <row r="9" spans="1:13">
      <c r="A9" s="110" t="s">
        <v>21</v>
      </c>
      <c r="B9" s="71" t="s">
        <v>41</v>
      </c>
      <c r="C9" s="71" t="s">
        <v>274</v>
      </c>
      <c r="D9" s="71" t="s">
        <v>275</v>
      </c>
      <c r="E9" s="71" t="s">
        <v>276</v>
      </c>
      <c r="F9" s="71" t="s">
        <v>397</v>
      </c>
      <c r="G9" s="71" t="s">
        <v>277</v>
      </c>
      <c r="H9" s="71" t="s">
        <v>278</v>
      </c>
      <c r="I9" s="71" t="s">
        <v>279</v>
      </c>
      <c r="J9" s="71" t="s">
        <v>280</v>
      </c>
      <c r="K9" s="71" t="s">
        <v>45</v>
      </c>
    </row>
    <row r="10" spans="1:13">
      <c r="A10" s="132">
        <v>1</v>
      </c>
      <c r="B10" s="1" t="s">
        <v>281</v>
      </c>
      <c r="C10" s="160"/>
      <c r="D10" s="160"/>
      <c r="E10" s="160"/>
      <c r="F10" s="160">
        <v>4459.59</v>
      </c>
      <c r="G10" s="160"/>
      <c r="H10" s="160"/>
      <c r="I10" s="160">
        <v>12888.39</v>
      </c>
      <c r="J10" s="160"/>
      <c r="K10" s="160">
        <f>SUM(C10:J10)</f>
        <v>17347.98</v>
      </c>
      <c r="L10" s="311"/>
      <c r="M10" s="311"/>
    </row>
    <row r="11" spans="1:13">
      <c r="A11" s="132">
        <v>2</v>
      </c>
      <c r="B11" s="1" t="s">
        <v>282</v>
      </c>
      <c r="C11" s="160"/>
      <c r="D11" s="160"/>
      <c r="E11" s="160">
        <v>9.84</v>
      </c>
      <c r="F11" s="160"/>
      <c r="G11" s="160"/>
      <c r="H11" s="160"/>
      <c r="I11" s="160">
        <v>156.07</v>
      </c>
      <c r="J11" s="160"/>
      <c r="K11" s="160">
        <f t="shared" ref="K11:K17" si="0">SUM(C11:J11)</f>
        <v>165.91</v>
      </c>
      <c r="L11" s="311"/>
      <c r="M11" s="311"/>
    </row>
    <row r="12" spans="1:13">
      <c r="A12" s="132">
        <v>3</v>
      </c>
      <c r="B12" s="1" t="s">
        <v>283</v>
      </c>
      <c r="C12" s="160">
        <v>43</v>
      </c>
      <c r="D12" s="160">
        <v>43</v>
      </c>
      <c r="E12" s="160">
        <v>43</v>
      </c>
      <c r="F12" s="160">
        <v>43</v>
      </c>
      <c r="G12" s="160">
        <v>43</v>
      </c>
      <c r="H12" s="160">
        <v>43</v>
      </c>
      <c r="I12" s="160">
        <v>43</v>
      </c>
      <c r="J12" s="160">
        <v>43</v>
      </c>
      <c r="K12" s="160">
        <f t="shared" si="0"/>
        <v>344</v>
      </c>
      <c r="L12" s="311"/>
      <c r="M12" s="311"/>
    </row>
    <row r="13" spans="1:13">
      <c r="A13" s="132">
        <v>4</v>
      </c>
      <c r="B13" s="1" t="s">
        <v>284</v>
      </c>
      <c r="C13" s="160"/>
      <c r="D13" s="160"/>
      <c r="E13" s="160"/>
      <c r="F13" s="160"/>
      <c r="G13" s="160">
        <v>4103.6899999999996</v>
      </c>
      <c r="H13" s="160"/>
      <c r="I13" s="160"/>
      <c r="J13" s="160"/>
      <c r="K13" s="160">
        <f t="shared" si="0"/>
        <v>4103.6899999999996</v>
      </c>
      <c r="L13" s="311"/>
      <c r="M13" s="311"/>
    </row>
    <row r="14" spans="1:13">
      <c r="A14" s="132">
        <v>5</v>
      </c>
      <c r="B14" s="1" t="s">
        <v>285</v>
      </c>
      <c r="C14" s="160">
        <v>1008.28</v>
      </c>
      <c r="D14" s="160"/>
      <c r="E14" s="160"/>
      <c r="F14" s="160"/>
      <c r="G14" s="160"/>
      <c r="H14" s="160"/>
      <c r="I14" s="160"/>
      <c r="J14" s="160"/>
      <c r="K14" s="160">
        <f t="shared" si="0"/>
        <v>1008.28</v>
      </c>
      <c r="L14" s="311"/>
      <c r="M14" s="311"/>
    </row>
    <row r="15" spans="1:13">
      <c r="A15" s="132">
        <v>6</v>
      </c>
      <c r="B15" s="1" t="s">
        <v>286</v>
      </c>
      <c r="C15" s="160">
        <v>127.75</v>
      </c>
      <c r="D15" s="160">
        <v>127.75</v>
      </c>
      <c r="E15" s="160">
        <v>127.75</v>
      </c>
      <c r="F15" s="160">
        <v>127.75</v>
      </c>
      <c r="G15" s="160">
        <v>127.75</v>
      </c>
      <c r="H15" s="160">
        <v>127.75</v>
      </c>
      <c r="I15" s="160">
        <v>127.75</v>
      </c>
      <c r="J15" s="160">
        <v>127.75</v>
      </c>
      <c r="K15" s="160">
        <f t="shared" si="0"/>
        <v>1022</v>
      </c>
      <c r="L15" s="311"/>
      <c r="M15" s="311"/>
    </row>
    <row r="16" spans="1:13">
      <c r="A16" s="132">
        <v>7</v>
      </c>
      <c r="B16" s="1" t="s">
        <v>287</v>
      </c>
      <c r="C16" s="160">
        <v>12.96</v>
      </c>
      <c r="D16" s="160">
        <v>12.96</v>
      </c>
      <c r="E16" s="160">
        <v>8.7799999999999994</v>
      </c>
      <c r="F16" s="160">
        <v>12.96</v>
      </c>
      <c r="G16" s="160">
        <v>8.4</v>
      </c>
      <c r="H16" s="160">
        <v>12.96</v>
      </c>
      <c r="I16" s="160">
        <v>12.96</v>
      </c>
      <c r="J16" s="160">
        <v>12.96</v>
      </c>
      <c r="K16" s="160">
        <f t="shared" si="0"/>
        <v>94.940000000000026</v>
      </c>
      <c r="L16" s="311"/>
      <c r="M16" s="311"/>
    </row>
    <row r="17" spans="1:14">
      <c r="A17" s="132">
        <v>8</v>
      </c>
      <c r="B17" s="2"/>
      <c r="C17" s="183">
        <f t="shared" ref="C17:J17" si="1">SUM(C10:C16)</f>
        <v>1191.99</v>
      </c>
      <c r="D17" s="183">
        <f t="shared" si="1"/>
        <v>183.71</v>
      </c>
      <c r="E17" s="183">
        <f t="shared" si="1"/>
        <v>189.37</v>
      </c>
      <c r="F17" s="183">
        <f t="shared" si="1"/>
        <v>4643.3</v>
      </c>
      <c r="G17" s="183">
        <f t="shared" si="1"/>
        <v>4282.8399999999992</v>
      </c>
      <c r="H17" s="183">
        <f t="shared" si="1"/>
        <v>183.71</v>
      </c>
      <c r="I17" s="183">
        <f t="shared" si="1"/>
        <v>13228.169999999998</v>
      </c>
      <c r="J17" s="183">
        <f t="shared" si="1"/>
        <v>183.71</v>
      </c>
      <c r="K17" s="183">
        <f t="shared" si="0"/>
        <v>24086.799999999996</v>
      </c>
      <c r="L17" s="311"/>
      <c r="M17" s="311"/>
    </row>
    <row r="18" spans="1:14">
      <c r="A18" s="132">
        <v>9</v>
      </c>
      <c r="B18" s="2"/>
      <c r="C18" s="182"/>
      <c r="D18" s="182"/>
      <c r="E18" s="182"/>
      <c r="F18" s="182"/>
      <c r="G18" s="182"/>
      <c r="H18" s="182"/>
      <c r="I18" s="182"/>
      <c r="J18" s="182"/>
      <c r="K18" s="2"/>
      <c r="L18" s="311"/>
      <c r="M18" s="311"/>
    </row>
    <row r="19" spans="1:14">
      <c r="A19" s="132">
        <v>10</v>
      </c>
      <c r="B19" s="182"/>
      <c r="C19" s="182"/>
      <c r="D19" s="182"/>
      <c r="E19" s="182"/>
      <c r="F19" s="182"/>
      <c r="G19" s="182"/>
      <c r="H19" s="182"/>
      <c r="I19" s="182"/>
      <c r="J19" s="182"/>
      <c r="K19" s="2"/>
      <c r="L19" s="311"/>
      <c r="M19" s="311"/>
    </row>
    <row r="20" spans="1:14">
      <c r="A20" s="132">
        <v>11</v>
      </c>
      <c r="B20" s="2"/>
      <c r="C20" s="182"/>
      <c r="D20" s="182"/>
      <c r="E20" s="182"/>
      <c r="F20" s="182"/>
      <c r="G20" s="182"/>
      <c r="H20" s="182"/>
      <c r="I20" s="2" t="s">
        <v>37</v>
      </c>
      <c r="J20" s="2"/>
      <c r="K20" s="160">
        <v>53031.14</v>
      </c>
      <c r="L20" s="311"/>
      <c r="M20" s="311"/>
    </row>
    <row r="21" spans="1:14">
      <c r="A21" s="132">
        <v>12</v>
      </c>
      <c r="B21" s="2"/>
      <c r="C21" s="182"/>
      <c r="D21" s="182"/>
      <c r="E21" s="182"/>
      <c r="F21" s="182"/>
      <c r="G21" s="182"/>
      <c r="H21" s="182"/>
      <c r="I21" s="2"/>
      <c r="J21" s="2"/>
      <c r="K21" s="160"/>
      <c r="L21" s="311"/>
      <c r="M21" s="311"/>
    </row>
    <row r="22" spans="1:14">
      <c r="A22" s="132">
        <v>13</v>
      </c>
      <c r="B22" s="2"/>
      <c r="C22" s="182"/>
      <c r="D22" s="182"/>
      <c r="E22" s="182"/>
      <c r="F22" s="2"/>
      <c r="G22" s="2"/>
      <c r="H22" s="2"/>
      <c r="I22" s="2" t="s">
        <v>167</v>
      </c>
      <c r="J22" s="2"/>
      <c r="K22" s="312">
        <f>K20-K17</f>
        <v>28944.340000000004</v>
      </c>
      <c r="L22" s="311"/>
      <c r="M22" s="311"/>
    </row>
    <row r="23" spans="1:14">
      <c r="A23" s="132">
        <v>14</v>
      </c>
      <c r="B23" s="2"/>
      <c r="C23" s="182"/>
      <c r="D23" s="182"/>
      <c r="E23" s="182"/>
      <c r="F23" s="2"/>
      <c r="G23" s="2"/>
      <c r="H23" s="2"/>
      <c r="I23" s="2"/>
      <c r="J23" s="2"/>
      <c r="K23" s="312"/>
    </row>
    <row r="24" spans="1:14" ht="14.4" thickBot="1">
      <c r="A24" s="132">
        <v>15</v>
      </c>
      <c r="B24" s="2"/>
      <c r="C24" s="182"/>
      <c r="D24" s="182"/>
      <c r="E24" s="182"/>
      <c r="F24" s="2"/>
      <c r="G24" s="2"/>
      <c r="H24" s="2"/>
      <c r="I24" s="3" t="s">
        <v>15</v>
      </c>
      <c r="J24" s="3"/>
      <c r="K24" s="315">
        <f>K22-K20</f>
        <v>-24086.799999999996</v>
      </c>
    </row>
    <row r="25" spans="1:14" ht="14.4" thickTop="1">
      <c r="D25" s="313"/>
      <c r="E25" s="313"/>
      <c r="F25" s="313"/>
      <c r="G25" s="313"/>
      <c r="H25" s="268"/>
      <c r="I25" s="268"/>
      <c r="J25" s="268"/>
    </row>
    <row r="26" spans="1:14">
      <c r="B26" s="314" t="s">
        <v>288</v>
      </c>
      <c r="C26" s="314"/>
      <c r="D26" s="314"/>
      <c r="E26" s="314"/>
      <c r="F26" s="314"/>
      <c r="G26" s="314"/>
      <c r="H26" s="314"/>
      <c r="I26" s="314"/>
      <c r="J26" s="314"/>
    </row>
    <row r="27" spans="1:14">
      <c r="D27" s="313"/>
      <c r="E27" s="313"/>
      <c r="F27" s="313"/>
      <c r="G27" s="313"/>
      <c r="H27" s="313"/>
      <c r="I27" s="313"/>
      <c r="J27" s="313"/>
    </row>
    <row r="28" spans="1:14" ht="14.25" customHeight="1">
      <c r="D28" s="268"/>
      <c r="E28" s="268"/>
      <c r="F28" s="268"/>
      <c r="G28" s="268"/>
      <c r="H28" s="313"/>
      <c r="I28" s="313"/>
      <c r="J28" s="313"/>
      <c r="K28" s="268"/>
      <c r="L28" s="268"/>
      <c r="M28" s="268"/>
      <c r="N28" s="268"/>
    </row>
    <row r="29" spans="1:14">
      <c r="D29" s="313"/>
      <c r="E29" s="313"/>
      <c r="F29" s="313"/>
      <c r="G29" s="313"/>
      <c r="H29" s="313"/>
      <c r="I29" s="313"/>
      <c r="J29" s="313"/>
    </row>
    <row r="30" spans="1:14">
      <c r="C30" s="313"/>
      <c r="D30" s="313"/>
      <c r="E30" s="313"/>
      <c r="F30" s="313"/>
      <c r="G30" s="313"/>
      <c r="H30" s="313"/>
      <c r="I30" s="313"/>
      <c r="J30" s="313"/>
    </row>
    <row r="31" spans="1:14">
      <c r="C31" s="313"/>
      <c r="D31" s="313"/>
      <c r="E31" s="313"/>
      <c r="F31" s="313"/>
      <c r="G31" s="313"/>
      <c r="H31" s="313"/>
      <c r="I31" s="313"/>
      <c r="J31" s="313"/>
    </row>
    <row r="32" spans="1:14">
      <c r="C32" s="313"/>
      <c r="D32" s="313"/>
      <c r="E32" s="313"/>
      <c r="F32" s="313"/>
      <c r="G32" s="313"/>
      <c r="H32" s="313"/>
      <c r="I32" s="313"/>
      <c r="J32" s="313"/>
    </row>
    <row r="33" spans="3:7">
      <c r="C33" s="313"/>
      <c r="D33" s="313"/>
      <c r="E33" s="313"/>
      <c r="F33" s="313"/>
      <c r="G33" s="313"/>
    </row>
    <row r="34" spans="3:7">
      <c r="D34" s="313"/>
      <c r="E34" s="313"/>
      <c r="F34" s="313"/>
      <c r="G34" s="313"/>
    </row>
    <row r="35" spans="3:7">
      <c r="D35" s="313"/>
      <c r="E35" s="313"/>
      <c r="F35" s="313"/>
      <c r="G35" s="313"/>
    </row>
  </sheetData>
  <mergeCells count="4">
    <mergeCell ref="A4:K4"/>
    <mergeCell ref="A5:K5"/>
    <mergeCell ref="A7:K7"/>
    <mergeCell ref="B26:J26"/>
  </mergeCells>
  <printOptions horizontalCentered="1"/>
  <pageMargins left="0.7" right="0.7" top="0.75" bottom="0.75" header="0.3" footer="0.3"/>
  <pageSetup scale="91" orientation="landscape" r:id="rId1"/>
  <headerFooter>
    <oddFooter>&amp;R&amp;"Times New Roman,Regular"Exhibit JW-2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9E9E-0AF9-40D7-A17E-7E3589AAD3CE}">
  <sheetPr>
    <pageSetUpPr fitToPage="1"/>
  </sheetPr>
  <dimension ref="A1:O65"/>
  <sheetViews>
    <sheetView view="pageBreakPreview" topLeftCell="A31" zoomScale="75" zoomScaleNormal="75" zoomScaleSheetLayoutView="75" workbookViewId="0">
      <selection activeCell="I61" sqref="I61"/>
    </sheetView>
  </sheetViews>
  <sheetFormatPr defaultColWidth="9.109375" defaultRowHeight="13.2"/>
  <cols>
    <col min="1" max="1" width="4.109375" style="132" customWidth="1"/>
    <col min="2" max="2" width="11.5546875" style="2" customWidth="1"/>
    <col min="3" max="3" width="14.5546875" style="2" customWidth="1"/>
    <col min="4" max="8" width="16.88671875" style="2" customWidth="1"/>
    <col min="9" max="9" width="9.109375" style="2"/>
    <col min="10" max="10" width="11.33203125" style="2" bestFit="1" customWidth="1"/>
    <col min="11" max="11" width="9.109375" style="2"/>
    <col min="12" max="12" width="11.33203125" style="2" bestFit="1" customWidth="1"/>
    <col min="13" max="16384" width="9.109375" style="2"/>
  </cols>
  <sheetData>
    <row r="1" spans="1:15" ht="15" customHeight="1">
      <c r="G1" s="129"/>
      <c r="H1" s="129" t="s">
        <v>320</v>
      </c>
    </row>
    <row r="2" spans="1:15" ht="20.25" customHeight="1">
      <c r="G2" s="129"/>
      <c r="H2" s="129"/>
    </row>
    <row r="3" spans="1:15">
      <c r="G3" s="129"/>
      <c r="H3" s="129"/>
    </row>
    <row r="4" spans="1:15">
      <c r="B4" s="283" t="str">
        <f>RevReq!A1</f>
        <v>LICKING VALLEY R.E.C.C.</v>
      </c>
      <c r="C4" s="283"/>
      <c r="D4" s="283"/>
      <c r="E4" s="283"/>
      <c r="F4" s="283"/>
      <c r="G4" s="283"/>
      <c r="H4" s="283"/>
      <c r="I4" s="168"/>
      <c r="J4" s="168"/>
      <c r="K4" s="168"/>
      <c r="L4" s="168"/>
      <c r="M4" s="168"/>
      <c r="N4" s="168"/>
      <c r="O4" s="168"/>
    </row>
    <row r="5" spans="1:15">
      <c r="B5" s="283" t="str">
        <f>RevReq!A3</f>
        <v>For the 12 Months Ended December 31, 2023</v>
      </c>
      <c r="C5" s="283"/>
      <c r="D5" s="283"/>
      <c r="E5" s="283"/>
      <c r="F5" s="283"/>
      <c r="G5" s="283"/>
      <c r="H5" s="283"/>
      <c r="I5" s="168"/>
      <c r="J5" s="168"/>
      <c r="K5" s="168"/>
      <c r="L5" s="168"/>
    </row>
    <row r="7" spans="1:15" s="130" customFormat="1" ht="15" customHeight="1">
      <c r="A7" s="177"/>
      <c r="B7" s="282" t="s">
        <v>307</v>
      </c>
      <c r="C7" s="282"/>
      <c r="D7" s="282"/>
      <c r="E7" s="282"/>
      <c r="F7" s="282"/>
      <c r="G7" s="282"/>
      <c r="H7" s="282"/>
      <c r="I7" s="144"/>
      <c r="J7" s="144"/>
      <c r="K7" s="144"/>
      <c r="L7" s="144"/>
    </row>
    <row r="9" spans="1:15">
      <c r="B9" s="94" t="s">
        <v>137</v>
      </c>
      <c r="C9" s="94" t="s">
        <v>138</v>
      </c>
      <c r="D9" s="94" t="s">
        <v>301</v>
      </c>
      <c r="E9" s="94" t="s">
        <v>302</v>
      </c>
      <c r="F9" s="94" t="s">
        <v>303</v>
      </c>
      <c r="G9" s="94" t="s">
        <v>304</v>
      </c>
      <c r="H9" s="94" t="s">
        <v>305</v>
      </c>
    </row>
    <row r="10" spans="1:15">
      <c r="B10" s="94"/>
      <c r="C10" s="94"/>
      <c r="D10" s="91"/>
      <c r="E10" s="91"/>
      <c r="F10" s="91"/>
      <c r="G10" s="91" t="s">
        <v>308</v>
      </c>
      <c r="H10" s="91" t="s">
        <v>309</v>
      </c>
      <c r="I10" s="91"/>
    </row>
    <row r="11" spans="1:15" ht="31.5" customHeight="1">
      <c r="A11" s="178" t="s">
        <v>21</v>
      </c>
      <c r="B11" s="71" t="s">
        <v>310</v>
      </c>
      <c r="C11" s="179" t="s">
        <v>311</v>
      </c>
      <c r="D11" s="179" t="s">
        <v>312</v>
      </c>
      <c r="E11" s="179" t="s">
        <v>313</v>
      </c>
      <c r="F11" s="179" t="s">
        <v>314</v>
      </c>
      <c r="G11" s="179" t="s">
        <v>315</v>
      </c>
      <c r="H11" s="179" t="s">
        <v>316</v>
      </c>
      <c r="I11" s="91"/>
    </row>
    <row r="12" spans="1:15">
      <c r="A12" s="132">
        <v>1</v>
      </c>
      <c r="B12" s="1">
        <v>1</v>
      </c>
      <c r="C12" s="160">
        <v>706.59</v>
      </c>
      <c r="D12" s="160">
        <v>34.950000000000003</v>
      </c>
      <c r="E12" s="180">
        <f>+D12*2080</f>
        <v>72696</v>
      </c>
      <c r="F12" s="160">
        <f>IF(E12&gt;50000,50000,E12)</f>
        <v>50000</v>
      </c>
      <c r="G12" s="160">
        <f>+E12*2</f>
        <v>145392</v>
      </c>
      <c r="H12" s="181">
        <f>((G12-F12)/G12)*C12</f>
        <v>463.59519973588647</v>
      </c>
      <c r="I12" s="182"/>
      <c r="J12" s="180"/>
      <c r="L12" s="180"/>
    </row>
    <row r="13" spans="1:15">
      <c r="A13" s="132">
        <f>A12+1</f>
        <v>2</v>
      </c>
      <c r="B13" s="1">
        <v>2</v>
      </c>
      <c r="C13" s="160">
        <v>319.98</v>
      </c>
      <c r="D13" s="160">
        <v>16</v>
      </c>
      <c r="E13" s="180">
        <f t="shared" ref="E13:E53" si="0">+D13*2080</f>
        <v>33280</v>
      </c>
      <c r="F13" s="160">
        <f t="shared" ref="F13:F54" si="1">IF(E13&gt;50000,50000,E13)</f>
        <v>33280</v>
      </c>
      <c r="G13" s="160">
        <f t="shared" ref="G13:G54" si="2">+E13*2</f>
        <v>66560</v>
      </c>
      <c r="H13" s="181">
        <f t="shared" ref="H13:H52" si="3">((G13-F13)/G13)*C13</f>
        <v>159.99</v>
      </c>
      <c r="I13" s="182"/>
      <c r="J13" s="180"/>
      <c r="L13" s="180"/>
    </row>
    <row r="14" spans="1:15">
      <c r="A14" s="132">
        <f t="shared" ref="A14:A63" si="4">A13+1</f>
        <v>3</v>
      </c>
      <c r="B14" s="1">
        <v>3</v>
      </c>
      <c r="C14" s="160">
        <v>793.53</v>
      </c>
      <c r="D14" s="160">
        <v>50.33</v>
      </c>
      <c r="E14" s="180">
        <f t="shared" si="0"/>
        <v>104686.39999999999</v>
      </c>
      <c r="F14" s="160">
        <f t="shared" si="1"/>
        <v>50000</v>
      </c>
      <c r="G14" s="160">
        <f t="shared" si="2"/>
        <v>209372.79999999999</v>
      </c>
      <c r="H14" s="181">
        <f t="shared" si="3"/>
        <v>604.02830732549785</v>
      </c>
      <c r="I14" s="182"/>
      <c r="J14" s="180"/>
      <c r="L14" s="180"/>
    </row>
    <row r="15" spans="1:15">
      <c r="A15" s="132">
        <f t="shared" si="4"/>
        <v>4</v>
      </c>
      <c r="B15" s="1">
        <v>4</v>
      </c>
      <c r="C15" s="160">
        <v>654.96</v>
      </c>
      <c r="D15" s="160">
        <v>24.65</v>
      </c>
      <c r="E15" s="180">
        <f t="shared" si="0"/>
        <v>51272</v>
      </c>
      <c r="F15" s="160">
        <f t="shared" si="1"/>
        <v>50000</v>
      </c>
      <c r="G15" s="160">
        <f t="shared" si="2"/>
        <v>102544</v>
      </c>
      <c r="H15" s="181">
        <f t="shared" si="3"/>
        <v>335.60440630363553</v>
      </c>
      <c r="I15" s="182"/>
      <c r="J15" s="180"/>
      <c r="L15" s="180"/>
    </row>
    <row r="16" spans="1:15">
      <c r="A16" s="132">
        <f t="shared" si="4"/>
        <v>5</v>
      </c>
      <c r="B16" s="1">
        <v>5</v>
      </c>
      <c r="C16" s="160">
        <v>758.19</v>
      </c>
      <c r="D16" s="160">
        <v>29.73</v>
      </c>
      <c r="E16" s="180">
        <f t="shared" si="0"/>
        <v>61838.400000000001</v>
      </c>
      <c r="F16" s="160">
        <f t="shared" si="1"/>
        <v>50000</v>
      </c>
      <c r="G16" s="160">
        <f t="shared" si="2"/>
        <v>123676.8</v>
      </c>
      <c r="H16" s="181">
        <f t="shared" si="3"/>
        <v>451.66929441900186</v>
      </c>
      <c r="I16" s="182"/>
      <c r="J16" s="180"/>
      <c r="L16" s="180"/>
    </row>
    <row r="17" spans="1:12">
      <c r="A17" s="132">
        <f t="shared" si="4"/>
        <v>6</v>
      </c>
      <c r="B17" s="1">
        <v>6</v>
      </c>
      <c r="C17" s="160">
        <v>493.12</v>
      </c>
      <c r="D17" s="160">
        <v>17.8</v>
      </c>
      <c r="E17" s="180">
        <f t="shared" si="0"/>
        <v>37024</v>
      </c>
      <c r="F17" s="160">
        <f t="shared" si="1"/>
        <v>37024</v>
      </c>
      <c r="G17" s="160">
        <f t="shared" si="2"/>
        <v>74048</v>
      </c>
      <c r="H17" s="181">
        <f t="shared" si="3"/>
        <v>246.56</v>
      </c>
      <c r="I17" s="182"/>
      <c r="J17" s="180"/>
      <c r="L17" s="180"/>
    </row>
    <row r="18" spans="1:12">
      <c r="A18" s="132">
        <f t="shared" si="4"/>
        <v>7</v>
      </c>
      <c r="B18" s="1">
        <v>7</v>
      </c>
      <c r="C18" s="160">
        <v>685.39</v>
      </c>
      <c r="D18" s="160">
        <v>27.22</v>
      </c>
      <c r="E18" s="180">
        <f t="shared" si="0"/>
        <v>56617.599999999999</v>
      </c>
      <c r="F18" s="160">
        <f t="shared" si="1"/>
        <v>50000</v>
      </c>
      <c r="G18" s="160">
        <f t="shared" si="2"/>
        <v>113235.2</v>
      </c>
      <c r="H18" s="181">
        <f t="shared" si="3"/>
        <v>382.75000819533147</v>
      </c>
      <c r="I18" s="182"/>
      <c r="J18" s="180"/>
      <c r="L18" s="180"/>
    </row>
    <row r="19" spans="1:12">
      <c r="A19" s="132">
        <f t="shared" si="4"/>
        <v>8</v>
      </c>
      <c r="B19" s="1">
        <v>8</v>
      </c>
      <c r="C19" s="160">
        <v>685.98</v>
      </c>
      <c r="D19" s="160">
        <v>26.25</v>
      </c>
      <c r="E19" s="180">
        <f t="shared" si="0"/>
        <v>54600</v>
      </c>
      <c r="F19" s="160">
        <f t="shared" si="1"/>
        <v>50000</v>
      </c>
      <c r="G19" s="160">
        <f t="shared" si="2"/>
        <v>109200</v>
      </c>
      <c r="H19" s="181">
        <f t="shared" si="3"/>
        <v>371.88659340659336</v>
      </c>
      <c r="I19" s="182"/>
      <c r="J19" s="180"/>
      <c r="L19" s="180"/>
    </row>
    <row r="20" spans="1:12">
      <c r="A20" s="132">
        <f t="shared" si="4"/>
        <v>9</v>
      </c>
      <c r="B20" s="1">
        <v>9</v>
      </c>
      <c r="C20" s="160">
        <v>840.81</v>
      </c>
      <c r="D20" s="160">
        <v>37.520000000000003</v>
      </c>
      <c r="E20" s="180">
        <f t="shared" si="0"/>
        <v>78041.600000000006</v>
      </c>
      <c r="F20" s="160">
        <f t="shared" si="1"/>
        <v>50000</v>
      </c>
      <c r="G20" s="160">
        <f t="shared" si="2"/>
        <v>156083.20000000001</v>
      </c>
      <c r="H20" s="181">
        <f t="shared" si="3"/>
        <v>571.46326697556174</v>
      </c>
      <c r="I20" s="182"/>
      <c r="J20" s="180"/>
      <c r="L20" s="180"/>
    </row>
    <row r="21" spans="1:12">
      <c r="A21" s="132">
        <f t="shared" si="4"/>
        <v>10</v>
      </c>
      <c r="B21" s="1">
        <v>10</v>
      </c>
      <c r="C21" s="160">
        <v>482.67</v>
      </c>
      <c r="D21" s="160">
        <v>18</v>
      </c>
      <c r="E21" s="180">
        <f t="shared" si="0"/>
        <v>37440</v>
      </c>
      <c r="F21" s="160">
        <f t="shared" si="1"/>
        <v>37440</v>
      </c>
      <c r="G21" s="160">
        <f t="shared" si="2"/>
        <v>74880</v>
      </c>
      <c r="H21" s="181">
        <f t="shared" si="3"/>
        <v>241.33500000000001</v>
      </c>
      <c r="I21" s="182"/>
      <c r="J21" s="180"/>
      <c r="L21" s="180"/>
    </row>
    <row r="22" spans="1:12">
      <c r="A22" s="132">
        <f t="shared" si="4"/>
        <v>11</v>
      </c>
      <c r="B22" s="1">
        <v>11</v>
      </c>
      <c r="C22" s="160">
        <v>820.1</v>
      </c>
      <c r="D22" s="160">
        <v>32.200000000000003</v>
      </c>
      <c r="E22" s="180">
        <f t="shared" si="0"/>
        <v>66976</v>
      </c>
      <c r="F22" s="160">
        <f t="shared" si="1"/>
        <v>50000</v>
      </c>
      <c r="G22" s="160">
        <f t="shared" si="2"/>
        <v>133952</v>
      </c>
      <c r="H22" s="181">
        <f t="shared" si="3"/>
        <v>513.9828834209269</v>
      </c>
      <c r="I22" s="182"/>
      <c r="J22" s="180"/>
      <c r="L22" s="180"/>
    </row>
    <row r="23" spans="1:12">
      <c r="A23" s="132">
        <f t="shared" si="4"/>
        <v>12</v>
      </c>
      <c r="B23" s="1">
        <v>12</v>
      </c>
      <c r="C23" s="160">
        <v>840.81</v>
      </c>
      <c r="D23" s="160">
        <v>34.950000000000003</v>
      </c>
      <c r="E23" s="180">
        <f t="shared" si="0"/>
        <v>72696</v>
      </c>
      <c r="F23" s="160">
        <f t="shared" si="1"/>
        <v>50000</v>
      </c>
      <c r="G23" s="160">
        <f t="shared" si="2"/>
        <v>145392</v>
      </c>
      <c r="H23" s="181">
        <f t="shared" si="3"/>
        <v>551.65722680752719</v>
      </c>
      <c r="I23" s="182"/>
      <c r="J23" s="180"/>
      <c r="L23" s="180"/>
    </row>
    <row r="24" spans="1:12">
      <c r="A24" s="132">
        <f t="shared" si="4"/>
        <v>13</v>
      </c>
      <c r="B24" s="1">
        <v>13</v>
      </c>
      <c r="C24" s="160">
        <v>548.84</v>
      </c>
      <c r="D24" s="160">
        <v>20</v>
      </c>
      <c r="E24" s="180">
        <f t="shared" si="0"/>
        <v>41600</v>
      </c>
      <c r="F24" s="160">
        <f t="shared" si="1"/>
        <v>41600</v>
      </c>
      <c r="G24" s="160">
        <f t="shared" si="2"/>
        <v>83200</v>
      </c>
      <c r="H24" s="181">
        <f t="shared" si="3"/>
        <v>274.42</v>
      </c>
      <c r="I24" s="182"/>
      <c r="J24" s="180"/>
      <c r="L24" s="180"/>
    </row>
    <row r="25" spans="1:12">
      <c r="A25" s="132">
        <f t="shared" si="4"/>
        <v>14</v>
      </c>
      <c r="B25" s="1">
        <v>14</v>
      </c>
      <c r="C25" s="160">
        <v>840.81</v>
      </c>
      <c r="D25" s="160">
        <v>37.520000000000003</v>
      </c>
      <c r="E25" s="180">
        <f t="shared" si="0"/>
        <v>78041.600000000006</v>
      </c>
      <c r="F25" s="160">
        <f>IF(E25&gt;50000,50000,E25)</f>
        <v>50000</v>
      </c>
      <c r="G25" s="160">
        <f>+E25*2</f>
        <v>156083.20000000001</v>
      </c>
      <c r="H25" s="181">
        <f>((G25-F25)/G25)*C25</f>
        <v>571.46326697556174</v>
      </c>
      <c r="I25" s="182"/>
      <c r="J25" s="180"/>
      <c r="L25" s="180"/>
    </row>
    <row r="26" spans="1:12">
      <c r="A26" s="132">
        <f t="shared" si="4"/>
        <v>15</v>
      </c>
      <c r="B26" s="1">
        <v>15</v>
      </c>
      <c r="C26" s="160">
        <v>737.58</v>
      </c>
      <c r="D26" s="160">
        <v>28.58</v>
      </c>
      <c r="E26" s="180">
        <f t="shared" si="0"/>
        <v>59446.399999999994</v>
      </c>
      <c r="F26" s="160">
        <f t="shared" si="1"/>
        <v>50000</v>
      </c>
      <c r="G26" s="160">
        <f t="shared" si="2"/>
        <v>118892.79999999999</v>
      </c>
      <c r="H26" s="181">
        <f t="shared" si="3"/>
        <v>427.39300802067072</v>
      </c>
      <c r="I26" s="182"/>
      <c r="J26" s="180"/>
      <c r="L26" s="180"/>
    </row>
    <row r="27" spans="1:12">
      <c r="A27" s="132">
        <f t="shared" si="4"/>
        <v>16</v>
      </c>
      <c r="B27" s="1">
        <v>16</v>
      </c>
      <c r="C27" s="160">
        <v>737.58</v>
      </c>
      <c r="D27" s="160">
        <v>28.38</v>
      </c>
      <c r="E27" s="180">
        <f t="shared" si="0"/>
        <v>59030.400000000001</v>
      </c>
      <c r="F27" s="160">
        <f t="shared" si="1"/>
        <v>50000</v>
      </c>
      <c r="G27" s="160">
        <f t="shared" si="2"/>
        <v>118060.8</v>
      </c>
      <c r="H27" s="181">
        <f t="shared" si="3"/>
        <v>425.20705317937882</v>
      </c>
      <c r="I27" s="182"/>
      <c r="J27" s="180"/>
      <c r="L27" s="180"/>
    </row>
    <row r="28" spans="1:12">
      <c r="A28" s="132">
        <f t="shared" si="4"/>
        <v>17</v>
      </c>
      <c r="B28" s="1">
        <v>17</v>
      </c>
      <c r="C28" s="160">
        <v>1150.5</v>
      </c>
      <c r="D28" s="160">
        <v>70.67</v>
      </c>
      <c r="E28" s="180">
        <f t="shared" si="0"/>
        <v>146993.60000000001</v>
      </c>
      <c r="F28" s="160">
        <f t="shared" si="1"/>
        <v>50000</v>
      </c>
      <c r="G28" s="160">
        <f t="shared" si="2"/>
        <v>293987.20000000001</v>
      </c>
      <c r="H28" s="181">
        <f t="shared" si="3"/>
        <v>954.82821565020527</v>
      </c>
      <c r="I28" s="182"/>
      <c r="J28" s="180"/>
      <c r="L28" s="180"/>
    </row>
    <row r="29" spans="1:12">
      <c r="A29" s="132">
        <f t="shared" si="4"/>
        <v>18</v>
      </c>
      <c r="B29" s="1">
        <v>18</v>
      </c>
      <c r="C29" s="160">
        <v>750.44</v>
      </c>
      <c r="D29" s="160">
        <v>30</v>
      </c>
      <c r="E29" s="180">
        <f t="shared" si="0"/>
        <v>62400</v>
      </c>
      <c r="F29" s="160">
        <f t="shared" si="1"/>
        <v>50000</v>
      </c>
      <c r="G29" s="160">
        <f t="shared" si="2"/>
        <v>124800</v>
      </c>
      <c r="H29" s="181">
        <f t="shared" si="3"/>
        <v>449.78294871794873</v>
      </c>
      <c r="I29" s="182"/>
      <c r="J29" s="180"/>
      <c r="L29" s="180"/>
    </row>
    <row r="30" spans="1:12">
      <c r="A30" s="132">
        <f t="shared" si="4"/>
        <v>19</v>
      </c>
      <c r="B30" s="1">
        <v>19</v>
      </c>
      <c r="C30" s="160">
        <v>510.51</v>
      </c>
      <c r="D30" s="160">
        <v>17.850000000000001</v>
      </c>
      <c r="E30" s="180">
        <f t="shared" si="0"/>
        <v>37128</v>
      </c>
      <c r="F30" s="160">
        <f t="shared" si="1"/>
        <v>37128</v>
      </c>
      <c r="G30" s="160">
        <f t="shared" si="2"/>
        <v>74256</v>
      </c>
      <c r="H30" s="181">
        <f t="shared" si="3"/>
        <v>255.255</v>
      </c>
      <c r="I30" s="182"/>
      <c r="J30" s="180"/>
      <c r="L30" s="180"/>
    </row>
    <row r="31" spans="1:12">
      <c r="A31" s="132">
        <f t="shared" si="4"/>
        <v>20</v>
      </c>
      <c r="B31" s="1">
        <v>20</v>
      </c>
      <c r="C31" s="160">
        <v>768.6</v>
      </c>
      <c r="D31" s="160">
        <v>29.96</v>
      </c>
      <c r="E31" s="180">
        <f t="shared" si="0"/>
        <v>62316.800000000003</v>
      </c>
      <c r="F31" s="160">
        <f t="shared" si="1"/>
        <v>50000</v>
      </c>
      <c r="G31" s="160">
        <f t="shared" si="2"/>
        <v>124633.60000000001</v>
      </c>
      <c r="H31" s="181">
        <f t="shared" si="3"/>
        <v>460.25618260244431</v>
      </c>
      <c r="I31" s="182"/>
      <c r="J31" s="180"/>
      <c r="L31" s="180"/>
    </row>
    <row r="32" spans="1:12">
      <c r="A32" s="132">
        <f t="shared" si="4"/>
        <v>21</v>
      </c>
      <c r="B32" s="1">
        <v>21</v>
      </c>
      <c r="C32" s="160">
        <v>840.81</v>
      </c>
      <c r="D32" s="160">
        <v>37.520000000000003</v>
      </c>
      <c r="E32" s="180">
        <f t="shared" si="0"/>
        <v>78041.600000000006</v>
      </c>
      <c r="F32" s="160">
        <f t="shared" si="1"/>
        <v>50000</v>
      </c>
      <c r="G32" s="160">
        <f t="shared" si="2"/>
        <v>156083.20000000001</v>
      </c>
      <c r="H32" s="181">
        <f t="shared" si="3"/>
        <v>571.46326697556174</v>
      </c>
      <c r="I32" s="182"/>
      <c r="J32" s="180"/>
      <c r="L32" s="180"/>
    </row>
    <row r="33" spans="1:12">
      <c r="A33" s="132">
        <f t="shared" si="4"/>
        <v>22</v>
      </c>
      <c r="B33" s="1">
        <v>22</v>
      </c>
      <c r="C33" s="160">
        <v>840.81</v>
      </c>
      <c r="D33" s="160">
        <v>39.619999999999997</v>
      </c>
      <c r="E33" s="180">
        <f t="shared" si="0"/>
        <v>82409.599999999991</v>
      </c>
      <c r="F33" s="160">
        <f t="shared" si="1"/>
        <v>50000</v>
      </c>
      <c r="G33" s="160">
        <f t="shared" si="2"/>
        <v>164819.19999999998</v>
      </c>
      <c r="H33" s="181">
        <f t="shared" si="3"/>
        <v>585.73959558109732</v>
      </c>
      <c r="I33" s="182"/>
      <c r="J33" s="180"/>
      <c r="L33" s="180"/>
    </row>
    <row r="34" spans="1:12">
      <c r="A34" s="132">
        <f t="shared" si="4"/>
        <v>23</v>
      </c>
      <c r="B34" s="1">
        <v>23</v>
      </c>
      <c r="C34" s="160">
        <v>778.89</v>
      </c>
      <c r="D34" s="160">
        <v>30.72</v>
      </c>
      <c r="E34" s="180">
        <f t="shared" si="0"/>
        <v>63897.599999999999</v>
      </c>
      <c r="F34" s="160">
        <f t="shared" si="1"/>
        <v>50000</v>
      </c>
      <c r="G34" s="160">
        <f t="shared" si="2"/>
        <v>127795.2</v>
      </c>
      <c r="H34" s="181">
        <f t="shared" si="3"/>
        <v>474.14850736177885</v>
      </c>
      <c r="I34" s="182"/>
      <c r="J34" s="180"/>
      <c r="L34" s="180"/>
    </row>
    <row r="35" spans="1:12">
      <c r="A35" s="132">
        <f t="shared" si="4"/>
        <v>24</v>
      </c>
      <c r="B35" s="1">
        <v>24</v>
      </c>
      <c r="C35" s="160">
        <v>1026.6600000000001</v>
      </c>
      <c r="D35" s="160">
        <v>41.92</v>
      </c>
      <c r="E35" s="180">
        <f t="shared" si="0"/>
        <v>87193.600000000006</v>
      </c>
      <c r="F35" s="160">
        <f t="shared" si="1"/>
        <v>50000</v>
      </c>
      <c r="G35" s="160">
        <f t="shared" si="2"/>
        <v>174387.20000000001</v>
      </c>
      <c r="H35" s="181">
        <f t="shared" si="3"/>
        <v>732.29779910452146</v>
      </c>
      <c r="I35" s="182"/>
      <c r="J35" s="180"/>
      <c r="L35" s="180"/>
    </row>
    <row r="36" spans="1:12">
      <c r="A36" s="132">
        <f t="shared" si="4"/>
        <v>25</v>
      </c>
      <c r="B36" s="1">
        <v>25</v>
      </c>
      <c r="C36" s="160">
        <v>840.81</v>
      </c>
      <c r="D36" s="160">
        <v>35.67</v>
      </c>
      <c r="E36" s="180">
        <f t="shared" si="0"/>
        <v>74193.600000000006</v>
      </c>
      <c r="F36" s="160">
        <f t="shared" si="1"/>
        <v>50000</v>
      </c>
      <c r="G36" s="160">
        <f t="shared" si="2"/>
        <v>148387.20000000001</v>
      </c>
      <c r="H36" s="181">
        <f t="shared" si="3"/>
        <v>557.4937840460633</v>
      </c>
      <c r="I36" s="182"/>
      <c r="J36" s="180"/>
      <c r="L36" s="180"/>
    </row>
    <row r="37" spans="1:12">
      <c r="A37" s="132">
        <f t="shared" si="4"/>
        <v>26</v>
      </c>
      <c r="B37" s="1">
        <v>26</v>
      </c>
      <c r="C37" s="160">
        <v>1150.5</v>
      </c>
      <c r="D37" s="160">
        <v>52.89</v>
      </c>
      <c r="E37" s="180">
        <f t="shared" si="0"/>
        <v>110011.2</v>
      </c>
      <c r="F37" s="160">
        <f t="shared" si="1"/>
        <v>50000</v>
      </c>
      <c r="G37" s="160">
        <f t="shared" si="2"/>
        <v>220022.39999999999</v>
      </c>
      <c r="H37" s="181">
        <f t="shared" si="3"/>
        <v>889.0493477027793</v>
      </c>
      <c r="I37" s="182"/>
      <c r="J37" s="180"/>
      <c r="L37" s="180"/>
    </row>
    <row r="38" spans="1:12">
      <c r="A38" s="132">
        <f t="shared" si="4"/>
        <v>27</v>
      </c>
      <c r="B38" s="1">
        <v>27</v>
      </c>
      <c r="C38" s="160">
        <v>840.81</v>
      </c>
      <c r="D38" s="160">
        <v>39.409999999999997</v>
      </c>
      <c r="E38" s="180">
        <f t="shared" si="0"/>
        <v>81972.799999999988</v>
      </c>
      <c r="F38" s="160">
        <f t="shared" si="1"/>
        <v>50000</v>
      </c>
      <c r="G38" s="160">
        <f t="shared" si="2"/>
        <v>163945.59999999998</v>
      </c>
      <c r="H38" s="181">
        <f t="shared" si="3"/>
        <v>584.38042823961109</v>
      </c>
      <c r="I38" s="182"/>
      <c r="J38" s="180"/>
      <c r="L38" s="180"/>
    </row>
    <row r="39" spans="1:12">
      <c r="A39" s="132">
        <f t="shared" si="4"/>
        <v>28</v>
      </c>
      <c r="B39" s="1">
        <v>28</v>
      </c>
      <c r="C39" s="160">
        <v>840.81</v>
      </c>
      <c r="D39" s="160">
        <v>39.520000000000003</v>
      </c>
      <c r="E39" s="180">
        <f t="shared" si="0"/>
        <v>82201.600000000006</v>
      </c>
      <c r="F39" s="160">
        <f t="shared" si="1"/>
        <v>50000</v>
      </c>
      <c r="G39" s="160">
        <f t="shared" si="2"/>
        <v>164403.20000000001</v>
      </c>
      <c r="H39" s="181">
        <f t="shared" si="3"/>
        <v>585.09417451728427</v>
      </c>
      <c r="I39" s="182"/>
      <c r="J39" s="180"/>
      <c r="L39" s="180"/>
    </row>
    <row r="40" spans="1:12">
      <c r="A40" s="132">
        <f t="shared" si="4"/>
        <v>29</v>
      </c>
      <c r="B40" s="1">
        <v>29</v>
      </c>
      <c r="C40" s="160">
        <v>503.35</v>
      </c>
      <c r="D40" s="160">
        <v>19</v>
      </c>
      <c r="E40" s="180">
        <f t="shared" si="0"/>
        <v>39520</v>
      </c>
      <c r="F40" s="160">
        <f t="shared" si="1"/>
        <v>39520</v>
      </c>
      <c r="G40" s="160">
        <f t="shared" si="2"/>
        <v>79040</v>
      </c>
      <c r="H40" s="181">
        <f t="shared" si="3"/>
        <v>251.67500000000001</v>
      </c>
      <c r="I40" s="182"/>
      <c r="J40" s="180"/>
      <c r="L40" s="180"/>
    </row>
    <row r="41" spans="1:12">
      <c r="A41" s="132">
        <f t="shared" si="4"/>
        <v>30</v>
      </c>
      <c r="B41" s="1">
        <v>30</v>
      </c>
      <c r="C41" s="160">
        <v>107.58</v>
      </c>
      <c r="D41" s="160">
        <v>21</v>
      </c>
      <c r="E41" s="180">
        <f t="shared" si="0"/>
        <v>43680</v>
      </c>
      <c r="F41" s="160">
        <f t="shared" si="1"/>
        <v>43680</v>
      </c>
      <c r="G41" s="160">
        <f t="shared" si="2"/>
        <v>87360</v>
      </c>
      <c r="H41" s="181">
        <f t="shared" si="3"/>
        <v>53.79</v>
      </c>
      <c r="I41" s="182"/>
      <c r="J41" s="180"/>
      <c r="L41" s="180"/>
    </row>
    <row r="42" spans="1:12">
      <c r="A42" s="132">
        <f t="shared" si="4"/>
        <v>31</v>
      </c>
      <c r="B42" s="1">
        <v>31</v>
      </c>
      <c r="C42" s="160">
        <v>892.88</v>
      </c>
      <c r="D42" s="160">
        <v>36.42</v>
      </c>
      <c r="E42" s="180">
        <f t="shared" si="0"/>
        <v>75753.600000000006</v>
      </c>
      <c r="F42" s="160">
        <f t="shared" si="1"/>
        <v>50000</v>
      </c>
      <c r="G42" s="160">
        <f t="shared" si="2"/>
        <v>151507.20000000001</v>
      </c>
      <c r="H42" s="181">
        <f t="shared" si="3"/>
        <v>598.2141359354539</v>
      </c>
      <c r="I42" s="182"/>
      <c r="J42" s="180"/>
      <c r="L42" s="180"/>
    </row>
    <row r="43" spans="1:12">
      <c r="A43" s="132">
        <f t="shared" si="4"/>
        <v>32</v>
      </c>
      <c r="B43" s="1">
        <v>32</v>
      </c>
      <c r="C43" s="160">
        <v>747.78</v>
      </c>
      <c r="D43" s="160">
        <v>30</v>
      </c>
      <c r="E43" s="180">
        <f t="shared" si="0"/>
        <v>62400</v>
      </c>
      <c r="F43" s="160">
        <f t="shared" si="1"/>
        <v>50000</v>
      </c>
      <c r="G43" s="160">
        <f t="shared" si="2"/>
        <v>124800</v>
      </c>
      <c r="H43" s="181">
        <f t="shared" si="3"/>
        <v>448.18865384615384</v>
      </c>
      <c r="I43" s="182"/>
      <c r="J43" s="180"/>
      <c r="L43" s="180"/>
    </row>
    <row r="44" spans="1:12">
      <c r="A44" s="132">
        <f t="shared" si="4"/>
        <v>33</v>
      </c>
      <c r="B44" s="1">
        <v>33</v>
      </c>
      <c r="C44" s="160">
        <v>519.99</v>
      </c>
      <c r="D44" s="160">
        <v>21</v>
      </c>
      <c r="E44" s="180">
        <f t="shared" si="0"/>
        <v>43680</v>
      </c>
      <c r="F44" s="160">
        <f t="shared" si="1"/>
        <v>43680</v>
      </c>
      <c r="G44" s="160">
        <f t="shared" si="2"/>
        <v>87360</v>
      </c>
      <c r="H44" s="181">
        <f t="shared" si="3"/>
        <v>259.995</v>
      </c>
      <c r="I44" s="182"/>
      <c r="J44" s="180"/>
      <c r="L44" s="180"/>
    </row>
    <row r="45" spans="1:12">
      <c r="A45" s="132">
        <f t="shared" si="4"/>
        <v>34</v>
      </c>
      <c r="B45" s="1">
        <v>34</v>
      </c>
      <c r="C45" s="160">
        <v>840.81</v>
      </c>
      <c r="D45" s="160">
        <v>37.33</v>
      </c>
      <c r="E45" s="180">
        <f t="shared" si="0"/>
        <v>77646.399999999994</v>
      </c>
      <c r="F45" s="160">
        <f t="shared" si="1"/>
        <v>50000</v>
      </c>
      <c r="G45" s="160">
        <f t="shared" si="2"/>
        <v>155292.79999999999</v>
      </c>
      <c r="H45" s="181">
        <f t="shared" si="3"/>
        <v>570.09236209276912</v>
      </c>
      <c r="I45" s="182"/>
      <c r="J45" s="180"/>
      <c r="L45" s="180"/>
    </row>
    <row r="46" spans="1:12">
      <c r="A46" s="132">
        <f t="shared" si="4"/>
        <v>35</v>
      </c>
      <c r="B46" s="1">
        <v>35</v>
      </c>
      <c r="C46" s="160">
        <v>933.75</v>
      </c>
      <c r="D46" s="160">
        <v>37.520000000000003</v>
      </c>
      <c r="E46" s="180">
        <f t="shared" si="0"/>
        <v>78041.600000000006</v>
      </c>
      <c r="F46" s="160">
        <f t="shared" si="1"/>
        <v>50000</v>
      </c>
      <c r="G46" s="160">
        <f t="shared" si="2"/>
        <v>156083.20000000001</v>
      </c>
      <c r="H46" s="181">
        <f t="shared" si="3"/>
        <v>634.63068414794157</v>
      </c>
      <c r="I46" s="182"/>
      <c r="J46" s="180"/>
      <c r="L46" s="180"/>
    </row>
    <row r="47" spans="1:12">
      <c r="A47" s="132">
        <f t="shared" si="4"/>
        <v>36</v>
      </c>
      <c r="B47" s="1">
        <v>36</v>
      </c>
      <c r="C47" s="160">
        <v>933.75</v>
      </c>
      <c r="D47" s="160">
        <v>37.520000000000003</v>
      </c>
      <c r="E47" s="180">
        <f t="shared" si="0"/>
        <v>78041.600000000006</v>
      </c>
      <c r="F47" s="160">
        <f t="shared" si="1"/>
        <v>50000</v>
      </c>
      <c r="G47" s="160">
        <f t="shared" si="2"/>
        <v>156083.20000000001</v>
      </c>
      <c r="H47" s="181">
        <f t="shared" si="3"/>
        <v>634.63068414794157</v>
      </c>
      <c r="I47" s="182"/>
      <c r="J47" s="180"/>
      <c r="L47" s="180"/>
    </row>
    <row r="48" spans="1:12">
      <c r="A48" s="132">
        <f t="shared" si="4"/>
        <v>37</v>
      </c>
      <c r="B48" s="1">
        <v>37</v>
      </c>
      <c r="C48" s="160">
        <v>986.35</v>
      </c>
      <c r="D48" s="160">
        <v>40.700000000000003</v>
      </c>
      <c r="E48" s="180">
        <f t="shared" si="0"/>
        <v>84656</v>
      </c>
      <c r="F48" s="160">
        <f t="shared" si="1"/>
        <v>50000</v>
      </c>
      <c r="G48" s="160">
        <f t="shared" si="2"/>
        <v>169312</v>
      </c>
      <c r="H48" s="181">
        <f t="shared" si="3"/>
        <v>695.06822434322441</v>
      </c>
      <c r="I48" s="182"/>
      <c r="J48" s="180"/>
      <c r="L48" s="180"/>
    </row>
    <row r="49" spans="1:12">
      <c r="A49" s="132">
        <f t="shared" si="4"/>
        <v>38</v>
      </c>
      <c r="B49" s="1">
        <v>38</v>
      </c>
      <c r="C49" s="160">
        <v>634.35</v>
      </c>
      <c r="D49" s="160">
        <v>23.92</v>
      </c>
      <c r="E49" s="180">
        <f t="shared" si="0"/>
        <v>49753.600000000006</v>
      </c>
      <c r="F49" s="160">
        <f t="shared" si="1"/>
        <v>49753.600000000006</v>
      </c>
      <c r="G49" s="160">
        <f t="shared" si="2"/>
        <v>99507.200000000012</v>
      </c>
      <c r="H49" s="181">
        <f t="shared" si="3"/>
        <v>317.17500000000001</v>
      </c>
      <c r="I49" s="182"/>
      <c r="J49" s="180"/>
      <c r="L49" s="180"/>
    </row>
    <row r="50" spans="1:12">
      <c r="A50" s="132">
        <f t="shared" si="4"/>
        <v>39</v>
      </c>
      <c r="B50" s="1">
        <v>39</v>
      </c>
      <c r="C50" s="160">
        <v>933.75</v>
      </c>
      <c r="D50" s="160">
        <v>37.520000000000003</v>
      </c>
      <c r="E50" s="180">
        <f t="shared" si="0"/>
        <v>78041.600000000006</v>
      </c>
      <c r="F50" s="160">
        <f t="shared" si="1"/>
        <v>50000</v>
      </c>
      <c r="G50" s="160">
        <f t="shared" si="2"/>
        <v>156083.20000000001</v>
      </c>
      <c r="H50" s="181">
        <f t="shared" si="3"/>
        <v>634.63068414794157</v>
      </c>
      <c r="I50" s="182"/>
      <c r="J50" s="180"/>
      <c r="L50" s="180"/>
    </row>
    <row r="51" spans="1:12">
      <c r="A51" s="132">
        <f t="shared" si="4"/>
        <v>40</v>
      </c>
      <c r="B51" s="1">
        <v>40</v>
      </c>
      <c r="C51" s="160">
        <v>840.81</v>
      </c>
      <c r="D51" s="160">
        <v>37.520000000000003</v>
      </c>
      <c r="E51" s="180">
        <f t="shared" si="0"/>
        <v>78041.600000000006</v>
      </c>
      <c r="F51" s="160">
        <f t="shared" si="1"/>
        <v>50000</v>
      </c>
      <c r="G51" s="160">
        <f t="shared" si="2"/>
        <v>156083.20000000001</v>
      </c>
      <c r="H51" s="181">
        <f t="shared" si="3"/>
        <v>571.46326697556174</v>
      </c>
      <c r="I51" s="182"/>
      <c r="J51" s="180"/>
      <c r="L51" s="180"/>
    </row>
    <row r="52" spans="1:12">
      <c r="A52" s="132">
        <f t="shared" si="4"/>
        <v>41</v>
      </c>
      <c r="B52" s="1">
        <v>41</v>
      </c>
      <c r="C52" s="160">
        <v>634.35</v>
      </c>
      <c r="D52" s="160">
        <v>27.22</v>
      </c>
      <c r="E52" s="180">
        <f t="shared" si="0"/>
        <v>56617.599999999999</v>
      </c>
      <c r="F52" s="160">
        <f t="shared" si="1"/>
        <v>50000</v>
      </c>
      <c r="G52" s="160">
        <f t="shared" si="2"/>
        <v>113235.2</v>
      </c>
      <c r="H52" s="181">
        <f t="shared" si="3"/>
        <v>354.24716978466063</v>
      </c>
      <c r="I52" s="182"/>
      <c r="J52" s="180"/>
      <c r="L52" s="180"/>
    </row>
    <row r="53" spans="1:12">
      <c r="A53" s="132">
        <f t="shared" si="4"/>
        <v>42</v>
      </c>
      <c r="B53" s="1">
        <v>42</v>
      </c>
      <c r="C53" s="160">
        <v>0</v>
      </c>
      <c r="D53" s="160">
        <v>0</v>
      </c>
      <c r="E53" s="180">
        <f t="shared" si="0"/>
        <v>0</v>
      </c>
      <c r="F53" s="160">
        <f t="shared" si="1"/>
        <v>0</v>
      </c>
      <c r="G53" s="160">
        <f t="shared" si="2"/>
        <v>0</v>
      </c>
      <c r="H53" s="181">
        <v>0</v>
      </c>
      <c r="I53" s="182"/>
      <c r="J53" s="180"/>
      <c r="L53" s="180"/>
    </row>
    <row r="54" spans="1:12">
      <c r="A54" s="132">
        <f t="shared" si="4"/>
        <v>43</v>
      </c>
      <c r="B54" s="1">
        <v>43</v>
      </c>
      <c r="C54" s="160">
        <v>0</v>
      </c>
      <c r="D54" s="160"/>
      <c r="E54" s="180">
        <f>+D54*2080</f>
        <v>0</v>
      </c>
      <c r="F54" s="160">
        <f t="shared" si="1"/>
        <v>0</v>
      </c>
      <c r="G54" s="160">
        <f t="shared" si="2"/>
        <v>0</v>
      </c>
      <c r="H54" s="181">
        <v>0</v>
      </c>
      <c r="I54" s="182"/>
      <c r="J54" s="180"/>
      <c r="L54" s="180"/>
    </row>
    <row r="55" spans="1:12">
      <c r="A55" s="132">
        <f t="shared" si="4"/>
        <v>44</v>
      </c>
      <c r="B55" s="4" t="s">
        <v>45</v>
      </c>
      <c r="C55" s="183">
        <f>SUM(C12:C54)</f>
        <v>30796.590000000004</v>
      </c>
      <c r="D55" s="32"/>
      <c r="E55" s="32"/>
      <c r="F55" s="32"/>
      <c r="G55" s="32"/>
      <c r="H55" s="316">
        <f>SUM(H12:H54)</f>
        <v>19716.595630686516</v>
      </c>
    </row>
    <row r="56" spans="1:12">
      <c r="A56" s="132">
        <f t="shared" si="4"/>
        <v>45</v>
      </c>
    </row>
    <row r="57" spans="1:12">
      <c r="A57" s="132">
        <f t="shared" si="4"/>
        <v>46</v>
      </c>
      <c r="G57" s="138" t="s">
        <v>317</v>
      </c>
      <c r="H57" s="180">
        <f>C55-H55</f>
        <v>11079.994369313488</v>
      </c>
    </row>
    <row r="58" spans="1:12">
      <c r="A58" s="132">
        <f t="shared" si="4"/>
        <v>47</v>
      </c>
      <c r="G58" s="138"/>
      <c r="H58" s="180"/>
    </row>
    <row r="59" spans="1:12">
      <c r="A59" s="132">
        <f t="shared" si="4"/>
        <v>48</v>
      </c>
      <c r="G59" s="138" t="s">
        <v>37</v>
      </c>
      <c r="H59" s="126">
        <f>C55</f>
        <v>30796.590000000004</v>
      </c>
    </row>
    <row r="60" spans="1:12">
      <c r="A60" s="132">
        <f t="shared" si="4"/>
        <v>49</v>
      </c>
      <c r="G60" s="138"/>
      <c r="H60" s="126"/>
    </row>
    <row r="61" spans="1:12">
      <c r="A61" s="132">
        <f t="shared" si="4"/>
        <v>50</v>
      </c>
      <c r="G61" s="138" t="s">
        <v>167</v>
      </c>
      <c r="H61" s="126">
        <f>H57</f>
        <v>11079.994369313488</v>
      </c>
    </row>
    <row r="62" spans="1:12">
      <c r="A62" s="132">
        <f t="shared" si="4"/>
        <v>51</v>
      </c>
      <c r="G62" s="138"/>
      <c r="H62" s="126"/>
    </row>
    <row r="63" spans="1:12" ht="13.8" thickBot="1">
      <c r="A63" s="132">
        <f t="shared" si="4"/>
        <v>52</v>
      </c>
      <c r="G63" s="184" t="s">
        <v>15</v>
      </c>
      <c r="H63" s="309">
        <f>H61-H59</f>
        <v>-19716.595630686516</v>
      </c>
    </row>
    <row r="64" spans="1:12" ht="13.8" thickTop="1"/>
    <row r="65" spans="2:8" ht="30" customHeight="1">
      <c r="B65" s="285" t="s">
        <v>318</v>
      </c>
      <c r="C65" s="285"/>
      <c r="D65" s="285"/>
      <c r="E65" s="285"/>
      <c r="F65" s="285"/>
      <c r="G65" s="285"/>
      <c r="H65" s="285"/>
    </row>
  </sheetData>
  <mergeCells count="4">
    <mergeCell ref="B4:H4"/>
    <mergeCell ref="B5:H5"/>
    <mergeCell ref="B7:H7"/>
    <mergeCell ref="B65:H65"/>
  </mergeCells>
  <printOptions horizontalCentered="1"/>
  <pageMargins left="0.7" right="0.7" top="0.75" bottom="0.75" header="0.3" footer="0.3"/>
  <pageSetup scale="78" fitToHeight="2" orientation="landscape" r:id="rId1"/>
  <headerFooter>
    <oddFooter>&amp;R&amp;"Times New Roman,Regular"Exhibit JW-2
Page &amp;P of &amp;N</oddFooter>
  </headerFooter>
  <rowBreaks count="1" manualBreakCount="1">
    <brk id="34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10995-ED01-4042-8E74-0654E1BC616E}">
  <sheetPr>
    <pageSetUpPr fitToPage="1"/>
  </sheetPr>
  <dimension ref="A1:O55"/>
  <sheetViews>
    <sheetView view="pageBreakPreview" topLeftCell="A29" zoomScaleNormal="100" zoomScaleSheetLayoutView="100" workbookViewId="0">
      <selection activeCell="I61" sqref="I61"/>
    </sheetView>
  </sheetViews>
  <sheetFormatPr defaultColWidth="8.88671875" defaultRowHeight="13.2"/>
  <cols>
    <col min="1" max="1" width="5.33203125" style="8" customWidth="1"/>
    <col min="2" max="2" width="7.109375" style="8" bestFit="1" customWidth="1"/>
    <col min="3" max="3" width="6.88671875" style="186" customWidth="1"/>
    <col min="4" max="4" width="7.33203125" style="8" bestFit="1" customWidth="1"/>
    <col min="5" max="5" width="12.44140625" style="8" bestFit="1" customWidth="1"/>
    <col min="6" max="6" width="11.44140625" style="8" bestFit="1" customWidth="1"/>
    <col min="7" max="7" width="7.33203125" style="8" bestFit="1" customWidth="1"/>
    <col min="8" max="8" width="12.44140625" style="8" bestFit="1" customWidth="1"/>
    <col min="9" max="9" width="11.44140625" style="8" bestFit="1" customWidth="1"/>
    <col min="10" max="10" width="13.6640625" style="11" customWidth="1"/>
    <col min="11" max="16384" width="8.88671875" style="8"/>
  </cols>
  <sheetData>
    <row r="1" spans="1:15">
      <c r="A1" s="74"/>
      <c r="J1" s="129" t="s">
        <v>391</v>
      </c>
    </row>
    <row r="2" spans="1:15">
      <c r="A2" s="74"/>
      <c r="E2" s="74"/>
    </row>
    <row r="3" spans="1:15" s="2" customFormat="1">
      <c r="A3" s="283" t="str">
        <f>RevReq!A1</f>
        <v>LICKING VALLEY R.E.C.C.</v>
      </c>
      <c r="B3" s="283"/>
      <c r="C3" s="283"/>
      <c r="D3" s="283"/>
      <c r="E3" s="283"/>
      <c r="F3" s="283"/>
      <c r="G3" s="283"/>
      <c r="H3" s="283"/>
      <c r="I3" s="283"/>
      <c r="J3" s="283"/>
      <c r="K3" s="168"/>
      <c r="L3" s="168"/>
      <c r="M3" s="168"/>
      <c r="N3" s="168"/>
      <c r="O3" s="168"/>
    </row>
    <row r="4" spans="1:15" s="2" customFormat="1">
      <c r="A4" s="283" t="str">
        <f>RevReq!A3</f>
        <v>For the 12 Months Ended December 31, 2023</v>
      </c>
      <c r="B4" s="283"/>
      <c r="C4" s="283"/>
      <c r="D4" s="283"/>
      <c r="E4" s="283"/>
      <c r="F4" s="283"/>
      <c r="G4" s="283"/>
      <c r="H4" s="283"/>
      <c r="I4" s="283"/>
      <c r="J4" s="283"/>
      <c r="K4" s="168"/>
      <c r="L4" s="168"/>
    </row>
    <row r="5" spans="1:15">
      <c r="C5" s="8"/>
      <c r="F5" s="2"/>
      <c r="J5" s="8"/>
    </row>
    <row r="6" spans="1:15" s="6" customFormat="1" ht="15" customHeight="1">
      <c r="A6" s="282" t="s">
        <v>395</v>
      </c>
      <c r="B6" s="282"/>
      <c r="C6" s="282"/>
      <c r="D6" s="282"/>
      <c r="E6" s="282"/>
      <c r="F6" s="282"/>
      <c r="G6" s="282"/>
      <c r="H6" s="282"/>
      <c r="I6" s="282"/>
      <c r="J6" s="282"/>
    </row>
    <row r="7" spans="1:15">
      <c r="A7" s="2"/>
      <c r="B7" s="2"/>
      <c r="C7" s="2"/>
      <c r="D7" s="2"/>
      <c r="E7" s="2"/>
      <c r="F7" s="2"/>
      <c r="J7" s="8"/>
    </row>
    <row r="8" spans="1:15" ht="14.4" customHeight="1">
      <c r="D8" s="286">
        <v>2023</v>
      </c>
      <c r="E8" s="287"/>
      <c r="F8" s="288"/>
      <c r="G8" s="286">
        <v>2024</v>
      </c>
      <c r="H8" s="287"/>
      <c r="I8" s="288"/>
      <c r="J8" s="289" t="s">
        <v>15</v>
      </c>
    </row>
    <row r="9" spans="1:15" ht="25.2" customHeight="1">
      <c r="A9" s="187" t="s">
        <v>0</v>
      </c>
      <c r="B9" s="187" t="s">
        <v>327</v>
      </c>
      <c r="C9" s="188" t="s">
        <v>328</v>
      </c>
      <c r="D9" s="188" t="s">
        <v>96</v>
      </c>
      <c r="E9" s="188" t="s">
        <v>329</v>
      </c>
      <c r="F9" s="188" t="s">
        <v>330</v>
      </c>
      <c r="G9" s="188" t="s">
        <v>96</v>
      </c>
      <c r="H9" s="188" t="s">
        <v>329</v>
      </c>
      <c r="I9" s="188" t="s">
        <v>330</v>
      </c>
      <c r="J9" s="289"/>
    </row>
    <row r="10" spans="1:15">
      <c r="A10" s="9">
        <v>1</v>
      </c>
      <c r="B10" s="8" t="s">
        <v>332</v>
      </c>
      <c r="C10" s="189">
        <v>42</v>
      </c>
      <c r="D10" s="190">
        <v>5.5590000000000001E-2</v>
      </c>
      <c r="E10" s="11">
        <v>1972658.71</v>
      </c>
      <c r="F10" s="11">
        <f>E10*D10</f>
        <v>109660.0976889</v>
      </c>
      <c r="G10" s="190">
        <v>5.398E-2</v>
      </c>
      <c r="H10" s="12">
        <v>1965570.56</v>
      </c>
      <c r="I10" s="11">
        <f>H10*D10</f>
        <v>109266.0674304</v>
      </c>
      <c r="J10" s="11">
        <f>I10-F10</f>
        <v>-394.03025850000267</v>
      </c>
    </row>
    <row r="11" spans="1:15">
      <c r="A11" s="9">
        <f>1+A10</f>
        <v>2</v>
      </c>
      <c r="B11" s="8" t="s">
        <v>332</v>
      </c>
      <c r="C11" s="189">
        <v>43</v>
      </c>
      <c r="D11" s="190">
        <v>5.5030000000000003E-2</v>
      </c>
      <c r="E11" s="11">
        <v>2990577.22</v>
      </c>
      <c r="F11" s="11">
        <f t="shared" ref="F11:F47" si="0">E11*D11</f>
        <v>164571.46441660001</v>
      </c>
      <c r="G11" s="190">
        <v>5.398E-2</v>
      </c>
      <c r="H11" s="12">
        <v>2979831.49</v>
      </c>
      <c r="I11" s="11">
        <f t="shared" ref="I11:I47" si="1">H11*D11</f>
        <v>163980.12689470002</v>
      </c>
      <c r="J11" s="11">
        <f t="shared" ref="J11:J47" si="2">I11-F11</f>
        <v>-591.33752189998631</v>
      </c>
    </row>
    <row r="12" spans="1:15">
      <c r="A12" s="9">
        <f t="shared" ref="A12:A48" si="3">1+A11</f>
        <v>3</v>
      </c>
      <c r="C12" s="189"/>
      <c r="D12" s="190"/>
      <c r="E12" s="11"/>
      <c r="F12" s="11">
        <f t="shared" si="0"/>
        <v>0</v>
      </c>
      <c r="G12" s="190"/>
      <c r="H12" s="12"/>
      <c r="I12" s="11">
        <f t="shared" si="1"/>
        <v>0</v>
      </c>
      <c r="J12" s="11">
        <f t="shared" si="2"/>
        <v>0</v>
      </c>
    </row>
    <row r="13" spans="1:15">
      <c r="A13" s="9">
        <f t="shared" si="3"/>
        <v>4</v>
      </c>
      <c r="B13" s="8" t="s">
        <v>331</v>
      </c>
      <c r="C13" s="189">
        <v>52</v>
      </c>
      <c r="D13" s="190">
        <v>0.05</v>
      </c>
      <c r="E13" s="11">
        <v>67773.039999999994</v>
      </c>
      <c r="F13" s="11">
        <f t="shared" si="0"/>
        <v>3388.652</v>
      </c>
      <c r="G13" s="190">
        <f t="shared" ref="G13:G27" si="4">D13</f>
        <v>0.05</v>
      </c>
      <c r="H13" s="12">
        <v>54126.92</v>
      </c>
      <c r="I13" s="11">
        <f t="shared" si="1"/>
        <v>2706.346</v>
      </c>
      <c r="J13" s="11">
        <f t="shared" si="2"/>
        <v>-682.30600000000004</v>
      </c>
    </row>
    <row r="14" spans="1:15">
      <c r="A14" s="9">
        <f t="shared" si="3"/>
        <v>5</v>
      </c>
      <c r="B14" s="8" t="s">
        <v>331</v>
      </c>
      <c r="C14" s="189">
        <v>53</v>
      </c>
      <c r="D14" s="190">
        <v>0.05</v>
      </c>
      <c r="E14" s="11">
        <v>54192.9</v>
      </c>
      <c r="F14" s="11">
        <f t="shared" si="0"/>
        <v>2709.6450000000004</v>
      </c>
      <c r="G14" s="190">
        <f t="shared" si="4"/>
        <v>0.05</v>
      </c>
      <c r="H14" s="12">
        <v>41073.449999999997</v>
      </c>
      <c r="I14" s="11">
        <f t="shared" si="1"/>
        <v>2053.6725000000001</v>
      </c>
      <c r="J14" s="11">
        <f t="shared" si="2"/>
        <v>-655.97250000000031</v>
      </c>
    </row>
    <row r="15" spans="1:15">
      <c r="A15" s="9">
        <f t="shared" si="3"/>
        <v>6</v>
      </c>
      <c r="B15" s="8" t="s">
        <v>332</v>
      </c>
      <c r="C15" s="189">
        <v>11</v>
      </c>
      <c r="D15" s="190">
        <v>6.4799999999999996E-2</v>
      </c>
      <c r="E15" s="11">
        <v>883985.5</v>
      </c>
      <c r="F15" s="11">
        <f t="shared" si="0"/>
        <v>57282.260399999999</v>
      </c>
      <c r="G15" s="190">
        <f t="shared" si="4"/>
        <v>6.4799999999999996E-2</v>
      </c>
      <c r="H15" s="12">
        <v>867882.77</v>
      </c>
      <c r="I15" s="11">
        <f t="shared" si="1"/>
        <v>56238.803496</v>
      </c>
      <c r="J15" s="11">
        <f t="shared" si="2"/>
        <v>-1043.4569039999988</v>
      </c>
    </row>
    <row r="16" spans="1:15">
      <c r="A16" s="9">
        <f t="shared" si="3"/>
        <v>7</v>
      </c>
      <c r="B16" s="8" t="s">
        <v>333</v>
      </c>
      <c r="C16" s="189">
        <v>1</v>
      </c>
      <c r="D16" s="190">
        <v>1.9300000000000001E-2</v>
      </c>
      <c r="E16" s="11">
        <v>62548.69</v>
      </c>
      <c r="F16" s="11">
        <f t="shared" si="0"/>
        <v>1207.1897170000002</v>
      </c>
      <c r="G16" s="190">
        <v>1.9300000000000001E-2</v>
      </c>
      <c r="H16" s="12">
        <v>47136.58</v>
      </c>
      <c r="I16" s="11">
        <f>H16*G16</f>
        <v>909.73599400000012</v>
      </c>
      <c r="J16" s="11">
        <f t="shared" si="2"/>
        <v>-297.45372300000008</v>
      </c>
    </row>
    <row r="17" spans="1:10">
      <c r="A17" s="9">
        <f t="shared" si="3"/>
        <v>8</v>
      </c>
      <c r="B17" s="8" t="s">
        <v>333</v>
      </c>
      <c r="C17" s="189">
        <v>2</v>
      </c>
      <c r="D17" s="190">
        <v>1.66E-2</v>
      </c>
      <c r="E17" s="11">
        <v>292508.64</v>
      </c>
      <c r="F17" s="11">
        <f t="shared" si="0"/>
        <v>4855.6434239999999</v>
      </c>
      <c r="G17" s="190">
        <v>5.9499999999999997E-2</v>
      </c>
      <c r="H17" s="12">
        <v>269496.03000000003</v>
      </c>
      <c r="I17" s="11">
        <f t="shared" ref="I17:I20" si="5">H17*G17</f>
        <v>16035.013785000001</v>
      </c>
      <c r="J17" s="11">
        <f t="shared" si="2"/>
        <v>11179.370361000001</v>
      </c>
    </row>
    <row r="18" spans="1:10">
      <c r="A18" s="9">
        <f t="shared" si="3"/>
        <v>9</v>
      </c>
      <c r="B18" s="8" t="s">
        <v>333</v>
      </c>
      <c r="C18" s="189">
        <v>3</v>
      </c>
      <c r="D18" s="190">
        <v>1.66E-2</v>
      </c>
      <c r="E18" s="11">
        <v>310230.90999999997</v>
      </c>
      <c r="F18" s="11">
        <f t="shared" si="0"/>
        <v>5149.833106</v>
      </c>
      <c r="G18" s="190">
        <v>5.9499999999999997E-2</v>
      </c>
      <c r="H18" s="12">
        <v>294567.92</v>
      </c>
      <c r="I18" s="11">
        <f t="shared" si="5"/>
        <v>17526.791239999999</v>
      </c>
      <c r="J18" s="11">
        <f t="shared" si="2"/>
        <v>12376.958133999999</v>
      </c>
    </row>
    <row r="19" spans="1:10">
      <c r="A19" s="9">
        <f t="shared" si="3"/>
        <v>10</v>
      </c>
      <c r="B19" s="8" t="s">
        <v>333</v>
      </c>
      <c r="C19" s="189">
        <v>4</v>
      </c>
      <c r="D19" s="190">
        <v>1.66E-2</v>
      </c>
      <c r="E19" s="11">
        <v>385750.81</v>
      </c>
      <c r="F19" s="11">
        <f t="shared" si="0"/>
        <v>6403.4634459999997</v>
      </c>
      <c r="G19" s="190">
        <v>5.9499999999999997E-2</v>
      </c>
      <c r="H19" s="12">
        <v>366274.96</v>
      </c>
      <c r="I19" s="11">
        <f t="shared" si="5"/>
        <v>21793.360120000001</v>
      </c>
      <c r="J19" s="11">
        <f t="shared" si="2"/>
        <v>15389.896674000001</v>
      </c>
    </row>
    <row r="20" spans="1:10">
      <c r="A20" s="9">
        <f t="shared" si="3"/>
        <v>11</v>
      </c>
      <c r="C20" s="189"/>
      <c r="D20" s="190"/>
      <c r="E20" s="11"/>
      <c r="F20" s="11">
        <f t="shared" si="0"/>
        <v>0</v>
      </c>
      <c r="G20" s="190"/>
      <c r="H20" s="12"/>
      <c r="I20" s="11">
        <f t="shared" si="5"/>
        <v>0</v>
      </c>
      <c r="J20" s="11">
        <f t="shared" si="2"/>
        <v>0</v>
      </c>
    </row>
    <row r="21" spans="1:10">
      <c r="A21" s="9">
        <f t="shared" si="3"/>
        <v>12</v>
      </c>
      <c r="B21" s="8" t="s">
        <v>332</v>
      </c>
      <c r="C21" s="189">
        <v>41</v>
      </c>
      <c r="D21" s="190">
        <v>5.5590000000000001E-2</v>
      </c>
      <c r="E21" s="11">
        <v>1601653.85</v>
      </c>
      <c r="F21" s="11">
        <f t="shared" si="0"/>
        <v>89035.937521500004</v>
      </c>
      <c r="G21" s="190">
        <v>5.398E-2</v>
      </c>
      <c r="H21" s="12">
        <v>1595898.8</v>
      </c>
      <c r="I21" s="11">
        <f t="shared" si="1"/>
        <v>88716.014292000007</v>
      </c>
      <c r="J21" s="11">
        <f t="shared" si="2"/>
        <v>-319.92322949999652</v>
      </c>
    </row>
    <row r="22" spans="1:10">
      <c r="A22" s="9">
        <f t="shared" si="3"/>
        <v>13</v>
      </c>
      <c r="B22" s="8" t="s">
        <v>331</v>
      </c>
      <c r="C22" s="189">
        <v>61</v>
      </c>
      <c r="D22" s="190">
        <v>2.75E-2</v>
      </c>
      <c r="E22" s="11">
        <v>187416.54</v>
      </c>
      <c r="F22" s="11">
        <f t="shared" si="0"/>
        <v>5153.9548500000001</v>
      </c>
      <c r="G22" s="190">
        <v>3.2500000000000001E-2</v>
      </c>
      <c r="H22" s="12">
        <v>176057.94</v>
      </c>
      <c r="I22" s="11">
        <f t="shared" si="1"/>
        <v>4841.5933500000001</v>
      </c>
      <c r="J22" s="11">
        <f t="shared" si="2"/>
        <v>-312.36149999999998</v>
      </c>
    </row>
    <row r="23" spans="1:10">
      <c r="A23" s="9">
        <f t="shared" si="3"/>
        <v>14</v>
      </c>
      <c r="B23" s="8" t="s">
        <v>331</v>
      </c>
      <c r="C23" s="189">
        <v>62</v>
      </c>
      <c r="D23" s="190">
        <v>2.8750000000000001E-2</v>
      </c>
      <c r="E23" s="11">
        <v>187417</v>
      </c>
      <c r="F23" s="11">
        <f t="shared" si="0"/>
        <v>5388.2387500000004</v>
      </c>
      <c r="G23" s="190">
        <f t="shared" si="4"/>
        <v>2.8750000000000001E-2</v>
      </c>
      <c r="H23" s="12">
        <v>176058</v>
      </c>
      <c r="I23" s="11">
        <f t="shared" si="1"/>
        <v>5061.6675000000005</v>
      </c>
      <c r="J23" s="11">
        <f t="shared" si="2"/>
        <v>-326.57124999999996</v>
      </c>
    </row>
    <row r="24" spans="1:10">
      <c r="A24" s="9">
        <f t="shared" si="3"/>
        <v>15</v>
      </c>
      <c r="B24" s="8" t="s">
        <v>331</v>
      </c>
      <c r="C24" s="191">
        <v>71</v>
      </c>
      <c r="D24" s="190">
        <v>5.3749999999999999E-2</v>
      </c>
      <c r="E24" s="11">
        <v>851460.44</v>
      </c>
      <c r="F24" s="11">
        <f t="shared" si="0"/>
        <v>45765.998649999994</v>
      </c>
      <c r="G24" s="190">
        <f t="shared" si="4"/>
        <v>5.3749999999999999E-2</v>
      </c>
      <c r="H24" s="12">
        <v>820246.23</v>
      </c>
      <c r="I24" s="11">
        <f t="shared" si="1"/>
        <v>44088.234862500001</v>
      </c>
      <c r="J24" s="11">
        <f t="shared" si="2"/>
        <v>-1677.7637874999928</v>
      </c>
    </row>
    <row r="25" spans="1:10">
      <c r="A25" s="9">
        <f t="shared" si="3"/>
        <v>16</v>
      </c>
      <c r="B25" s="8" t="s">
        <v>331</v>
      </c>
      <c r="C25" s="191">
        <v>72</v>
      </c>
      <c r="D25" s="190">
        <v>5.2499999999999998E-2</v>
      </c>
      <c r="E25" s="11">
        <v>218067.26</v>
      </c>
      <c r="F25" s="11">
        <f t="shared" si="0"/>
        <v>11448.531150000001</v>
      </c>
      <c r="G25" s="190">
        <f t="shared" si="4"/>
        <v>5.2499999999999998E-2</v>
      </c>
      <c r="H25" s="12">
        <v>210065.18</v>
      </c>
      <c r="I25" s="11">
        <f t="shared" si="1"/>
        <v>11028.42195</v>
      </c>
      <c r="J25" s="11">
        <f t="shared" si="2"/>
        <v>-420.10920000000078</v>
      </c>
    </row>
    <row r="26" spans="1:10">
      <c r="A26" s="9">
        <f t="shared" si="3"/>
        <v>17</v>
      </c>
      <c r="B26" s="8" t="s">
        <v>331</v>
      </c>
      <c r="C26" s="191">
        <v>73</v>
      </c>
      <c r="D26" s="190">
        <v>3.2500000000000001E-2</v>
      </c>
      <c r="E26" s="11">
        <v>387050</v>
      </c>
      <c r="F26" s="11">
        <f t="shared" si="0"/>
        <v>12579.125</v>
      </c>
      <c r="G26" s="190">
        <f t="shared" si="4"/>
        <v>3.2500000000000001E-2</v>
      </c>
      <c r="H26" s="12">
        <v>366877.69</v>
      </c>
      <c r="I26" s="11">
        <f t="shared" si="1"/>
        <v>11923.524925</v>
      </c>
      <c r="J26" s="11">
        <f t="shared" si="2"/>
        <v>-655.60007500000029</v>
      </c>
    </row>
    <row r="27" spans="1:10">
      <c r="A27" s="9">
        <f t="shared" si="3"/>
        <v>18</v>
      </c>
      <c r="B27" s="8" t="s">
        <v>331</v>
      </c>
      <c r="C27" s="191">
        <v>74</v>
      </c>
      <c r="D27" s="190">
        <v>3.2500000000000001E-2</v>
      </c>
      <c r="E27" s="11">
        <v>50803.46</v>
      </c>
      <c r="F27" s="11">
        <f t="shared" si="0"/>
        <v>1651.1124500000001</v>
      </c>
      <c r="G27" s="190">
        <f t="shared" si="4"/>
        <v>3.2500000000000001E-2</v>
      </c>
      <c r="H27" s="12">
        <v>48877.75</v>
      </c>
      <c r="I27" s="11">
        <f t="shared" si="1"/>
        <v>1588.526875</v>
      </c>
      <c r="J27" s="11">
        <f t="shared" si="2"/>
        <v>-62.585575000000063</v>
      </c>
    </row>
    <row r="28" spans="1:10">
      <c r="A28" s="9">
        <f t="shared" si="3"/>
        <v>19</v>
      </c>
      <c r="B28" s="8" t="s">
        <v>332</v>
      </c>
      <c r="C28" s="189">
        <v>12</v>
      </c>
      <c r="D28" s="190">
        <v>5.5590000000000001E-2</v>
      </c>
      <c r="E28" s="11">
        <v>975063.12</v>
      </c>
      <c r="F28" s="11">
        <f t="shared" si="0"/>
        <v>54203.758840800001</v>
      </c>
      <c r="G28" s="190">
        <v>5.398E-2</v>
      </c>
      <c r="H28" s="12">
        <v>956311.13</v>
      </c>
      <c r="I28" s="11">
        <f t="shared" si="1"/>
        <v>53161.335716699999</v>
      </c>
      <c r="J28" s="11">
        <f t="shared" si="2"/>
        <v>-1042.4231241000016</v>
      </c>
    </row>
    <row r="29" spans="1:10">
      <c r="A29" s="9">
        <f t="shared" si="3"/>
        <v>20</v>
      </c>
      <c r="B29" s="8" t="s">
        <v>332</v>
      </c>
      <c r="C29" s="189">
        <v>21</v>
      </c>
      <c r="D29" s="190">
        <v>5.5590000000000001E-2</v>
      </c>
      <c r="E29" s="11">
        <v>894886.32</v>
      </c>
      <c r="F29" s="11">
        <f t="shared" si="0"/>
        <v>49746.730528799999</v>
      </c>
      <c r="G29" s="190">
        <v>5.398E-2</v>
      </c>
      <c r="H29" s="12">
        <v>882713.21</v>
      </c>
      <c r="I29" s="11">
        <f t="shared" si="1"/>
        <v>49070.027343900001</v>
      </c>
      <c r="J29" s="11">
        <f t="shared" si="2"/>
        <v>-676.70318489999772</v>
      </c>
    </row>
    <row r="30" spans="1:10">
      <c r="A30" s="9">
        <f t="shared" si="3"/>
        <v>21</v>
      </c>
      <c r="B30" s="8" t="s">
        <v>332</v>
      </c>
      <c r="C30" s="189">
        <v>22</v>
      </c>
      <c r="D30" s="190">
        <v>5.5590000000000001E-2</v>
      </c>
      <c r="E30" s="11">
        <v>916493.15</v>
      </c>
      <c r="F30" s="11">
        <f t="shared" si="0"/>
        <v>50947.854208500001</v>
      </c>
      <c r="G30" s="190">
        <v>5.398E-2</v>
      </c>
      <c r="H30" s="12">
        <v>904026.12</v>
      </c>
      <c r="I30" s="11">
        <f t="shared" si="1"/>
        <v>50254.8120108</v>
      </c>
      <c r="J30" s="11">
        <f t="shared" si="2"/>
        <v>-693.04219770000054</v>
      </c>
    </row>
    <row r="31" spans="1:10">
      <c r="A31" s="9">
        <f t="shared" si="3"/>
        <v>22</v>
      </c>
      <c r="B31" s="8" t="s">
        <v>332</v>
      </c>
      <c r="C31" s="189">
        <v>23</v>
      </c>
      <c r="D31" s="190">
        <v>5.5590000000000001E-2</v>
      </c>
      <c r="E31" s="11">
        <v>933260.71</v>
      </c>
      <c r="F31" s="11">
        <f t="shared" si="0"/>
        <v>51879.962868900002</v>
      </c>
      <c r="G31" s="190">
        <v>5.398E-2</v>
      </c>
      <c r="H31" s="12">
        <v>920565.59</v>
      </c>
      <c r="I31" s="11">
        <f t="shared" si="1"/>
        <v>51174.241148100002</v>
      </c>
      <c r="J31" s="11">
        <f t="shared" si="2"/>
        <v>-705.72172080000018</v>
      </c>
    </row>
    <row r="32" spans="1:10">
      <c r="A32" s="9">
        <f t="shared" si="3"/>
        <v>23</v>
      </c>
      <c r="B32" s="8" t="s">
        <v>332</v>
      </c>
      <c r="C32" s="189">
        <v>36</v>
      </c>
      <c r="D32" s="190">
        <v>5.5590000000000001E-2</v>
      </c>
      <c r="E32" s="11">
        <v>1309553.48</v>
      </c>
      <c r="F32" s="11">
        <f t="shared" si="0"/>
        <v>72798.077953200002</v>
      </c>
      <c r="G32" s="190">
        <v>5.398E-2</v>
      </c>
      <c r="H32" s="12">
        <v>1302006.1200000001</v>
      </c>
      <c r="I32" s="11">
        <f t="shared" si="1"/>
        <v>72378.520210800008</v>
      </c>
      <c r="J32" s="11">
        <f t="shared" si="2"/>
        <v>-419.557742399993</v>
      </c>
    </row>
    <row r="33" spans="1:10">
      <c r="A33" s="9">
        <f t="shared" si="3"/>
        <v>24</v>
      </c>
      <c r="B33" s="8" t="s">
        <v>332</v>
      </c>
      <c r="C33" s="189">
        <v>37</v>
      </c>
      <c r="D33" s="190">
        <v>5.5590000000000001E-2</v>
      </c>
      <c r="E33" s="11">
        <v>932264.91</v>
      </c>
      <c r="F33" s="11">
        <f t="shared" si="0"/>
        <v>51824.6063469</v>
      </c>
      <c r="G33" s="190">
        <v>5.398E-2</v>
      </c>
      <c r="H33" s="12">
        <v>926891.98</v>
      </c>
      <c r="I33" s="11">
        <f t="shared" si="1"/>
        <v>51525.925168199996</v>
      </c>
      <c r="J33" s="11">
        <f t="shared" si="2"/>
        <v>-298.68117870000424</v>
      </c>
    </row>
    <row r="34" spans="1:10">
      <c r="A34" s="9">
        <f t="shared" si="3"/>
        <v>25</v>
      </c>
      <c r="B34" s="8" t="s">
        <v>332</v>
      </c>
      <c r="C34" s="189">
        <v>38</v>
      </c>
      <c r="D34" s="190">
        <v>5.5590000000000001E-2</v>
      </c>
      <c r="E34" s="11">
        <v>618739.23</v>
      </c>
      <c r="F34" s="11">
        <f t="shared" si="0"/>
        <v>34395.713795700001</v>
      </c>
      <c r="G34" s="190">
        <v>5.398E-2</v>
      </c>
      <c r="H34" s="12">
        <v>615173.24</v>
      </c>
      <c r="I34" s="11">
        <f t="shared" si="1"/>
        <v>34197.480411600001</v>
      </c>
      <c r="J34" s="11">
        <f t="shared" si="2"/>
        <v>-198.23338409999997</v>
      </c>
    </row>
    <row r="35" spans="1:10">
      <c r="A35" s="9">
        <f t="shared" si="3"/>
        <v>26</v>
      </c>
      <c r="B35" s="8" t="s">
        <v>332</v>
      </c>
      <c r="C35" s="189">
        <v>39</v>
      </c>
      <c r="D35" s="190">
        <v>5.5590000000000001E-2</v>
      </c>
      <c r="E35" s="11">
        <v>1254861.8400000001</v>
      </c>
      <c r="F35" s="11">
        <f t="shared" si="0"/>
        <v>69757.769685600011</v>
      </c>
      <c r="G35" s="190">
        <v>5.398E-2</v>
      </c>
      <c r="H35" s="12">
        <v>1247629.69</v>
      </c>
      <c r="I35" s="11">
        <f t="shared" si="1"/>
        <v>69355.734467100003</v>
      </c>
      <c r="J35" s="11">
        <f t="shared" si="2"/>
        <v>-402.03521850000834</v>
      </c>
    </row>
    <row r="36" spans="1:10">
      <c r="A36" s="9">
        <f t="shared" si="3"/>
        <v>27</v>
      </c>
      <c r="B36" s="8" t="s">
        <v>332</v>
      </c>
      <c r="C36" s="189">
        <v>310</v>
      </c>
      <c r="D36" s="190">
        <v>5.5590000000000001E-2</v>
      </c>
      <c r="E36" s="11">
        <v>1245967.8999999999</v>
      </c>
      <c r="F36" s="11">
        <f t="shared" si="0"/>
        <v>69263.355560999989</v>
      </c>
      <c r="G36" s="190">
        <v>5.398E-2</v>
      </c>
      <c r="H36" s="12">
        <v>1238787</v>
      </c>
      <c r="I36" s="11">
        <f t="shared" si="1"/>
        <v>68864.169330000004</v>
      </c>
      <c r="J36" s="11">
        <f t="shared" si="2"/>
        <v>-399.18623099998513</v>
      </c>
    </row>
    <row r="37" spans="1:10">
      <c r="A37" s="9">
        <f t="shared" si="3"/>
        <v>28</v>
      </c>
      <c r="B37" s="8" t="s">
        <v>332</v>
      </c>
      <c r="C37" s="189">
        <v>24</v>
      </c>
      <c r="D37" s="190">
        <v>5.5590000000000001E-2</v>
      </c>
      <c r="E37" s="11">
        <v>2262779.71</v>
      </c>
      <c r="F37" s="11">
        <f t="shared" si="0"/>
        <v>125787.9240789</v>
      </c>
      <c r="G37" s="190">
        <v>5.398E-2</v>
      </c>
      <c r="H37" s="12">
        <v>2231999.1800000002</v>
      </c>
      <c r="I37" s="11">
        <f t="shared" si="1"/>
        <v>124076.83441620001</v>
      </c>
      <c r="J37" s="11">
        <f t="shared" si="2"/>
        <v>-1711.0896626999893</v>
      </c>
    </row>
    <row r="38" spans="1:10">
      <c r="A38" s="9">
        <f t="shared" si="3"/>
        <v>29</v>
      </c>
      <c r="B38" s="8" t="s">
        <v>332</v>
      </c>
      <c r="C38" s="189">
        <v>31</v>
      </c>
      <c r="D38" s="190">
        <v>5.5590000000000001E-2</v>
      </c>
      <c r="E38" s="11">
        <v>740660.91</v>
      </c>
      <c r="F38" s="11">
        <f t="shared" si="0"/>
        <v>41173.339986899999</v>
      </c>
      <c r="G38" s="190">
        <v>5.398E-2</v>
      </c>
      <c r="H38" s="12">
        <v>736392.25</v>
      </c>
      <c r="I38" s="11">
        <f t="shared" si="1"/>
        <v>40936.045177500004</v>
      </c>
      <c r="J38" s="11">
        <f t="shared" si="2"/>
        <v>-237.29480939999485</v>
      </c>
    </row>
    <row r="39" spans="1:10">
      <c r="A39" s="9">
        <f t="shared" si="3"/>
        <v>30</v>
      </c>
      <c r="B39" s="8" t="s">
        <v>332</v>
      </c>
      <c r="C39" s="189">
        <v>32</v>
      </c>
      <c r="D39" s="190">
        <v>5.5590000000000001E-2</v>
      </c>
      <c r="E39" s="11">
        <v>590306.75</v>
      </c>
      <c r="F39" s="11">
        <f t="shared" si="0"/>
        <v>32815.152232499997</v>
      </c>
      <c r="G39" s="190">
        <v>5.398E-2</v>
      </c>
      <c r="H39" s="12">
        <v>586904.63</v>
      </c>
      <c r="I39" s="11">
        <f t="shared" si="1"/>
        <v>32626.028381700002</v>
      </c>
      <c r="J39" s="11">
        <f t="shared" si="2"/>
        <v>-189.12385079999513</v>
      </c>
    </row>
    <row r="40" spans="1:10">
      <c r="A40" s="9">
        <f t="shared" si="3"/>
        <v>31</v>
      </c>
      <c r="B40" s="8" t="s">
        <v>332</v>
      </c>
      <c r="C40" s="189">
        <v>33</v>
      </c>
      <c r="D40" s="190">
        <v>5.5590000000000001E-2</v>
      </c>
      <c r="E40" s="11">
        <v>420695.4</v>
      </c>
      <c r="F40" s="11">
        <f t="shared" si="0"/>
        <v>23386.457286000001</v>
      </c>
      <c r="G40" s="190">
        <v>5.398E-2</v>
      </c>
      <c r="H40" s="12">
        <v>418270.8</v>
      </c>
      <c r="I40" s="11">
        <f t="shared" si="1"/>
        <v>23251.673771999998</v>
      </c>
      <c r="J40" s="11">
        <f t="shared" si="2"/>
        <v>-134.78351400000247</v>
      </c>
    </row>
    <row r="41" spans="1:10">
      <c r="A41" s="9">
        <f t="shared" si="3"/>
        <v>32</v>
      </c>
      <c r="B41" s="8" t="s">
        <v>332</v>
      </c>
      <c r="C41" s="189">
        <v>34</v>
      </c>
      <c r="D41" s="190">
        <v>5.5590000000000001E-2</v>
      </c>
      <c r="E41" s="11">
        <v>517721.97</v>
      </c>
      <c r="F41" s="11">
        <f t="shared" si="0"/>
        <v>28780.164312299999</v>
      </c>
      <c r="G41" s="190">
        <v>5.398E-2</v>
      </c>
      <c r="H41" s="12">
        <v>514738.18</v>
      </c>
      <c r="I41" s="11">
        <f t="shared" si="1"/>
        <v>28614.295426199998</v>
      </c>
      <c r="J41" s="11">
        <f t="shared" si="2"/>
        <v>-165.86888610000096</v>
      </c>
    </row>
    <row r="42" spans="1:10">
      <c r="A42" s="9">
        <f t="shared" si="3"/>
        <v>33</v>
      </c>
      <c r="B42" s="8" t="s">
        <v>332</v>
      </c>
      <c r="C42" s="189">
        <v>311</v>
      </c>
      <c r="D42" s="190">
        <v>5.5590000000000001E-2</v>
      </c>
      <c r="E42" s="11">
        <v>1209519.3799999999</v>
      </c>
      <c r="F42" s="11">
        <f t="shared" si="0"/>
        <v>67237.182334199999</v>
      </c>
      <c r="G42" s="190">
        <v>5.398E-2</v>
      </c>
      <c r="H42" s="12">
        <v>1202548.54</v>
      </c>
      <c r="I42" s="11">
        <f t="shared" si="1"/>
        <v>66849.673338599998</v>
      </c>
      <c r="J42" s="11">
        <f t="shared" si="2"/>
        <v>-387.50899560000107</v>
      </c>
    </row>
    <row r="43" spans="1:10">
      <c r="A43" s="9">
        <f t="shared" si="3"/>
        <v>34</v>
      </c>
      <c r="B43" s="8" t="s">
        <v>332</v>
      </c>
      <c r="C43" s="189">
        <v>312</v>
      </c>
      <c r="D43" s="190">
        <v>5.5590000000000001E-2</v>
      </c>
      <c r="E43" s="11">
        <v>916428.18</v>
      </c>
      <c r="F43" s="11">
        <f t="shared" si="0"/>
        <v>50944.242526200003</v>
      </c>
      <c r="G43" s="190">
        <v>5.398E-2</v>
      </c>
      <c r="H43" s="12">
        <v>911146.52</v>
      </c>
      <c r="I43" s="11">
        <f t="shared" si="1"/>
        <v>50650.635046800002</v>
      </c>
      <c r="J43" s="11">
        <f t="shared" si="2"/>
        <v>-293.60747940000147</v>
      </c>
    </row>
    <row r="44" spans="1:10">
      <c r="A44" s="9">
        <f t="shared" si="3"/>
        <v>35</v>
      </c>
      <c r="B44" s="8" t="s">
        <v>332</v>
      </c>
      <c r="C44" s="189">
        <v>313</v>
      </c>
      <c r="D44" s="190">
        <v>5.5590000000000001E-2</v>
      </c>
      <c r="E44" s="11">
        <v>1009841.4</v>
      </c>
      <c r="F44" s="11">
        <f t="shared" si="0"/>
        <v>56137.083426000005</v>
      </c>
      <c r="G44" s="190">
        <v>5.398E-2</v>
      </c>
      <c r="H44" s="12">
        <v>1004021.37</v>
      </c>
      <c r="I44" s="11">
        <f t="shared" si="1"/>
        <v>55813.547958299998</v>
      </c>
      <c r="J44" s="11">
        <f t="shared" si="2"/>
        <v>-323.53546770000685</v>
      </c>
    </row>
    <row r="45" spans="1:10">
      <c r="A45" s="9">
        <f t="shared" si="3"/>
        <v>36</v>
      </c>
      <c r="B45" s="8" t="s">
        <v>332</v>
      </c>
      <c r="C45" s="189">
        <v>314</v>
      </c>
      <c r="D45" s="190">
        <v>5.5590000000000001E-2</v>
      </c>
      <c r="E45" s="11">
        <v>1675431.77</v>
      </c>
      <c r="F45" s="11">
        <f t="shared" si="0"/>
        <v>93137.252094299998</v>
      </c>
      <c r="G45" s="190">
        <v>5.398E-2</v>
      </c>
      <c r="H45" s="12">
        <v>1665775.74</v>
      </c>
      <c r="I45" s="11">
        <f t="shared" si="1"/>
        <v>92600.473386600002</v>
      </c>
      <c r="J45" s="11">
        <f t="shared" si="2"/>
        <v>-536.77870769999572</v>
      </c>
    </row>
    <row r="46" spans="1:10">
      <c r="A46" s="9">
        <f t="shared" si="3"/>
        <v>37</v>
      </c>
      <c r="B46" s="8" t="s">
        <v>332</v>
      </c>
      <c r="C46" s="189">
        <v>315</v>
      </c>
      <c r="D46" s="190">
        <v>5.5590000000000001E-2</v>
      </c>
      <c r="E46" s="11">
        <v>1709105.77</v>
      </c>
      <c r="F46" s="11">
        <f t="shared" si="0"/>
        <v>95009.189754300009</v>
      </c>
      <c r="G46" s="190">
        <v>5.398E-2</v>
      </c>
      <c r="H46" s="12">
        <v>1699255.67</v>
      </c>
      <c r="I46" s="11">
        <f t="shared" si="1"/>
        <v>94461.6226953</v>
      </c>
      <c r="J46" s="11">
        <f t="shared" si="2"/>
        <v>-547.56705900000816</v>
      </c>
    </row>
    <row r="47" spans="1:10">
      <c r="A47" s="9">
        <f t="shared" si="3"/>
        <v>38</v>
      </c>
      <c r="B47" s="8" t="s">
        <v>332</v>
      </c>
      <c r="C47" s="189">
        <v>316</v>
      </c>
      <c r="D47" s="190">
        <v>5.5590000000000001E-2</v>
      </c>
      <c r="E47" s="11">
        <v>1552536.47</v>
      </c>
      <c r="F47" s="11">
        <f t="shared" si="0"/>
        <v>86305.502367299996</v>
      </c>
      <c r="G47" s="190">
        <v>5.398E-2</v>
      </c>
      <c r="H47" s="12">
        <v>1543588.72</v>
      </c>
      <c r="I47" s="11">
        <f t="shared" si="1"/>
        <v>85808.096944799996</v>
      </c>
      <c r="J47" s="11">
        <f t="shared" si="2"/>
        <v>-497.40542249999999</v>
      </c>
    </row>
    <row r="48" spans="1:10" ht="13.8" thickBot="1">
      <c r="A48" s="192">
        <f t="shared" si="3"/>
        <v>39</v>
      </c>
      <c r="B48" s="13" t="s">
        <v>14</v>
      </c>
      <c r="C48" s="193"/>
      <c r="D48" s="194"/>
      <c r="E48" s="14">
        <f>SUM(E10:E47)</f>
        <v>32190213.339999992</v>
      </c>
      <c r="F48" s="14">
        <f>SUM(F10:F47)</f>
        <v>1731782.4677583005</v>
      </c>
      <c r="G48" s="14"/>
      <c r="H48" s="14">
        <f>SUM(H10:H47)</f>
        <v>31788787.949999996</v>
      </c>
      <c r="I48" s="14">
        <f>SUM(I10:I47)</f>
        <v>1753429.0735657997</v>
      </c>
      <c r="J48" s="195">
        <f>SUM(J10:J47)</f>
        <v>21646.605807500033</v>
      </c>
    </row>
    <row r="49" spans="5:10" ht="13.8" thickTop="1">
      <c r="F49" s="7"/>
      <c r="G49" s="7"/>
    </row>
    <row r="50" spans="5:10">
      <c r="E50" s="196"/>
      <c r="F50" s="7"/>
      <c r="G50" s="7"/>
    </row>
    <row r="51" spans="5:10">
      <c r="F51" s="7"/>
      <c r="G51" s="7"/>
    </row>
    <row r="52" spans="5:10">
      <c r="F52" s="7"/>
      <c r="G52" s="7"/>
    </row>
    <row r="53" spans="5:10">
      <c r="J53" s="8"/>
    </row>
    <row r="54" spans="5:10">
      <c r="J54" s="8"/>
    </row>
    <row r="55" spans="5:10">
      <c r="J55" s="8"/>
    </row>
  </sheetData>
  <mergeCells count="6">
    <mergeCell ref="A3:J3"/>
    <mergeCell ref="A4:J4"/>
    <mergeCell ref="A6:J6"/>
    <mergeCell ref="D8:F8"/>
    <mergeCell ref="G8:I8"/>
    <mergeCell ref="J8:J9"/>
  </mergeCells>
  <printOptions horizontalCentered="1"/>
  <pageMargins left="0.7" right="0.7" top="0.75" bottom="0.75" header="0.3" footer="0.3"/>
  <pageSetup scale="94" orientation="portrait" r:id="rId1"/>
  <headerFooter>
    <oddFooter>&amp;RRevised Exhibit JW-2
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D3F86-3B7A-4C77-BB07-FACF22820409}">
  <sheetPr>
    <pageSetUpPr fitToPage="1"/>
  </sheetPr>
  <dimension ref="A1:AB89"/>
  <sheetViews>
    <sheetView view="pageBreakPreview" zoomScaleNormal="100" zoomScaleSheetLayoutView="100" workbookViewId="0">
      <selection activeCell="C61" sqref="C61:X61"/>
    </sheetView>
  </sheetViews>
  <sheetFormatPr defaultColWidth="9.109375" defaultRowHeight="13.2"/>
  <cols>
    <col min="1" max="1" width="5.88671875" style="1" customWidth="1"/>
    <col min="2" max="2" width="1.33203125" style="2" customWidth="1"/>
    <col min="3" max="3" width="6.44140625" style="1" customWidth="1"/>
    <col min="4" max="4" width="8.88671875" style="1" customWidth="1"/>
    <col min="5" max="5" width="11.109375" style="2" hidden="1" customWidth="1"/>
    <col min="6" max="6" width="4.5546875" style="1" customWidth="1"/>
    <col min="7" max="7" width="1.44140625" style="1" customWidth="1"/>
    <col min="8" max="8" width="11.109375" style="2" bestFit="1" customWidth="1"/>
    <col min="9" max="9" width="13.109375" style="2" customWidth="1"/>
    <col min="10" max="10" width="10" style="2" hidden="1" customWidth="1"/>
    <col min="11" max="11" width="1.33203125" style="2" customWidth="1"/>
    <col min="12" max="12" width="12.88671875" style="2" customWidth="1"/>
    <col min="13" max="13" width="8.88671875" style="2" customWidth="1"/>
    <col min="14" max="14" width="9.6640625" style="2" hidden="1" customWidth="1"/>
    <col min="15" max="15" width="8.33203125" style="2" customWidth="1"/>
    <col min="16" max="16" width="11.5546875" style="2" customWidth="1"/>
    <col min="17" max="17" width="1.109375" style="2" customWidth="1"/>
    <col min="18" max="18" width="9.33203125" style="2" bestFit="1" customWidth="1"/>
    <col min="19" max="19" width="0.88671875" style="2" customWidth="1"/>
    <col min="20" max="20" width="11" style="2" customWidth="1"/>
    <col min="21" max="21" width="9" style="2" customWidth="1"/>
    <col min="22" max="22" width="9.44140625" style="2" hidden="1" customWidth="1"/>
    <col min="23" max="23" width="9.44140625" style="2" customWidth="1"/>
    <col min="24" max="24" width="11.6640625" style="2" customWidth="1"/>
    <col min="25" max="25" width="1" style="2" customWidth="1"/>
    <col min="26" max="26" width="11.5546875" style="2" customWidth="1"/>
    <col min="27" max="16384" width="9.109375" style="2"/>
  </cols>
  <sheetData>
    <row r="1" spans="1:28">
      <c r="Z1" s="129" t="s">
        <v>392</v>
      </c>
    </row>
    <row r="2" spans="1:28" ht="9.75" customHeight="1">
      <c r="L2" s="129"/>
    </row>
    <row r="3" spans="1:28">
      <c r="A3" s="283" t="s">
        <v>334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</row>
    <row r="4" spans="1:28">
      <c r="A4" s="283" t="s">
        <v>390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</row>
    <row r="6" spans="1:28" s="130" customFormat="1" ht="15" customHeight="1">
      <c r="A6" s="282" t="s">
        <v>324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</row>
    <row r="7" spans="1:28" ht="7.5" customHeight="1">
      <c r="Y7" s="130"/>
    </row>
    <row r="8" spans="1:28" ht="26.4" customHeight="1">
      <c r="C8" s="290" t="s">
        <v>297</v>
      </c>
      <c r="D8" s="290"/>
      <c r="E8" s="290"/>
      <c r="F8" s="290"/>
      <c r="H8" s="290" t="s">
        <v>335</v>
      </c>
      <c r="I8" s="290"/>
      <c r="J8" s="290"/>
      <c r="L8" s="290" t="s">
        <v>336</v>
      </c>
      <c r="M8" s="290"/>
      <c r="N8" s="290"/>
      <c r="O8" s="290"/>
      <c r="P8" s="290"/>
      <c r="Q8" s="1"/>
      <c r="R8" s="291" t="s">
        <v>337</v>
      </c>
      <c r="T8" s="290" t="s">
        <v>338</v>
      </c>
      <c r="U8" s="290"/>
      <c r="V8" s="290"/>
      <c r="W8" s="290"/>
      <c r="X8" s="290"/>
      <c r="Y8" s="130"/>
      <c r="Z8" s="291" t="s">
        <v>339</v>
      </c>
    </row>
    <row r="9" spans="1:28" ht="16.5" customHeight="1">
      <c r="A9" s="1" t="s">
        <v>0</v>
      </c>
      <c r="C9" s="1" t="s">
        <v>340</v>
      </c>
      <c r="D9" s="1" t="s">
        <v>328</v>
      </c>
      <c r="E9" s="197" t="s">
        <v>341</v>
      </c>
      <c r="F9" s="1" t="s">
        <v>342</v>
      </c>
      <c r="H9" s="26" t="s">
        <v>343</v>
      </c>
      <c r="I9" s="26" t="s">
        <v>344</v>
      </c>
      <c r="J9" s="26" t="s">
        <v>345</v>
      </c>
      <c r="K9" s="198"/>
      <c r="L9" s="26" t="s">
        <v>343</v>
      </c>
      <c r="M9" s="26" t="s">
        <v>344</v>
      </c>
      <c r="N9" s="26" t="s">
        <v>345</v>
      </c>
      <c r="O9" s="26" t="s">
        <v>346</v>
      </c>
      <c r="P9" s="26" t="s">
        <v>45</v>
      </c>
      <c r="Q9" s="199"/>
      <c r="R9" s="291"/>
      <c r="S9" s="199"/>
      <c r="T9" s="26" t="s">
        <v>343</v>
      </c>
      <c r="U9" s="26" t="s">
        <v>344</v>
      </c>
      <c r="V9" s="26" t="s">
        <v>345</v>
      </c>
      <c r="W9" s="26" t="s">
        <v>346</v>
      </c>
      <c r="X9" s="26" t="s">
        <v>45</v>
      </c>
      <c r="Y9" s="200"/>
      <c r="Z9" s="291"/>
    </row>
    <row r="10" spans="1:28">
      <c r="A10" s="27" t="s">
        <v>21</v>
      </c>
      <c r="C10" s="28">
        <v>1</v>
      </c>
      <c r="D10" s="28">
        <f>C10+1</f>
        <v>2</v>
      </c>
      <c r="E10" s="201" t="s">
        <v>347</v>
      </c>
      <c r="F10" s="28">
        <f>D10+1</f>
        <v>3</v>
      </c>
      <c r="H10" s="28">
        <f>F10+1</f>
        <v>4</v>
      </c>
      <c r="I10" s="28">
        <f>H10+1</f>
        <v>5</v>
      </c>
      <c r="J10" s="28">
        <f>I10+1</f>
        <v>6</v>
      </c>
      <c r="K10" s="198"/>
      <c r="L10" s="28">
        <f>J10+1</f>
        <v>7</v>
      </c>
      <c r="M10" s="28">
        <f>L10+1</f>
        <v>8</v>
      </c>
      <c r="N10" s="28">
        <f>M10+1</f>
        <v>9</v>
      </c>
      <c r="O10" s="28">
        <f>N10+1</f>
        <v>10</v>
      </c>
      <c r="P10" s="28">
        <f>O10+1</f>
        <v>11</v>
      </c>
      <c r="Q10" s="199"/>
      <c r="R10" s="28">
        <f>P10+1</f>
        <v>12</v>
      </c>
      <c r="S10" s="199"/>
      <c r="T10" s="28">
        <f>R10+1</f>
        <v>13</v>
      </c>
      <c r="U10" s="28">
        <f>T10+1</f>
        <v>14</v>
      </c>
      <c r="V10" s="28">
        <f>U10+1</f>
        <v>15</v>
      </c>
      <c r="W10" s="28">
        <f>V10+1</f>
        <v>16</v>
      </c>
      <c r="X10" s="28">
        <f>W10+1</f>
        <v>17</v>
      </c>
      <c r="Y10" s="200"/>
      <c r="Z10" s="28">
        <f>X10+1</f>
        <v>18</v>
      </c>
    </row>
    <row r="11" spans="1:28">
      <c r="K11" s="1"/>
      <c r="Q11" s="199"/>
      <c r="S11" s="199"/>
      <c r="Y11" s="200"/>
    </row>
    <row r="12" spans="1:28">
      <c r="A12" s="1">
        <v>1</v>
      </c>
      <c r="C12" s="1">
        <v>1</v>
      </c>
      <c r="D12" s="1">
        <v>1001</v>
      </c>
      <c r="E12" s="132">
        <v>14</v>
      </c>
      <c r="H12" s="23">
        <v>2312</v>
      </c>
      <c r="I12" s="87">
        <v>0</v>
      </c>
      <c r="J12" s="87">
        <v>0</v>
      </c>
      <c r="K12" s="87"/>
      <c r="L12" s="202">
        <v>119112.2</v>
      </c>
      <c r="M12" s="202">
        <v>0</v>
      </c>
      <c r="N12" s="202">
        <v>0</v>
      </c>
      <c r="O12" s="202">
        <v>0</v>
      </c>
      <c r="P12" s="202">
        <v>119112.2</v>
      </c>
      <c r="Q12" s="26"/>
      <c r="R12" s="203">
        <v>55.29</v>
      </c>
      <c r="S12" s="26"/>
      <c r="T12" s="204">
        <f>2080*R12</f>
        <v>115003.2</v>
      </c>
      <c r="U12" s="204">
        <f t="shared" ref="U12" si="0">(+I12*R12)*1.5</f>
        <v>0</v>
      </c>
      <c r="V12" s="204">
        <v>0</v>
      </c>
      <c r="W12" s="204" t="str">
        <f t="shared" ref="W12:W54" si="1">IF(O12=0," ",+O12)</f>
        <v xml:space="preserve"> </v>
      </c>
      <c r="X12" s="204">
        <f t="shared" ref="X12:X52" si="2">SUM(T12:W12)</f>
        <v>115003.2</v>
      </c>
      <c r="Y12" s="200"/>
      <c r="Z12" s="119">
        <f>X12-P12</f>
        <v>-4109</v>
      </c>
      <c r="AB12" s="126"/>
    </row>
    <row r="13" spans="1:28">
      <c r="A13" s="1">
        <f>A12+1</f>
        <v>2</v>
      </c>
      <c r="C13" s="1">
        <f>C12+1</f>
        <v>2</v>
      </c>
      <c r="D13" s="1">
        <v>1002</v>
      </c>
      <c r="E13" s="132">
        <v>16</v>
      </c>
      <c r="H13" s="23">
        <v>2132</v>
      </c>
      <c r="I13" s="87">
        <v>244.5</v>
      </c>
      <c r="J13" s="87">
        <v>0</v>
      </c>
      <c r="K13" s="87"/>
      <c r="L13" s="202">
        <v>79937.039999999994</v>
      </c>
      <c r="M13" s="202">
        <v>13760.46</v>
      </c>
      <c r="N13" s="202">
        <v>0</v>
      </c>
      <c r="O13" s="202">
        <v>0</v>
      </c>
      <c r="P13" s="202">
        <f t="shared" ref="P13:P16" si="3">SUM(L13:O13)</f>
        <v>93697.5</v>
      </c>
      <c r="Q13" s="26"/>
      <c r="R13" s="203">
        <v>39.4</v>
      </c>
      <c r="S13" s="26"/>
      <c r="T13" s="204">
        <f t="shared" ref="T13:T54" si="4">2080*R13</f>
        <v>81952</v>
      </c>
      <c r="U13" s="204">
        <f>(+I13*R13)*1.5*0.5</f>
        <v>7224.9749999999995</v>
      </c>
      <c r="V13" s="204">
        <v>0</v>
      </c>
      <c r="W13" s="204" t="str">
        <f t="shared" si="1"/>
        <v xml:space="preserve"> </v>
      </c>
      <c r="X13" s="204">
        <f t="shared" si="2"/>
        <v>89176.975000000006</v>
      </c>
      <c r="Y13" s="200"/>
      <c r="Z13" s="119">
        <f t="shared" ref="Z13:Z16" si="5">X13-P13</f>
        <v>-4520.5249999999942</v>
      </c>
      <c r="AB13" s="126"/>
    </row>
    <row r="14" spans="1:28">
      <c r="A14" s="1">
        <f t="shared" ref="A14:A57" si="6">A13+1</f>
        <v>3</v>
      </c>
      <c r="C14" s="1">
        <f t="shared" ref="C14:C55" si="7">C13+1</f>
        <v>3</v>
      </c>
      <c r="D14" s="1">
        <v>1003</v>
      </c>
      <c r="E14" s="132">
        <v>130</v>
      </c>
      <c r="H14" s="23">
        <v>2180</v>
      </c>
      <c r="I14" s="87">
        <v>47.5</v>
      </c>
      <c r="J14" s="87">
        <v>0</v>
      </c>
      <c r="K14" s="87"/>
      <c r="L14" s="202">
        <v>81698.399999999994</v>
      </c>
      <c r="M14" s="202">
        <v>2673.3</v>
      </c>
      <c r="N14" s="202">
        <v>0</v>
      </c>
      <c r="O14" s="202">
        <v>6500</v>
      </c>
      <c r="P14" s="202">
        <f t="shared" si="3"/>
        <v>90871.7</v>
      </c>
      <c r="Q14" s="26"/>
      <c r="R14" s="203">
        <v>41.38</v>
      </c>
      <c r="S14" s="26"/>
      <c r="T14" s="204">
        <f t="shared" si="4"/>
        <v>86070.400000000009</v>
      </c>
      <c r="U14" s="204">
        <f>(+I14*R14)*1.5*0.5</f>
        <v>1474.1625000000001</v>
      </c>
      <c r="V14" s="204">
        <v>0</v>
      </c>
      <c r="W14" s="204">
        <f t="shared" si="1"/>
        <v>6500</v>
      </c>
      <c r="X14" s="204">
        <f t="shared" si="2"/>
        <v>94044.562500000015</v>
      </c>
      <c r="Y14" s="200"/>
      <c r="Z14" s="119">
        <f t="shared" si="5"/>
        <v>3172.8625000000175</v>
      </c>
      <c r="AB14" s="126"/>
    </row>
    <row r="15" spans="1:28">
      <c r="A15" s="1">
        <f t="shared" si="6"/>
        <v>4</v>
      </c>
      <c r="C15" s="1">
        <f t="shared" si="7"/>
        <v>4</v>
      </c>
      <c r="D15" s="1">
        <v>1004</v>
      </c>
      <c r="E15" s="132">
        <v>136</v>
      </c>
      <c r="H15" s="23">
        <v>2080</v>
      </c>
      <c r="I15" s="87">
        <v>365.5</v>
      </c>
      <c r="J15" s="87">
        <v>0</v>
      </c>
      <c r="K15" s="87"/>
      <c r="L15" s="202">
        <v>78605.08</v>
      </c>
      <c r="M15" s="202">
        <v>20569</v>
      </c>
      <c r="N15" s="202">
        <v>0</v>
      </c>
      <c r="O15" s="202"/>
      <c r="P15" s="202">
        <f t="shared" si="3"/>
        <v>99174.080000000002</v>
      </c>
      <c r="Q15" s="26"/>
      <c r="R15" s="203">
        <v>39.4</v>
      </c>
      <c r="S15" s="26"/>
      <c r="T15" s="204">
        <f t="shared" si="4"/>
        <v>81952</v>
      </c>
      <c r="U15" s="204">
        <f>(+I15*R15)*1.5*0.5</f>
        <v>10800.525</v>
      </c>
      <c r="V15" s="204">
        <v>0</v>
      </c>
      <c r="W15" s="204" t="str">
        <f t="shared" si="1"/>
        <v xml:space="preserve"> </v>
      </c>
      <c r="X15" s="204">
        <f t="shared" si="2"/>
        <v>92752.524999999994</v>
      </c>
      <c r="Y15" s="200"/>
      <c r="Z15" s="119">
        <f t="shared" si="5"/>
        <v>-6421.5550000000076</v>
      </c>
      <c r="AB15" s="126"/>
    </row>
    <row r="16" spans="1:28">
      <c r="A16" s="1">
        <f t="shared" si="6"/>
        <v>5</v>
      </c>
      <c r="C16" s="1">
        <f t="shared" si="7"/>
        <v>5</v>
      </c>
      <c r="D16" s="1">
        <v>1005</v>
      </c>
      <c r="E16" s="132">
        <v>149</v>
      </c>
      <c r="H16" s="23">
        <v>2045.5</v>
      </c>
      <c r="I16" s="87">
        <v>40</v>
      </c>
      <c r="J16" s="87">
        <v>0</v>
      </c>
      <c r="K16" s="87"/>
      <c r="L16" s="202">
        <v>72772.38</v>
      </c>
      <c r="M16" s="202">
        <v>2136.61</v>
      </c>
      <c r="N16" s="202">
        <v>0</v>
      </c>
      <c r="O16" s="202">
        <v>0</v>
      </c>
      <c r="P16" s="202">
        <f t="shared" si="3"/>
        <v>74908.990000000005</v>
      </c>
      <c r="Q16" s="26"/>
      <c r="R16" s="203">
        <v>36.68</v>
      </c>
      <c r="S16" s="26"/>
      <c r="T16" s="204">
        <f t="shared" si="4"/>
        <v>76294.399999999994</v>
      </c>
      <c r="U16" s="204">
        <f>(+I16*R16)*1.5*0.5</f>
        <v>1100.4000000000001</v>
      </c>
      <c r="V16" s="204">
        <v>0</v>
      </c>
      <c r="W16" s="204" t="str">
        <f t="shared" si="1"/>
        <v xml:space="preserve"> </v>
      </c>
      <c r="X16" s="204">
        <f t="shared" si="2"/>
        <v>77394.799999999988</v>
      </c>
      <c r="Y16" s="200"/>
      <c r="Z16" s="119">
        <f t="shared" si="5"/>
        <v>2485.8099999999831</v>
      </c>
      <c r="AB16" s="126"/>
    </row>
    <row r="17" spans="1:28">
      <c r="A17" s="1">
        <f t="shared" si="6"/>
        <v>6</v>
      </c>
      <c r="C17" s="1">
        <f t="shared" si="7"/>
        <v>6</v>
      </c>
      <c r="D17" s="1">
        <v>1006</v>
      </c>
      <c r="E17" s="132">
        <v>5</v>
      </c>
      <c r="H17" s="23">
        <v>2080</v>
      </c>
      <c r="I17" s="87">
        <v>30</v>
      </c>
      <c r="J17" s="87"/>
      <c r="K17" s="87"/>
      <c r="L17" s="202">
        <v>66956</v>
      </c>
      <c r="M17" s="202">
        <v>1449.91</v>
      </c>
      <c r="N17" s="202">
        <v>0</v>
      </c>
      <c r="O17" s="202">
        <v>6500</v>
      </c>
      <c r="P17" s="202">
        <f>SUM(L17:O17)</f>
        <v>74905.91</v>
      </c>
      <c r="Q17" s="26"/>
      <c r="R17" s="203">
        <v>33.83</v>
      </c>
      <c r="S17" s="26"/>
      <c r="T17" s="204">
        <f t="shared" si="4"/>
        <v>70366.399999999994</v>
      </c>
      <c r="U17" s="204">
        <f>(+I17*R17)*1.5*0.5</f>
        <v>761.17499999999995</v>
      </c>
      <c r="V17" s="204" t="str">
        <f t="shared" ref="V17:V54" si="8">IF(N17=0," ",+J17*R17)</f>
        <v xml:space="preserve"> </v>
      </c>
      <c r="W17" s="204">
        <f t="shared" si="1"/>
        <v>6500</v>
      </c>
      <c r="X17" s="204">
        <f t="shared" si="2"/>
        <v>77627.574999999997</v>
      </c>
      <c r="Y17" s="200"/>
      <c r="Z17" s="119">
        <f>X17-P17</f>
        <v>2721.6649999999936</v>
      </c>
      <c r="AB17" s="126"/>
    </row>
    <row r="18" spans="1:28">
      <c r="A18" s="1">
        <f t="shared" si="6"/>
        <v>7</v>
      </c>
      <c r="C18" s="1">
        <f t="shared" si="7"/>
        <v>7</v>
      </c>
      <c r="D18" s="1">
        <v>1007</v>
      </c>
      <c r="E18" s="132">
        <v>8</v>
      </c>
      <c r="H18" s="23">
        <v>2080</v>
      </c>
      <c r="I18" s="87">
        <v>387</v>
      </c>
      <c r="J18" s="87"/>
      <c r="K18" s="87"/>
      <c r="L18" s="202">
        <v>77974</v>
      </c>
      <c r="M18" s="202">
        <v>21778.31</v>
      </c>
      <c r="N18" s="202">
        <v>0</v>
      </c>
      <c r="O18" s="202">
        <v>0</v>
      </c>
      <c r="P18" s="202">
        <f t="shared" ref="P18:P54" si="9">SUM(L18:O18)</f>
        <v>99752.31</v>
      </c>
      <c r="Q18" s="26"/>
      <c r="R18" s="203">
        <v>39.4</v>
      </c>
      <c r="S18" s="26"/>
      <c r="T18" s="204">
        <f t="shared" si="4"/>
        <v>81952</v>
      </c>
      <c r="U18" s="204">
        <f t="shared" ref="U18:U54" si="10">(+I18*R18)*1.5</f>
        <v>22871.699999999997</v>
      </c>
      <c r="V18" s="204" t="str">
        <f t="shared" si="8"/>
        <v xml:space="preserve"> </v>
      </c>
      <c r="W18" s="204" t="str">
        <f t="shared" si="1"/>
        <v xml:space="preserve"> </v>
      </c>
      <c r="X18" s="204">
        <f t="shared" si="2"/>
        <v>104823.7</v>
      </c>
      <c r="Y18" s="200"/>
      <c r="Z18" s="119">
        <f>X18-P18</f>
        <v>5071.3899999999994</v>
      </c>
      <c r="AB18" s="126"/>
    </row>
    <row r="19" spans="1:28">
      <c r="A19" s="1">
        <f t="shared" si="6"/>
        <v>8</v>
      </c>
      <c r="C19" s="1">
        <f t="shared" si="7"/>
        <v>8</v>
      </c>
      <c r="D19" s="1">
        <v>1008</v>
      </c>
      <c r="E19" s="132">
        <v>10</v>
      </c>
      <c r="H19" s="23">
        <v>2080</v>
      </c>
      <c r="I19" s="87">
        <v>13</v>
      </c>
      <c r="J19" s="87"/>
      <c r="K19" s="87"/>
      <c r="L19" s="202">
        <v>61781.73</v>
      </c>
      <c r="M19" s="202">
        <v>579.74</v>
      </c>
      <c r="N19" s="202">
        <v>0</v>
      </c>
      <c r="O19" s="202">
        <v>0</v>
      </c>
      <c r="P19" s="202">
        <f t="shared" si="9"/>
        <v>62361.47</v>
      </c>
      <c r="Q19" s="26"/>
      <c r="R19" s="203">
        <v>30.77</v>
      </c>
      <c r="S19" s="26"/>
      <c r="T19" s="204">
        <f t="shared" si="4"/>
        <v>64001.599999999999</v>
      </c>
      <c r="U19" s="204">
        <f t="shared" si="10"/>
        <v>600.01499999999999</v>
      </c>
      <c r="V19" s="204" t="str">
        <f t="shared" si="8"/>
        <v xml:space="preserve"> </v>
      </c>
      <c r="W19" s="204" t="str">
        <f t="shared" si="1"/>
        <v xml:space="preserve"> </v>
      </c>
      <c r="X19" s="204">
        <f t="shared" si="2"/>
        <v>64601.614999999998</v>
      </c>
      <c r="Y19" s="200"/>
      <c r="Z19" s="119">
        <f>X19-P19</f>
        <v>2240.1449999999968</v>
      </c>
      <c r="AB19" s="126"/>
    </row>
    <row r="20" spans="1:28">
      <c r="A20" s="1">
        <f t="shared" si="6"/>
        <v>9</v>
      </c>
      <c r="C20" s="1">
        <f t="shared" si="7"/>
        <v>9</v>
      </c>
      <c r="D20" s="1">
        <v>1009</v>
      </c>
      <c r="E20" s="132">
        <v>11</v>
      </c>
      <c r="H20" s="23">
        <v>2137.5</v>
      </c>
      <c r="I20" s="87">
        <v>173</v>
      </c>
      <c r="J20" s="87"/>
      <c r="K20" s="87"/>
      <c r="L20" s="202">
        <v>80127.399999999994</v>
      </c>
      <c r="M20" s="202">
        <v>9735.1</v>
      </c>
      <c r="N20" s="202">
        <v>0</v>
      </c>
      <c r="O20" s="202">
        <v>0</v>
      </c>
      <c r="P20" s="202">
        <f>SUM(L20:O20)</f>
        <v>89862.5</v>
      </c>
      <c r="Q20" s="26"/>
      <c r="R20" s="203">
        <v>39.4</v>
      </c>
      <c r="S20" s="26"/>
      <c r="T20" s="204">
        <f t="shared" si="4"/>
        <v>81952</v>
      </c>
      <c r="U20" s="204">
        <f t="shared" si="10"/>
        <v>10224.299999999999</v>
      </c>
      <c r="V20" s="204" t="str">
        <f t="shared" si="8"/>
        <v xml:space="preserve"> </v>
      </c>
      <c r="W20" s="204" t="str">
        <f t="shared" si="1"/>
        <v xml:space="preserve"> </v>
      </c>
      <c r="X20" s="204">
        <f t="shared" si="2"/>
        <v>92176.3</v>
      </c>
      <c r="Y20" s="200"/>
      <c r="Z20" s="119">
        <f t="shared" ref="Z20:Z47" si="11">X20-P20</f>
        <v>2313.8000000000029</v>
      </c>
      <c r="AB20" s="126"/>
    </row>
    <row r="21" spans="1:28">
      <c r="A21" s="1">
        <f t="shared" si="6"/>
        <v>10</v>
      </c>
      <c r="C21" s="1">
        <f t="shared" si="7"/>
        <v>10</v>
      </c>
      <c r="D21" s="1">
        <v>1010</v>
      </c>
      <c r="E21" s="132">
        <v>13</v>
      </c>
      <c r="H21" s="23">
        <v>2080</v>
      </c>
      <c r="I21" s="87">
        <v>158</v>
      </c>
      <c r="J21" s="87"/>
      <c r="K21" s="87"/>
      <c r="L21" s="202">
        <v>78026</v>
      </c>
      <c r="M21" s="202">
        <v>8892.24</v>
      </c>
      <c r="N21" s="202">
        <v>0</v>
      </c>
      <c r="O21" s="202">
        <v>0</v>
      </c>
      <c r="P21" s="202">
        <f t="shared" si="9"/>
        <v>86918.24</v>
      </c>
      <c r="Q21" s="26"/>
      <c r="R21" s="203">
        <v>39.4</v>
      </c>
      <c r="S21" s="26"/>
      <c r="T21" s="204">
        <f t="shared" si="4"/>
        <v>81952</v>
      </c>
      <c r="U21" s="204">
        <f t="shared" si="10"/>
        <v>9337.7999999999993</v>
      </c>
      <c r="V21" s="204" t="str">
        <f t="shared" si="8"/>
        <v xml:space="preserve"> </v>
      </c>
      <c r="W21" s="204" t="str">
        <f t="shared" si="1"/>
        <v xml:space="preserve"> </v>
      </c>
      <c r="X21" s="204">
        <f t="shared" si="2"/>
        <v>91289.8</v>
      </c>
      <c r="Y21" s="200"/>
      <c r="Z21" s="119">
        <f t="shared" si="11"/>
        <v>4371.5599999999977</v>
      </c>
      <c r="AB21" s="126"/>
    </row>
    <row r="22" spans="1:28">
      <c r="A22" s="1">
        <f t="shared" si="6"/>
        <v>11</v>
      </c>
      <c r="C22" s="1">
        <f t="shared" si="7"/>
        <v>11</v>
      </c>
      <c r="D22" s="1">
        <v>1011</v>
      </c>
      <c r="E22" s="132">
        <v>15</v>
      </c>
      <c r="H22" s="23">
        <v>2080</v>
      </c>
      <c r="I22" s="87">
        <v>231</v>
      </c>
      <c r="J22" s="87"/>
      <c r="K22" s="87"/>
      <c r="L22" s="202">
        <v>63839.199999999997</v>
      </c>
      <c r="M22" s="202">
        <v>10644.48</v>
      </c>
      <c r="N22" s="202">
        <v>0</v>
      </c>
      <c r="O22" s="202">
        <v>0</v>
      </c>
      <c r="P22" s="202">
        <f t="shared" si="9"/>
        <v>74483.679999999993</v>
      </c>
      <c r="Q22" s="26"/>
      <c r="R22" s="203">
        <v>32.26</v>
      </c>
      <c r="S22" s="26"/>
      <c r="T22" s="204">
        <f t="shared" si="4"/>
        <v>67100.800000000003</v>
      </c>
      <c r="U22" s="204">
        <f t="shared" si="10"/>
        <v>11178.09</v>
      </c>
      <c r="V22" s="204" t="str">
        <f t="shared" si="8"/>
        <v xml:space="preserve"> </v>
      </c>
      <c r="W22" s="204" t="str">
        <f t="shared" si="1"/>
        <v xml:space="preserve"> </v>
      </c>
      <c r="X22" s="204">
        <f t="shared" si="2"/>
        <v>78278.89</v>
      </c>
      <c r="Y22" s="200"/>
      <c r="Z22" s="119">
        <f t="shared" si="11"/>
        <v>3795.2100000000064</v>
      </c>
      <c r="AB22" s="126"/>
    </row>
    <row r="23" spans="1:28">
      <c r="A23" s="1">
        <f t="shared" si="6"/>
        <v>12</v>
      </c>
      <c r="C23" s="1">
        <f t="shared" si="7"/>
        <v>12</v>
      </c>
      <c r="D23" s="1">
        <v>1012</v>
      </c>
      <c r="E23" s="132">
        <v>22</v>
      </c>
      <c r="H23" s="23">
        <v>2080</v>
      </c>
      <c r="I23" s="87">
        <v>274.5</v>
      </c>
      <c r="J23" s="87"/>
      <c r="K23" s="87"/>
      <c r="L23" s="202">
        <v>78728.399999999994</v>
      </c>
      <c r="M23" s="202">
        <v>15440.81</v>
      </c>
      <c r="N23" s="202">
        <v>0</v>
      </c>
      <c r="O23" s="202">
        <v>0</v>
      </c>
      <c r="P23" s="202">
        <f t="shared" si="9"/>
        <v>94169.209999999992</v>
      </c>
      <c r="Q23" s="26"/>
      <c r="R23" s="203">
        <v>39.4</v>
      </c>
      <c r="S23" s="26"/>
      <c r="T23" s="204">
        <f t="shared" si="4"/>
        <v>81952</v>
      </c>
      <c r="U23" s="204">
        <f t="shared" si="10"/>
        <v>16222.949999999999</v>
      </c>
      <c r="V23" s="204" t="str">
        <f t="shared" si="8"/>
        <v xml:space="preserve"> </v>
      </c>
      <c r="W23" s="204" t="str">
        <f t="shared" si="1"/>
        <v xml:space="preserve"> </v>
      </c>
      <c r="X23" s="204">
        <f t="shared" si="2"/>
        <v>98174.95</v>
      </c>
      <c r="Y23" s="200"/>
      <c r="Z23" s="119">
        <f t="shared" si="11"/>
        <v>4005.7400000000052</v>
      </c>
      <c r="AB23" s="126"/>
    </row>
    <row r="24" spans="1:28">
      <c r="A24" s="1">
        <f t="shared" si="6"/>
        <v>13</v>
      </c>
      <c r="C24" s="1">
        <f t="shared" si="7"/>
        <v>13</v>
      </c>
      <c r="D24" s="1">
        <v>1013</v>
      </c>
      <c r="E24" s="132">
        <v>24</v>
      </c>
      <c r="H24" s="23">
        <v>2080</v>
      </c>
      <c r="I24" s="87">
        <v>285.5</v>
      </c>
      <c r="J24" s="87"/>
      <c r="K24" s="87"/>
      <c r="L24" s="202">
        <v>77974</v>
      </c>
      <c r="M24" s="202">
        <v>16067.94</v>
      </c>
      <c r="N24" s="202">
        <v>0</v>
      </c>
      <c r="O24" s="202">
        <v>0</v>
      </c>
      <c r="P24" s="202">
        <f t="shared" si="9"/>
        <v>94041.94</v>
      </c>
      <c r="Q24" s="26"/>
      <c r="R24" s="203">
        <v>39.4</v>
      </c>
      <c r="S24" s="26"/>
      <c r="T24" s="204">
        <f t="shared" si="4"/>
        <v>81952</v>
      </c>
      <c r="U24" s="204">
        <f>(+I24*R24)*1.5</f>
        <v>16873.05</v>
      </c>
      <c r="V24" s="204" t="str">
        <f>IF(N24=0," ",+J24*R24)</f>
        <v xml:space="preserve"> </v>
      </c>
      <c r="W24" s="204" t="str">
        <f t="shared" si="1"/>
        <v xml:space="preserve"> </v>
      </c>
      <c r="X24" s="204">
        <f t="shared" si="2"/>
        <v>98825.05</v>
      </c>
      <c r="Y24" s="200"/>
      <c r="Z24" s="119">
        <f t="shared" si="11"/>
        <v>4783.1100000000006</v>
      </c>
      <c r="AB24" s="126"/>
    </row>
    <row r="25" spans="1:28">
      <c r="A25" s="1">
        <f t="shared" si="6"/>
        <v>14</v>
      </c>
      <c r="C25" s="1">
        <f t="shared" si="7"/>
        <v>14</v>
      </c>
      <c r="D25" s="1">
        <v>1014</v>
      </c>
      <c r="E25" s="132">
        <v>25</v>
      </c>
      <c r="H25" s="23">
        <v>2167</v>
      </c>
      <c r="I25" s="87">
        <v>292.5</v>
      </c>
      <c r="J25" s="87"/>
      <c r="K25" s="87"/>
      <c r="L25" s="202">
        <v>64866.12</v>
      </c>
      <c r="M25" s="202">
        <v>13136.37</v>
      </c>
      <c r="N25" s="202">
        <v>0</v>
      </c>
      <c r="O25" s="202">
        <v>0</v>
      </c>
      <c r="P25" s="202">
        <f t="shared" si="9"/>
        <v>78002.490000000005</v>
      </c>
      <c r="Q25" s="26"/>
      <c r="R25" s="203">
        <v>31.46</v>
      </c>
      <c r="S25" s="26"/>
      <c r="T25" s="204">
        <f t="shared" si="4"/>
        <v>65436.800000000003</v>
      </c>
      <c r="U25" s="204">
        <f t="shared" si="10"/>
        <v>13803.075000000001</v>
      </c>
      <c r="V25" s="204" t="str">
        <f>IF(N25=0," ",+J25*R25)</f>
        <v xml:space="preserve"> </v>
      </c>
      <c r="W25" s="204" t="str">
        <f t="shared" si="1"/>
        <v xml:space="preserve"> </v>
      </c>
      <c r="X25" s="204">
        <f t="shared" si="2"/>
        <v>79239.875</v>
      </c>
      <c r="Y25" s="200"/>
      <c r="Z25" s="119">
        <f t="shared" si="11"/>
        <v>1237.3849999999948</v>
      </c>
      <c r="AB25" s="126"/>
    </row>
    <row r="26" spans="1:28">
      <c r="A26" s="1">
        <f t="shared" si="6"/>
        <v>15</v>
      </c>
      <c r="C26" s="1">
        <f t="shared" si="7"/>
        <v>15</v>
      </c>
      <c r="D26" s="1">
        <v>1015</v>
      </c>
      <c r="E26" s="132">
        <v>31</v>
      </c>
      <c r="H26" s="23">
        <v>2176</v>
      </c>
      <c r="I26" s="87">
        <v>343</v>
      </c>
      <c r="J26" s="87"/>
      <c r="K26" s="87"/>
      <c r="L26" s="202">
        <v>86227.520000000004</v>
      </c>
      <c r="M26" s="202">
        <v>20359.080000000002</v>
      </c>
      <c r="N26" s="202">
        <v>0</v>
      </c>
      <c r="O26" s="202">
        <v>0</v>
      </c>
      <c r="P26" s="202">
        <f t="shared" si="9"/>
        <v>106586.6</v>
      </c>
      <c r="Q26" s="26"/>
      <c r="R26" s="203">
        <v>41.6</v>
      </c>
      <c r="S26" s="26"/>
      <c r="T26" s="204">
        <f t="shared" si="4"/>
        <v>86528</v>
      </c>
      <c r="U26" s="204">
        <f t="shared" si="10"/>
        <v>21403.200000000001</v>
      </c>
      <c r="V26" s="204" t="str">
        <f t="shared" si="8"/>
        <v xml:space="preserve"> </v>
      </c>
      <c r="W26" s="204" t="str">
        <f t="shared" si="1"/>
        <v xml:space="preserve"> </v>
      </c>
      <c r="X26" s="204">
        <f t="shared" si="2"/>
        <v>107931.2</v>
      </c>
      <c r="Y26" s="200"/>
      <c r="Z26" s="119">
        <f t="shared" si="11"/>
        <v>1344.5999999999913</v>
      </c>
      <c r="AB26" s="126"/>
    </row>
    <row r="27" spans="1:28">
      <c r="A27" s="1">
        <f t="shared" si="6"/>
        <v>16</v>
      </c>
      <c r="C27" s="1">
        <f t="shared" si="7"/>
        <v>16</v>
      </c>
      <c r="D27" s="1">
        <v>1016</v>
      </c>
      <c r="E27" s="132">
        <v>38</v>
      </c>
      <c r="H27" s="23">
        <v>2080</v>
      </c>
      <c r="I27" s="87">
        <v>188.5</v>
      </c>
      <c r="J27" s="87"/>
      <c r="K27" s="87"/>
      <c r="L27" s="202">
        <v>76547.8</v>
      </c>
      <c r="M27" s="202">
        <v>10297.81</v>
      </c>
      <c r="N27" s="202">
        <v>0</v>
      </c>
      <c r="O27" s="202">
        <v>0</v>
      </c>
      <c r="P27" s="202">
        <f t="shared" si="9"/>
        <v>86845.61</v>
      </c>
      <c r="Q27" s="26"/>
      <c r="R27" s="203">
        <v>39.4</v>
      </c>
      <c r="S27" s="26"/>
      <c r="T27" s="204">
        <f t="shared" si="4"/>
        <v>81952</v>
      </c>
      <c r="U27" s="204">
        <f t="shared" si="10"/>
        <v>11140.349999999999</v>
      </c>
      <c r="V27" s="204" t="str">
        <f t="shared" si="8"/>
        <v xml:space="preserve"> </v>
      </c>
      <c r="W27" s="204" t="str">
        <f t="shared" si="1"/>
        <v xml:space="preserve"> </v>
      </c>
      <c r="X27" s="204">
        <f t="shared" si="2"/>
        <v>93092.35</v>
      </c>
      <c r="Y27" s="200"/>
      <c r="Z27" s="119">
        <f t="shared" si="11"/>
        <v>6246.7400000000052</v>
      </c>
      <c r="AB27" s="126"/>
    </row>
    <row r="28" spans="1:28">
      <c r="A28" s="1">
        <f t="shared" si="6"/>
        <v>17</v>
      </c>
      <c r="C28" s="1">
        <f t="shared" si="7"/>
        <v>17</v>
      </c>
      <c r="D28" s="1">
        <v>1017</v>
      </c>
      <c r="E28" s="132">
        <v>38</v>
      </c>
      <c r="H28" s="23">
        <v>2080</v>
      </c>
      <c r="I28" s="87">
        <v>241</v>
      </c>
      <c r="J28" s="87"/>
      <c r="K28" s="87"/>
      <c r="L28" s="202">
        <v>50231.4</v>
      </c>
      <c r="M28" s="202">
        <v>8653.08</v>
      </c>
      <c r="N28" s="202">
        <v>0</v>
      </c>
      <c r="O28" s="202">
        <v>0</v>
      </c>
      <c r="P28" s="202">
        <f t="shared" si="9"/>
        <v>58884.480000000003</v>
      </c>
      <c r="Q28" s="26"/>
      <c r="R28" s="203">
        <v>24.88</v>
      </c>
      <c r="S28" s="26"/>
      <c r="T28" s="204">
        <f t="shared" si="4"/>
        <v>51750.400000000001</v>
      </c>
      <c r="U28" s="204">
        <f t="shared" si="10"/>
        <v>8994.119999999999</v>
      </c>
      <c r="V28" s="204" t="str">
        <f t="shared" si="8"/>
        <v xml:space="preserve"> </v>
      </c>
      <c r="W28" s="204" t="str">
        <f t="shared" si="1"/>
        <v xml:space="preserve"> </v>
      </c>
      <c r="X28" s="204">
        <f t="shared" si="2"/>
        <v>60744.520000000004</v>
      </c>
      <c r="Y28" s="200"/>
      <c r="Z28" s="119">
        <f t="shared" si="11"/>
        <v>1860.0400000000009</v>
      </c>
      <c r="AB28" s="126"/>
    </row>
    <row r="29" spans="1:28">
      <c r="A29" s="1">
        <f t="shared" si="6"/>
        <v>18</v>
      </c>
      <c r="C29" s="1">
        <f t="shared" si="7"/>
        <v>18</v>
      </c>
      <c r="D29" s="1">
        <v>1018</v>
      </c>
      <c r="E29" s="132">
        <v>40</v>
      </c>
      <c r="H29" s="23">
        <v>2080</v>
      </c>
      <c r="I29" s="87">
        <v>387.5</v>
      </c>
      <c r="J29" s="87"/>
      <c r="K29" s="87"/>
      <c r="L29" s="202">
        <v>59541</v>
      </c>
      <c r="M29" s="202">
        <v>16614.21</v>
      </c>
      <c r="N29" s="202">
        <v>0</v>
      </c>
      <c r="O29" s="202">
        <v>0</v>
      </c>
      <c r="P29" s="202">
        <f t="shared" si="9"/>
        <v>76155.209999999992</v>
      </c>
      <c r="Q29" s="26"/>
      <c r="R29" s="203">
        <v>33.049999999999997</v>
      </c>
      <c r="S29" s="26"/>
      <c r="T29" s="204">
        <f t="shared" si="4"/>
        <v>68744</v>
      </c>
      <c r="U29" s="204">
        <f t="shared" si="10"/>
        <v>19210.312499999996</v>
      </c>
      <c r="V29" s="204" t="str">
        <f>IF(N29=0," ",+J29*R29)</f>
        <v xml:space="preserve"> </v>
      </c>
      <c r="W29" s="204" t="str">
        <f>IF(O29=0," ",+O29)</f>
        <v xml:space="preserve"> </v>
      </c>
      <c r="X29" s="204">
        <f>SUM(T29:W29)</f>
        <v>87954.3125</v>
      </c>
      <c r="Y29" s="200"/>
      <c r="Z29" s="119">
        <f t="shared" si="11"/>
        <v>11799.102500000008</v>
      </c>
      <c r="AB29" s="126"/>
    </row>
    <row r="30" spans="1:28">
      <c r="A30" s="1">
        <f t="shared" si="6"/>
        <v>19</v>
      </c>
      <c r="C30" s="1">
        <f t="shared" si="7"/>
        <v>19</v>
      </c>
      <c r="D30" s="1">
        <v>1019</v>
      </c>
      <c r="E30" s="132">
        <v>41</v>
      </c>
      <c r="H30" s="23">
        <v>2080</v>
      </c>
      <c r="I30" s="87">
        <v>110</v>
      </c>
      <c r="J30" s="87"/>
      <c r="K30" s="87"/>
      <c r="L30" s="202">
        <v>37304</v>
      </c>
      <c r="M30" s="202">
        <v>2862.75</v>
      </c>
      <c r="N30" s="202">
        <v>0</v>
      </c>
      <c r="O30" s="202">
        <v>0</v>
      </c>
      <c r="P30" s="202">
        <f t="shared" si="9"/>
        <v>40166.75</v>
      </c>
      <c r="Q30" s="26"/>
      <c r="R30" s="203">
        <v>20</v>
      </c>
      <c r="S30" s="26"/>
      <c r="T30" s="204">
        <f t="shared" si="4"/>
        <v>41600</v>
      </c>
      <c r="U30" s="204">
        <f t="shared" si="10"/>
        <v>3300</v>
      </c>
      <c r="V30" s="204" t="str">
        <f t="shared" si="8"/>
        <v xml:space="preserve"> </v>
      </c>
      <c r="W30" s="204" t="str">
        <f t="shared" si="1"/>
        <v xml:space="preserve"> </v>
      </c>
      <c r="X30" s="204">
        <f t="shared" si="2"/>
        <v>44900</v>
      </c>
      <c r="Y30" s="200"/>
      <c r="Z30" s="119">
        <f t="shared" si="11"/>
        <v>4733.25</v>
      </c>
      <c r="AB30" s="126"/>
    </row>
    <row r="31" spans="1:28">
      <c r="A31" s="1">
        <f t="shared" si="6"/>
        <v>20</v>
      </c>
      <c r="C31" s="1">
        <f t="shared" si="7"/>
        <v>20</v>
      </c>
      <c r="D31" s="1">
        <v>1020</v>
      </c>
      <c r="E31" s="132">
        <v>43</v>
      </c>
      <c r="H31" s="23">
        <v>360</v>
      </c>
      <c r="I31" s="87">
        <v>68</v>
      </c>
      <c r="J31" s="87"/>
      <c r="K31" s="87"/>
      <c r="L31" s="202">
        <v>7602</v>
      </c>
      <c r="M31" s="202">
        <v>2142</v>
      </c>
      <c r="N31" s="202">
        <v>0</v>
      </c>
      <c r="O31" s="202">
        <v>0</v>
      </c>
      <c r="P31" s="202">
        <f t="shared" si="9"/>
        <v>9744</v>
      </c>
      <c r="Q31" s="26"/>
      <c r="R31" s="203">
        <v>21</v>
      </c>
      <c r="S31" s="26"/>
      <c r="T31" s="204">
        <f t="shared" si="4"/>
        <v>43680</v>
      </c>
      <c r="U31" s="204">
        <f t="shared" si="10"/>
        <v>2142</v>
      </c>
      <c r="V31" s="204" t="str">
        <f t="shared" si="8"/>
        <v xml:space="preserve"> </v>
      </c>
      <c r="W31" s="204" t="str">
        <f t="shared" si="1"/>
        <v xml:space="preserve"> </v>
      </c>
      <c r="X31" s="204">
        <f t="shared" si="2"/>
        <v>45822</v>
      </c>
      <c r="Y31" s="200"/>
      <c r="Z31" s="119">
        <f t="shared" si="11"/>
        <v>36078</v>
      </c>
      <c r="AB31" s="126"/>
    </row>
    <row r="32" spans="1:28">
      <c r="A32" s="1">
        <f t="shared" si="6"/>
        <v>21</v>
      </c>
      <c r="C32" s="1">
        <f t="shared" si="7"/>
        <v>21</v>
      </c>
      <c r="D32" s="1">
        <v>1021</v>
      </c>
      <c r="E32" s="132">
        <v>50</v>
      </c>
      <c r="H32" s="23">
        <v>2080</v>
      </c>
      <c r="I32" s="87">
        <v>502.5</v>
      </c>
      <c r="J32" s="87"/>
      <c r="K32" s="87"/>
      <c r="L32" s="202">
        <v>77581.89</v>
      </c>
      <c r="M32" s="202">
        <v>28100.67</v>
      </c>
      <c r="N32" s="202">
        <v>0</v>
      </c>
      <c r="O32" s="202">
        <v>0</v>
      </c>
      <c r="P32" s="202">
        <f t="shared" si="9"/>
        <v>105682.56</v>
      </c>
      <c r="Q32" s="26"/>
      <c r="R32" s="203">
        <v>41.6</v>
      </c>
      <c r="S32" s="26"/>
      <c r="T32" s="204">
        <f t="shared" si="4"/>
        <v>86528</v>
      </c>
      <c r="U32" s="204">
        <f t="shared" si="10"/>
        <v>31356</v>
      </c>
      <c r="V32" s="204" t="str">
        <f t="shared" si="8"/>
        <v xml:space="preserve"> </v>
      </c>
      <c r="W32" s="204" t="str">
        <f t="shared" si="1"/>
        <v xml:space="preserve"> </v>
      </c>
      <c r="X32" s="204">
        <f t="shared" si="2"/>
        <v>117884</v>
      </c>
      <c r="Y32" s="200"/>
      <c r="Z32" s="119">
        <f t="shared" si="11"/>
        <v>12201.440000000002</v>
      </c>
      <c r="AB32" s="126"/>
    </row>
    <row r="33" spans="1:28">
      <c r="A33" s="1">
        <f t="shared" si="6"/>
        <v>22</v>
      </c>
      <c r="C33" s="1">
        <f t="shared" si="7"/>
        <v>22</v>
      </c>
      <c r="D33" s="1">
        <v>1022</v>
      </c>
      <c r="E33" s="132">
        <v>138</v>
      </c>
      <c r="H33" s="23">
        <v>2080</v>
      </c>
      <c r="I33" s="87">
        <v>383.5</v>
      </c>
      <c r="J33" s="87"/>
      <c r="K33" s="87" t="s">
        <v>348</v>
      </c>
      <c r="L33" s="202">
        <v>72720.62</v>
      </c>
      <c r="M33" s="202">
        <v>20105.09</v>
      </c>
      <c r="N33" s="202">
        <v>0</v>
      </c>
      <c r="O33" s="202">
        <v>0</v>
      </c>
      <c r="P33" s="202">
        <f t="shared" si="9"/>
        <v>92825.709999999992</v>
      </c>
      <c r="Q33" s="26"/>
      <c r="R33" s="203">
        <v>39.4</v>
      </c>
      <c r="S33" s="26"/>
      <c r="T33" s="204">
        <f t="shared" si="4"/>
        <v>81952</v>
      </c>
      <c r="U33" s="204">
        <f t="shared" si="10"/>
        <v>22664.85</v>
      </c>
      <c r="V33" s="204" t="str">
        <f t="shared" si="8"/>
        <v xml:space="preserve"> </v>
      </c>
      <c r="W33" s="204" t="str">
        <f t="shared" si="1"/>
        <v xml:space="preserve"> </v>
      </c>
      <c r="X33" s="204">
        <f t="shared" si="2"/>
        <v>104616.85</v>
      </c>
      <c r="Y33" s="200"/>
      <c r="Z33" s="119">
        <f t="shared" si="11"/>
        <v>11791.140000000014</v>
      </c>
      <c r="AB33" s="126"/>
    </row>
    <row r="34" spans="1:28">
      <c r="A34" s="1">
        <f t="shared" si="6"/>
        <v>23</v>
      </c>
      <c r="C34" s="1">
        <f t="shared" si="7"/>
        <v>23</v>
      </c>
      <c r="D34" s="1">
        <v>1023</v>
      </c>
      <c r="E34" s="132">
        <v>139</v>
      </c>
      <c r="H34" s="23">
        <v>2080</v>
      </c>
      <c r="I34" s="87">
        <v>309.5</v>
      </c>
      <c r="J34" s="87"/>
      <c r="K34" s="87"/>
      <c r="L34" s="202">
        <v>54514.6</v>
      </c>
      <c r="M34" s="202">
        <v>11953.85</v>
      </c>
      <c r="N34" s="202">
        <v>0</v>
      </c>
      <c r="O34" s="202">
        <v>0</v>
      </c>
      <c r="P34" s="202">
        <f t="shared" si="9"/>
        <v>66468.45</v>
      </c>
      <c r="Q34" s="26"/>
      <c r="R34" s="203">
        <v>28.58</v>
      </c>
      <c r="S34" s="26"/>
      <c r="T34" s="204">
        <f t="shared" si="4"/>
        <v>59446.399999999994</v>
      </c>
      <c r="U34" s="204">
        <f t="shared" si="10"/>
        <v>13268.264999999999</v>
      </c>
      <c r="V34" s="204" t="str">
        <f t="shared" si="8"/>
        <v xml:space="preserve"> </v>
      </c>
      <c r="W34" s="204" t="str">
        <f t="shared" si="1"/>
        <v xml:space="preserve"> </v>
      </c>
      <c r="X34" s="204">
        <f t="shared" si="2"/>
        <v>72714.664999999994</v>
      </c>
      <c r="Y34" s="200"/>
      <c r="Z34" s="119">
        <f t="shared" si="11"/>
        <v>6246.2149999999965</v>
      </c>
      <c r="AB34" s="126"/>
    </row>
    <row r="35" spans="1:28">
      <c r="A35" s="1">
        <f t="shared" si="6"/>
        <v>24</v>
      </c>
      <c r="C35" s="1">
        <f t="shared" si="7"/>
        <v>24</v>
      </c>
      <c r="D35" s="1">
        <v>1024</v>
      </c>
      <c r="E35" s="132">
        <v>144</v>
      </c>
      <c r="H35" s="23">
        <v>2080</v>
      </c>
      <c r="I35" s="87">
        <v>220.5</v>
      </c>
      <c r="J35" s="87"/>
      <c r="K35" s="87"/>
      <c r="L35" s="202">
        <v>35434</v>
      </c>
      <c r="M35" s="202">
        <v>5545.5</v>
      </c>
      <c r="N35" s="202">
        <v>0</v>
      </c>
      <c r="O35" s="202">
        <v>0</v>
      </c>
      <c r="P35" s="202">
        <f t="shared" si="9"/>
        <v>40979.5</v>
      </c>
      <c r="Q35" s="26"/>
      <c r="R35" s="203">
        <v>20</v>
      </c>
      <c r="S35" s="26"/>
      <c r="T35" s="204">
        <f t="shared" si="4"/>
        <v>41600</v>
      </c>
      <c r="U35" s="204">
        <f t="shared" si="10"/>
        <v>6615</v>
      </c>
      <c r="V35" s="204" t="str">
        <f t="shared" si="8"/>
        <v xml:space="preserve"> </v>
      </c>
      <c r="W35" s="204" t="str">
        <f t="shared" si="1"/>
        <v xml:space="preserve"> </v>
      </c>
      <c r="X35" s="204">
        <f t="shared" si="2"/>
        <v>48215</v>
      </c>
      <c r="Y35" s="200"/>
      <c r="Z35" s="119">
        <f t="shared" si="11"/>
        <v>7235.5</v>
      </c>
      <c r="AB35" s="126"/>
    </row>
    <row r="36" spans="1:28">
      <c r="A36" s="1">
        <f t="shared" si="6"/>
        <v>25</v>
      </c>
      <c r="C36" s="1">
        <f t="shared" si="7"/>
        <v>25</v>
      </c>
      <c r="D36" s="1">
        <v>1025</v>
      </c>
      <c r="E36" s="132">
        <v>164</v>
      </c>
      <c r="H36" s="23">
        <v>2080</v>
      </c>
      <c r="I36" s="87">
        <v>280.5</v>
      </c>
      <c r="J36" s="87"/>
      <c r="K36" s="87"/>
      <c r="L36" s="202">
        <v>51776.6</v>
      </c>
      <c r="M36" s="202">
        <v>10518.36</v>
      </c>
      <c r="N36" s="202">
        <v>0</v>
      </c>
      <c r="O36" s="202">
        <v>0</v>
      </c>
      <c r="P36" s="202">
        <f t="shared" si="9"/>
        <v>62294.96</v>
      </c>
      <c r="Q36" s="26"/>
      <c r="R36" s="203">
        <v>28.58</v>
      </c>
      <c r="S36" s="26"/>
      <c r="T36" s="204">
        <f t="shared" si="4"/>
        <v>59446.399999999994</v>
      </c>
      <c r="U36" s="204">
        <f t="shared" si="10"/>
        <v>12025.035</v>
      </c>
      <c r="V36" s="204" t="str">
        <f t="shared" si="8"/>
        <v xml:space="preserve"> </v>
      </c>
      <c r="W36" s="204" t="str">
        <f t="shared" si="1"/>
        <v xml:space="preserve"> </v>
      </c>
      <c r="X36" s="204">
        <f t="shared" si="2"/>
        <v>71471.434999999998</v>
      </c>
      <c r="Y36" s="200"/>
      <c r="Z36" s="119">
        <f t="shared" si="11"/>
        <v>9176.4749999999985</v>
      </c>
      <c r="AB36" s="126"/>
    </row>
    <row r="37" spans="1:28">
      <c r="A37" s="1">
        <f t="shared" si="6"/>
        <v>26</v>
      </c>
      <c r="C37" s="1">
        <f t="shared" si="7"/>
        <v>26</v>
      </c>
      <c r="D37" s="1">
        <v>1026</v>
      </c>
      <c r="E37" s="132">
        <v>166</v>
      </c>
      <c r="H37" s="23">
        <v>2080</v>
      </c>
      <c r="I37" s="87">
        <v>263</v>
      </c>
      <c r="J37" s="87"/>
      <c r="K37" s="87"/>
      <c r="L37" s="202">
        <v>57881.1</v>
      </c>
      <c r="M37" s="202">
        <v>10819.75</v>
      </c>
      <c r="N37" s="202">
        <v>0</v>
      </c>
      <c r="O37" s="202">
        <v>0</v>
      </c>
      <c r="P37" s="202">
        <f t="shared" si="9"/>
        <v>68700.850000000006</v>
      </c>
      <c r="Q37" s="26"/>
      <c r="R37" s="203">
        <v>36.700000000000003</v>
      </c>
      <c r="S37" s="26"/>
      <c r="T37" s="204">
        <f t="shared" si="4"/>
        <v>76336</v>
      </c>
      <c r="U37" s="204">
        <f t="shared" si="10"/>
        <v>14478.150000000001</v>
      </c>
      <c r="V37" s="204" t="str">
        <f t="shared" si="8"/>
        <v xml:space="preserve"> </v>
      </c>
      <c r="W37" s="204" t="str">
        <f t="shared" si="1"/>
        <v xml:space="preserve"> </v>
      </c>
      <c r="X37" s="204">
        <f t="shared" si="2"/>
        <v>90814.15</v>
      </c>
      <c r="Y37" s="200"/>
      <c r="Z37" s="119">
        <f t="shared" si="11"/>
        <v>22113.299999999988</v>
      </c>
      <c r="AB37" s="126"/>
    </row>
    <row r="38" spans="1:28">
      <c r="A38" s="1">
        <f t="shared" si="6"/>
        <v>27</v>
      </c>
      <c r="C38" s="1">
        <f t="shared" si="7"/>
        <v>27</v>
      </c>
      <c r="D38" s="1">
        <v>1027</v>
      </c>
      <c r="E38" s="132">
        <v>166</v>
      </c>
      <c r="F38" s="1" t="s">
        <v>137</v>
      </c>
      <c r="H38" s="23">
        <v>910</v>
      </c>
      <c r="I38" s="87">
        <v>20.5</v>
      </c>
      <c r="J38" s="87"/>
      <c r="K38" s="87"/>
      <c r="L38" s="202">
        <v>17315</v>
      </c>
      <c r="M38" s="202">
        <v>584.25</v>
      </c>
      <c r="N38" s="202">
        <v>0</v>
      </c>
      <c r="O38" s="202"/>
      <c r="P38" s="202">
        <f t="shared" si="9"/>
        <v>17899.25</v>
      </c>
      <c r="Q38" s="26"/>
      <c r="R38" s="203">
        <v>0</v>
      </c>
      <c r="S38" s="26"/>
      <c r="T38" s="204">
        <f t="shared" si="4"/>
        <v>0</v>
      </c>
      <c r="U38" s="204">
        <f t="shared" si="10"/>
        <v>0</v>
      </c>
      <c r="V38" s="204" t="str">
        <f t="shared" si="8"/>
        <v xml:space="preserve"> </v>
      </c>
      <c r="W38" s="204" t="str">
        <f t="shared" si="1"/>
        <v xml:space="preserve"> </v>
      </c>
      <c r="X38" s="204">
        <f t="shared" si="2"/>
        <v>0</v>
      </c>
      <c r="Y38" s="200"/>
      <c r="Z38" s="119">
        <f t="shared" si="11"/>
        <v>-17899.25</v>
      </c>
      <c r="AB38" s="126"/>
    </row>
    <row r="39" spans="1:28">
      <c r="A39" s="1">
        <f t="shared" si="6"/>
        <v>28</v>
      </c>
      <c r="C39" s="1">
        <f t="shared" si="7"/>
        <v>28</v>
      </c>
      <c r="D39" s="1">
        <v>1028</v>
      </c>
      <c r="E39" s="132">
        <v>169</v>
      </c>
      <c r="H39" s="23">
        <v>2080</v>
      </c>
      <c r="I39" s="87">
        <v>76.5</v>
      </c>
      <c r="J39" s="87"/>
      <c r="K39" s="87"/>
      <c r="L39" s="202">
        <v>81905.66</v>
      </c>
      <c r="M39" s="202">
        <v>4522.3100000000004</v>
      </c>
      <c r="N39" s="202">
        <v>0</v>
      </c>
      <c r="O39" s="202">
        <v>0</v>
      </c>
      <c r="P39" s="202">
        <f t="shared" si="9"/>
        <v>86427.97</v>
      </c>
      <c r="Q39" s="26"/>
      <c r="R39" s="203">
        <v>41.38</v>
      </c>
      <c r="S39" s="26"/>
      <c r="T39" s="204">
        <f t="shared" si="4"/>
        <v>86070.400000000009</v>
      </c>
      <c r="U39" s="204">
        <f t="shared" si="10"/>
        <v>4748.3550000000005</v>
      </c>
      <c r="V39" s="204" t="str">
        <f t="shared" si="8"/>
        <v xml:space="preserve"> </v>
      </c>
      <c r="W39" s="204" t="str">
        <f t="shared" si="1"/>
        <v xml:space="preserve"> </v>
      </c>
      <c r="X39" s="204">
        <f t="shared" si="2"/>
        <v>90818.755000000005</v>
      </c>
      <c r="Y39" s="200"/>
      <c r="Z39" s="119">
        <f t="shared" si="11"/>
        <v>4390.7850000000035</v>
      </c>
      <c r="AB39" s="126"/>
    </row>
    <row r="40" spans="1:28">
      <c r="A40" s="1">
        <f t="shared" si="6"/>
        <v>29</v>
      </c>
      <c r="C40" s="1">
        <f t="shared" si="7"/>
        <v>29</v>
      </c>
      <c r="D40" s="1">
        <v>1029</v>
      </c>
      <c r="E40" s="132">
        <v>174</v>
      </c>
      <c r="H40" s="23">
        <v>2080</v>
      </c>
      <c r="I40" s="87">
        <v>0</v>
      </c>
      <c r="J40" s="87"/>
      <c r="K40" s="87"/>
      <c r="L40" s="202">
        <v>58976.41</v>
      </c>
      <c r="M40" s="202">
        <v>0</v>
      </c>
      <c r="N40" s="202">
        <v>0</v>
      </c>
      <c r="O40" s="202">
        <v>0</v>
      </c>
      <c r="P40" s="202">
        <f t="shared" si="9"/>
        <v>58976.41</v>
      </c>
      <c r="Q40" s="26"/>
      <c r="R40" s="203">
        <v>29.23</v>
      </c>
      <c r="S40" s="26"/>
      <c r="T40" s="204">
        <f t="shared" si="4"/>
        <v>60798.400000000001</v>
      </c>
      <c r="U40" s="204">
        <f t="shared" si="10"/>
        <v>0</v>
      </c>
      <c r="V40" s="204" t="str">
        <f t="shared" si="8"/>
        <v xml:space="preserve"> </v>
      </c>
      <c r="W40" s="204" t="str">
        <f t="shared" si="1"/>
        <v xml:space="preserve"> </v>
      </c>
      <c r="X40" s="204">
        <f t="shared" si="2"/>
        <v>60798.400000000001</v>
      </c>
      <c r="Y40" s="200"/>
      <c r="Z40" s="119">
        <f t="shared" si="11"/>
        <v>1821.989999999998</v>
      </c>
      <c r="AB40" s="126"/>
    </row>
    <row r="41" spans="1:28">
      <c r="A41" s="1">
        <f t="shared" si="6"/>
        <v>30</v>
      </c>
      <c r="C41" s="1">
        <f t="shared" si="7"/>
        <v>30</v>
      </c>
      <c r="D41" s="1">
        <v>1030</v>
      </c>
      <c r="E41" s="132"/>
      <c r="H41" s="23">
        <v>2098</v>
      </c>
      <c r="I41" s="87">
        <v>46</v>
      </c>
      <c r="J41" s="87"/>
      <c r="K41" s="87"/>
      <c r="L41" s="202">
        <v>55022.559999999998</v>
      </c>
      <c r="M41" s="202">
        <v>1811.36</v>
      </c>
      <c r="N41" s="202">
        <v>0</v>
      </c>
      <c r="O41" s="202">
        <v>0</v>
      </c>
      <c r="P41" s="202">
        <f t="shared" si="9"/>
        <v>56833.919999999998</v>
      </c>
      <c r="Q41" s="26"/>
      <c r="R41" s="203">
        <v>27.56</v>
      </c>
      <c r="S41" s="26"/>
      <c r="T41" s="204">
        <f t="shared" si="4"/>
        <v>57324.799999999996</v>
      </c>
      <c r="U41" s="204">
        <f t="shared" si="10"/>
        <v>1901.6399999999999</v>
      </c>
      <c r="V41" s="204" t="str">
        <f t="shared" si="8"/>
        <v xml:space="preserve"> </v>
      </c>
      <c r="W41" s="204" t="str">
        <f t="shared" si="1"/>
        <v xml:space="preserve"> </v>
      </c>
      <c r="X41" s="204">
        <f t="shared" si="2"/>
        <v>59226.439999999995</v>
      </c>
      <c r="Y41" s="200"/>
      <c r="Z41" s="119">
        <f t="shared" si="11"/>
        <v>2392.5199999999968</v>
      </c>
      <c r="AB41" s="126"/>
    </row>
    <row r="42" spans="1:28">
      <c r="A42" s="1">
        <f t="shared" si="6"/>
        <v>31</v>
      </c>
      <c r="C42" s="1">
        <f t="shared" si="7"/>
        <v>31</v>
      </c>
      <c r="D42" s="1">
        <v>1031</v>
      </c>
      <c r="E42" s="132"/>
      <c r="F42" s="94"/>
      <c r="H42" s="23">
        <v>2256</v>
      </c>
      <c r="I42" s="87">
        <v>61</v>
      </c>
      <c r="J42" s="87"/>
      <c r="K42" s="87"/>
      <c r="L42" s="202">
        <v>113540.44</v>
      </c>
      <c r="M42" s="202">
        <v>4605.01</v>
      </c>
      <c r="N42" s="202">
        <v>0</v>
      </c>
      <c r="O42" s="202">
        <v>0</v>
      </c>
      <c r="P42" s="202">
        <f t="shared" si="9"/>
        <v>118145.45</v>
      </c>
      <c r="Q42" s="26"/>
      <c r="R42" s="203">
        <v>52.85</v>
      </c>
      <c r="S42" s="26"/>
      <c r="T42" s="204">
        <f t="shared" si="4"/>
        <v>109928</v>
      </c>
      <c r="U42" s="204">
        <f t="shared" si="10"/>
        <v>4835.7749999999996</v>
      </c>
      <c r="V42" s="204" t="str">
        <f t="shared" si="8"/>
        <v xml:space="preserve"> </v>
      </c>
      <c r="W42" s="204" t="str">
        <f t="shared" si="1"/>
        <v xml:space="preserve"> </v>
      </c>
      <c r="X42" s="204">
        <f t="shared" si="2"/>
        <v>114763.77499999999</v>
      </c>
      <c r="Y42" s="205"/>
      <c r="Z42" s="206">
        <f t="shared" si="11"/>
        <v>-3381.6750000000029</v>
      </c>
      <c r="AB42" s="126"/>
    </row>
    <row r="43" spans="1:28">
      <c r="A43" s="1">
        <f t="shared" si="6"/>
        <v>32</v>
      </c>
      <c r="C43" s="1">
        <f t="shared" si="7"/>
        <v>32</v>
      </c>
      <c r="D43" s="1">
        <v>1032</v>
      </c>
      <c r="E43" s="132"/>
      <c r="H43" s="23">
        <v>2216</v>
      </c>
      <c r="I43" s="87">
        <v>36.5</v>
      </c>
      <c r="J43" s="87"/>
      <c r="K43" s="87"/>
      <c r="L43" s="202">
        <v>64320.1</v>
      </c>
      <c r="M43" s="202">
        <v>1614.29</v>
      </c>
      <c r="N43" s="202">
        <v>0</v>
      </c>
      <c r="O43" s="202">
        <v>0</v>
      </c>
      <c r="P43" s="202">
        <f t="shared" si="9"/>
        <v>65934.39</v>
      </c>
      <c r="Q43" s="26"/>
      <c r="R43" s="203">
        <v>31.5</v>
      </c>
      <c r="S43" s="26"/>
      <c r="T43" s="204">
        <f t="shared" si="4"/>
        <v>65520</v>
      </c>
      <c r="U43" s="204">
        <f t="shared" si="10"/>
        <v>1724.625</v>
      </c>
      <c r="V43" s="204" t="str">
        <f t="shared" si="8"/>
        <v xml:space="preserve"> </v>
      </c>
      <c r="W43" s="204" t="str">
        <f t="shared" si="1"/>
        <v xml:space="preserve"> </v>
      </c>
      <c r="X43" s="204">
        <f t="shared" si="2"/>
        <v>67244.625</v>
      </c>
      <c r="Y43" s="200"/>
      <c r="Z43" s="119">
        <f t="shared" si="11"/>
        <v>1310.2350000000006</v>
      </c>
      <c r="AB43" s="126"/>
    </row>
    <row r="44" spans="1:28">
      <c r="A44" s="1">
        <f t="shared" si="6"/>
        <v>33</v>
      </c>
      <c r="C44" s="1">
        <f t="shared" si="7"/>
        <v>33</v>
      </c>
      <c r="D44" s="1">
        <v>1033</v>
      </c>
      <c r="E44" s="132"/>
      <c r="F44" s="1" t="s">
        <v>137</v>
      </c>
      <c r="H44" s="23">
        <v>1181</v>
      </c>
      <c r="I44" s="87">
        <v>11</v>
      </c>
      <c r="J44" s="87"/>
      <c r="K44" s="87"/>
      <c r="L44" s="202">
        <v>32909</v>
      </c>
      <c r="M44" s="202">
        <v>460.51</v>
      </c>
      <c r="N44" s="202">
        <v>0</v>
      </c>
      <c r="O44" s="202">
        <v>2250</v>
      </c>
      <c r="P44" s="202">
        <f t="shared" si="9"/>
        <v>35619.51</v>
      </c>
      <c r="Q44" s="26"/>
      <c r="R44" s="203">
        <v>0</v>
      </c>
      <c r="S44" s="26"/>
      <c r="T44" s="204">
        <f t="shared" si="4"/>
        <v>0</v>
      </c>
      <c r="U44" s="204">
        <f t="shared" si="10"/>
        <v>0</v>
      </c>
      <c r="V44" s="204" t="str">
        <f t="shared" si="8"/>
        <v xml:space="preserve"> </v>
      </c>
      <c r="W44" s="204"/>
      <c r="X44" s="204">
        <f t="shared" si="2"/>
        <v>0</v>
      </c>
      <c r="Y44" s="200"/>
      <c r="Z44" s="119">
        <f t="shared" si="11"/>
        <v>-35619.51</v>
      </c>
      <c r="AB44" s="126"/>
    </row>
    <row r="45" spans="1:28">
      <c r="A45" s="1">
        <f t="shared" si="6"/>
        <v>34</v>
      </c>
      <c r="C45" s="1">
        <f t="shared" si="7"/>
        <v>34</v>
      </c>
      <c r="D45" s="1">
        <v>1034</v>
      </c>
      <c r="E45" s="132"/>
      <c r="H45" s="23">
        <v>2392</v>
      </c>
      <c r="I45" s="87">
        <v>100.5</v>
      </c>
      <c r="J45" s="87"/>
      <c r="K45" s="87"/>
      <c r="L45" s="202">
        <v>69245</v>
      </c>
      <c r="M45" s="202">
        <v>4372.63</v>
      </c>
      <c r="N45" s="202">
        <v>0</v>
      </c>
      <c r="O45" s="202">
        <v>8340</v>
      </c>
      <c r="P45" s="202">
        <f t="shared" si="9"/>
        <v>81957.63</v>
      </c>
      <c r="Q45" s="26"/>
      <c r="R45" s="203">
        <v>32</v>
      </c>
      <c r="S45" s="26"/>
      <c r="T45" s="204">
        <f t="shared" si="4"/>
        <v>66560</v>
      </c>
      <c r="U45" s="204">
        <f t="shared" si="10"/>
        <v>4824</v>
      </c>
      <c r="V45" s="204" t="str">
        <f t="shared" si="8"/>
        <v xml:space="preserve"> </v>
      </c>
      <c r="W45" s="204">
        <f t="shared" si="1"/>
        <v>8340</v>
      </c>
      <c r="X45" s="204">
        <f t="shared" si="2"/>
        <v>79724</v>
      </c>
      <c r="Y45" s="200"/>
      <c r="Z45" s="119">
        <f t="shared" si="11"/>
        <v>-2233.6300000000047</v>
      </c>
      <c r="AB45" s="126"/>
    </row>
    <row r="46" spans="1:28">
      <c r="A46" s="1">
        <f t="shared" si="6"/>
        <v>35</v>
      </c>
      <c r="C46" s="1">
        <f t="shared" si="7"/>
        <v>35</v>
      </c>
      <c r="D46" s="1">
        <v>1035</v>
      </c>
      <c r="E46" s="132"/>
      <c r="H46" s="23">
        <v>2240</v>
      </c>
      <c r="I46" s="87">
        <v>0</v>
      </c>
      <c r="J46" s="87"/>
      <c r="K46" s="87"/>
      <c r="L46" s="202">
        <v>213307.48</v>
      </c>
      <c r="M46" s="202">
        <v>0</v>
      </c>
      <c r="N46" s="202">
        <v>0</v>
      </c>
      <c r="O46" s="202">
        <v>0</v>
      </c>
      <c r="P46" s="202">
        <f t="shared" si="9"/>
        <v>213307.48</v>
      </c>
      <c r="Q46" s="26"/>
      <c r="R46" s="203">
        <v>72.790000000000006</v>
      </c>
      <c r="S46" s="26"/>
      <c r="T46" s="204">
        <f t="shared" si="4"/>
        <v>151403.20000000001</v>
      </c>
      <c r="U46" s="204">
        <f t="shared" si="10"/>
        <v>0</v>
      </c>
      <c r="V46" s="204" t="str">
        <f t="shared" si="8"/>
        <v xml:space="preserve"> </v>
      </c>
      <c r="W46" s="204" t="str">
        <f t="shared" si="1"/>
        <v xml:space="preserve"> </v>
      </c>
      <c r="X46" s="204">
        <f t="shared" si="2"/>
        <v>151403.20000000001</v>
      </c>
      <c r="Y46" s="200"/>
      <c r="Z46" s="119">
        <f t="shared" si="11"/>
        <v>-61904.28</v>
      </c>
      <c r="AB46" s="126"/>
    </row>
    <row r="47" spans="1:28">
      <c r="A47" s="1">
        <f t="shared" si="6"/>
        <v>36</v>
      </c>
      <c r="C47" s="1">
        <f t="shared" si="7"/>
        <v>36</v>
      </c>
      <c r="D47" s="1">
        <v>1036</v>
      </c>
      <c r="E47" s="132"/>
      <c r="H47" s="23">
        <v>2176</v>
      </c>
      <c r="I47" s="87">
        <v>36</v>
      </c>
      <c r="J47" s="87"/>
      <c r="K47" s="87"/>
      <c r="L47" s="202">
        <v>53572</v>
      </c>
      <c r="M47" s="202">
        <v>1331.1</v>
      </c>
      <c r="N47" s="202">
        <v>0</v>
      </c>
      <c r="O47" s="202">
        <v>4250</v>
      </c>
      <c r="P47" s="202">
        <f t="shared" si="9"/>
        <v>59153.1</v>
      </c>
      <c r="Q47" s="26"/>
      <c r="R47" s="203">
        <v>25.88</v>
      </c>
      <c r="S47" s="26"/>
      <c r="T47" s="204">
        <f t="shared" si="4"/>
        <v>53830.400000000001</v>
      </c>
      <c r="U47" s="204">
        <f t="shared" si="10"/>
        <v>1397.52</v>
      </c>
      <c r="V47" s="204" t="str">
        <f t="shared" si="8"/>
        <v xml:space="preserve"> </v>
      </c>
      <c r="W47" s="204">
        <f t="shared" si="1"/>
        <v>4250</v>
      </c>
      <c r="X47" s="204">
        <f t="shared" si="2"/>
        <v>59477.919999999998</v>
      </c>
      <c r="Y47" s="200"/>
      <c r="Z47" s="119">
        <f t="shared" si="11"/>
        <v>324.81999999999971</v>
      </c>
      <c r="AB47" s="126"/>
    </row>
    <row r="48" spans="1:28">
      <c r="A48" s="1">
        <f t="shared" si="6"/>
        <v>37</v>
      </c>
      <c r="C48" s="1">
        <f t="shared" si="7"/>
        <v>37</v>
      </c>
      <c r="D48" s="1">
        <v>1037</v>
      </c>
      <c r="E48" s="132"/>
      <c r="H48" s="23">
        <v>2080</v>
      </c>
      <c r="I48" s="87">
        <v>0</v>
      </c>
      <c r="J48" s="87"/>
      <c r="K48" s="87"/>
      <c r="L48" s="202">
        <v>87195.94</v>
      </c>
      <c r="M48" s="202">
        <v>0</v>
      </c>
      <c r="N48" s="202">
        <v>0</v>
      </c>
      <c r="O48" s="202">
        <v>0</v>
      </c>
      <c r="P48" s="202">
        <f t="shared" si="9"/>
        <v>87195.94</v>
      </c>
      <c r="Q48" s="26"/>
      <c r="R48" s="203">
        <v>44.02</v>
      </c>
      <c r="S48" s="26"/>
      <c r="T48" s="204">
        <f t="shared" si="4"/>
        <v>91561.600000000006</v>
      </c>
      <c r="U48" s="204">
        <f t="shared" si="10"/>
        <v>0</v>
      </c>
      <c r="V48" s="204" t="str">
        <f t="shared" si="8"/>
        <v xml:space="preserve"> </v>
      </c>
      <c r="W48" s="204" t="str">
        <f t="shared" si="1"/>
        <v xml:space="preserve"> </v>
      </c>
      <c r="X48" s="204">
        <f t="shared" si="2"/>
        <v>91561.600000000006</v>
      </c>
      <c r="Y48" s="200"/>
      <c r="Z48" s="119">
        <f>X48-P48</f>
        <v>4365.6600000000035</v>
      </c>
      <c r="AB48" s="126"/>
    </row>
    <row r="49" spans="1:28">
      <c r="A49" s="1">
        <f t="shared" si="6"/>
        <v>38</v>
      </c>
      <c r="C49" s="1">
        <f t="shared" si="7"/>
        <v>38</v>
      </c>
      <c r="D49" s="1">
        <v>1038</v>
      </c>
      <c r="E49" s="132"/>
      <c r="H49" s="23">
        <v>2085.5</v>
      </c>
      <c r="I49" s="87">
        <v>23</v>
      </c>
      <c r="J49" s="87"/>
      <c r="K49" s="87"/>
      <c r="L49" s="202">
        <v>37152.18</v>
      </c>
      <c r="M49" s="202">
        <v>615.83000000000004</v>
      </c>
      <c r="N49" s="202">
        <v>0</v>
      </c>
      <c r="O49" s="202">
        <v>0</v>
      </c>
      <c r="P49" s="202">
        <f t="shared" si="9"/>
        <v>37768.01</v>
      </c>
      <c r="Q49" s="26"/>
      <c r="R49" s="203">
        <v>18.739999999999998</v>
      </c>
      <c r="S49" s="26"/>
      <c r="T49" s="204">
        <f t="shared" si="4"/>
        <v>38979.199999999997</v>
      </c>
      <c r="U49" s="204">
        <f t="shared" si="10"/>
        <v>646.53</v>
      </c>
      <c r="V49" s="204" t="str">
        <f t="shared" si="8"/>
        <v xml:space="preserve"> </v>
      </c>
      <c r="W49" s="204" t="str">
        <f t="shared" si="1"/>
        <v xml:space="preserve"> </v>
      </c>
      <c r="X49" s="204">
        <f t="shared" si="2"/>
        <v>39625.729999999996</v>
      </c>
      <c r="Y49" s="200"/>
      <c r="Z49" s="119">
        <f>X49-P49</f>
        <v>1857.7199999999939</v>
      </c>
      <c r="AB49" s="126"/>
    </row>
    <row r="50" spans="1:28">
      <c r="A50" s="1">
        <f t="shared" si="6"/>
        <v>39</v>
      </c>
      <c r="C50" s="1">
        <f t="shared" si="7"/>
        <v>39</v>
      </c>
      <c r="D50" s="1">
        <v>1039</v>
      </c>
      <c r="E50" s="132"/>
      <c r="H50" s="23">
        <v>2084.5</v>
      </c>
      <c r="I50" s="87">
        <v>46</v>
      </c>
      <c r="J50" s="87"/>
      <c r="K50" s="87"/>
      <c r="L50" s="202">
        <v>41280</v>
      </c>
      <c r="M50" s="202">
        <v>1371.08</v>
      </c>
      <c r="N50" s="202">
        <v>0</v>
      </c>
      <c r="O50" s="202"/>
      <c r="P50" s="202">
        <f t="shared" si="9"/>
        <v>42651.08</v>
      </c>
      <c r="Q50" s="26"/>
      <c r="R50" s="203">
        <v>23</v>
      </c>
      <c r="S50" s="26"/>
      <c r="T50" s="204">
        <f t="shared" si="4"/>
        <v>47840</v>
      </c>
      <c r="U50" s="204">
        <f t="shared" si="10"/>
        <v>1587</v>
      </c>
      <c r="V50" s="204" t="str">
        <f t="shared" si="8"/>
        <v xml:space="preserve"> </v>
      </c>
      <c r="W50" s="204" t="str">
        <f t="shared" si="1"/>
        <v xml:space="preserve"> </v>
      </c>
      <c r="X50" s="204">
        <f t="shared" si="2"/>
        <v>49427</v>
      </c>
      <c r="Y50" s="200"/>
      <c r="Z50" s="119">
        <f>X50-P50</f>
        <v>6775.9199999999983</v>
      </c>
      <c r="AB50" s="126"/>
    </row>
    <row r="51" spans="1:28">
      <c r="A51" s="1">
        <f t="shared" si="6"/>
        <v>40</v>
      </c>
      <c r="C51" s="1">
        <f t="shared" si="7"/>
        <v>40</v>
      </c>
      <c r="D51" s="1">
        <v>1040</v>
      </c>
      <c r="E51" s="132"/>
      <c r="H51" s="23">
        <v>2072</v>
      </c>
      <c r="I51" s="87">
        <v>0</v>
      </c>
      <c r="J51" s="87"/>
      <c r="K51" s="87"/>
      <c r="L51" s="202">
        <v>83384.91</v>
      </c>
      <c r="M51" s="202">
        <v>0</v>
      </c>
      <c r="N51" s="202">
        <v>0</v>
      </c>
      <c r="O51" s="202"/>
      <c r="P51" s="202">
        <f t="shared" si="9"/>
        <v>83384.91</v>
      </c>
      <c r="Q51" s="26"/>
      <c r="R51" s="203">
        <v>42.74</v>
      </c>
      <c r="S51" s="26"/>
      <c r="T51" s="204">
        <f t="shared" si="4"/>
        <v>88899.199999999997</v>
      </c>
      <c r="U51" s="204">
        <f t="shared" si="10"/>
        <v>0</v>
      </c>
      <c r="V51" s="204" t="str">
        <f t="shared" si="8"/>
        <v xml:space="preserve"> </v>
      </c>
      <c r="W51" s="204" t="str">
        <f t="shared" si="1"/>
        <v xml:space="preserve"> </v>
      </c>
      <c r="X51" s="204">
        <f t="shared" si="2"/>
        <v>88899.199999999997</v>
      </c>
      <c r="Y51" s="200"/>
      <c r="Z51" s="119">
        <f>X51-P51</f>
        <v>5514.2899999999936</v>
      </c>
      <c r="AB51" s="126"/>
    </row>
    <row r="52" spans="1:28">
      <c r="A52" s="1">
        <f t="shared" si="6"/>
        <v>41</v>
      </c>
      <c r="C52" s="1">
        <f t="shared" si="7"/>
        <v>41</v>
      </c>
      <c r="D52" s="1">
        <v>1041</v>
      </c>
      <c r="E52" s="132"/>
      <c r="H52" s="23">
        <v>2080</v>
      </c>
      <c r="I52" s="87">
        <v>37</v>
      </c>
      <c r="J52" s="87"/>
      <c r="K52" s="87"/>
      <c r="L52" s="202">
        <v>35782</v>
      </c>
      <c r="M52" s="202">
        <v>943.05</v>
      </c>
      <c r="N52" s="202">
        <v>0</v>
      </c>
      <c r="O52" s="202">
        <v>0</v>
      </c>
      <c r="P52" s="202">
        <f t="shared" si="9"/>
        <v>36725.050000000003</v>
      </c>
      <c r="Q52" s="26"/>
      <c r="R52" s="203">
        <v>18.690000000000001</v>
      </c>
      <c r="S52" s="26"/>
      <c r="T52" s="204">
        <f t="shared" si="4"/>
        <v>38875.200000000004</v>
      </c>
      <c r="U52" s="204">
        <f t="shared" si="10"/>
        <v>1037.2950000000001</v>
      </c>
      <c r="V52" s="204" t="str">
        <f t="shared" si="8"/>
        <v xml:space="preserve"> </v>
      </c>
      <c r="W52" s="204" t="str">
        <f t="shared" si="1"/>
        <v xml:space="preserve"> </v>
      </c>
      <c r="X52" s="204">
        <f t="shared" si="2"/>
        <v>39912.495000000003</v>
      </c>
      <c r="Y52" s="200"/>
      <c r="Z52" s="119">
        <f t="shared" ref="Z52:Z54" si="12">X52-P52</f>
        <v>3187.4449999999997</v>
      </c>
      <c r="AB52" s="126"/>
    </row>
    <row r="53" spans="1:28">
      <c r="A53" s="1">
        <f t="shared" si="6"/>
        <v>42</v>
      </c>
      <c r="C53" s="1">
        <f t="shared" si="7"/>
        <v>42</v>
      </c>
      <c r="D53" s="1">
        <v>1042</v>
      </c>
      <c r="E53" s="132"/>
      <c r="H53" s="23">
        <v>2080</v>
      </c>
      <c r="I53" s="87">
        <v>27.5</v>
      </c>
      <c r="J53" s="87"/>
      <c r="K53" s="87"/>
      <c r="L53" s="202">
        <v>38680</v>
      </c>
      <c r="M53" s="202">
        <v>820.05</v>
      </c>
      <c r="N53" s="202">
        <v>0</v>
      </c>
      <c r="O53" s="202">
        <v>0</v>
      </c>
      <c r="P53" s="202">
        <f t="shared" si="9"/>
        <v>39500.050000000003</v>
      </c>
      <c r="Q53" s="26"/>
      <c r="R53" s="203">
        <v>22.05</v>
      </c>
      <c r="S53" s="26"/>
      <c r="T53" s="204">
        <f t="shared" si="4"/>
        <v>45864</v>
      </c>
      <c r="U53" s="204">
        <f t="shared" si="10"/>
        <v>909.5625</v>
      </c>
      <c r="V53" s="204" t="str">
        <f t="shared" si="8"/>
        <v xml:space="preserve"> </v>
      </c>
      <c r="W53" s="204" t="str">
        <f t="shared" si="1"/>
        <v xml:space="preserve"> </v>
      </c>
      <c r="X53" s="204">
        <f t="shared" ref="X53:X54" si="13">SUM(T53:W53)</f>
        <v>46773.5625</v>
      </c>
      <c r="Y53" s="200"/>
      <c r="Z53" s="119">
        <f t="shared" si="12"/>
        <v>7273.5124999999971</v>
      </c>
      <c r="AB53" s="126"/>
    </row>
    <row r="54" spans="1:28">
      <c r="A54" s="1">
        <f t="shared" si="6"/>
        <v>43</v>
      </c>
      <c r="C54" s="1">
        <f t="shared" si="7"/>
        <v>43</v>
      </c>
      <c r="D54" s="1">
        <v>1043</v>
      </c>
      <c r="E54" s="132"/>
      <c r="H54" s="23">
        <v>1440</v>
      </c>
      <c r="I54" s="87">
        <v>22.5</v>
      </c>
      <c r="J54" s="87"/>
      <c r="K54" s="87"/>
      <c r="L54" s="202">
        <v>23040</v>
      </c>
      <c r="M54" s="202">
        <v>540</v>
      </c>
      <c r="N54" s="202">
        <v>0</v>
      </c>
      <c r="O54" s="202">
        <v>0</v>
      </c>
      <c r="P54" s="202">
        <f t="shared" si="9"/>
        <v>23580</v>
      </c>
      <c r="Q54" s="26"/>
      <c r="R54" s="203">
        <v>16</v>
      </c>
      <c r="S54" s="26"/>
      <c r="T54" s="204">
        <f t="shared" si="4"/>
        <v>33280</v>
      </c>
      <c r="U54" s="204">
        <f t="shared" si="10"/>
        <v>540</v>
      </c>
      <c r="V54" s="204" t="str">
        <f t="shared" si="8"/>
        <v xml:space="preserve"> </v>
      </c>
      <c r="W54" s="204" t="str">
        <f t="shared" si="1"/>
        <v xml:space="preserve"> </v>
      </c>
      <c r="X54" s="204">
        <f t="shared" si="13"/>
        <v>33820</v>
      </c>
      <c r="Y54" s="200"/>
      <c r="Z54" s="119">
        <f t="shared" si="12"/>
        <v>10240</v>
      </c>
      <c r="AB54" s="126"/>
    </row>
    <row r="55" spans="1:28">
      <c r="A55" s="1">
        <f t="shared" si="6"/>
        <v>44</v>
      </c>
      <c r="C55" s="1">
        <f t="shared" si="7"/>
        <v>44</v>
      </c>
      <c r="D55" s="4" t="s">
        <v>14</v>
      </c>
      <c r="E55" s="32" t="s">
        <v>22</v>
      </c>
      <c r="F55" s="4"/>
      <c r="H55" s="115">
        <f>SUM(H12:H54)</f>
        <v>86501</v>
      </c>
      <c r="I55" s="115">
        <f>SUM(I12:I54)</f>
        <v>6383.5</v>
      </c>
      <c r="J55" s="115">
        <f>SUM(J17:J40,J41:J54)</f>
        <v>0</v>
      </c>
      <c r="K55" s="207"/>
      <c r="L55" s="115">
        <f>SUM(L12:L54)</f>
        <v>2856389.1600000006</v>
      </c>
      <c r="M55" s="115">
        <f>SUM(M12:M54)</f>
        <v>308427.8899999999</v>
      </c>
      <c r="N55" s="115">
        <f>SUM(N17:N40,N41:N54)</f>
        <v>0</v>
      </c>
      <c r="O55" s="115">
        <f>SUM(O12:O54)</f>
        <v>27840</v>
      </c>
      <c r="P55" s="115">
        <f>SUM(P12:P54)</f>
        <v>3192657.05</v>
      </c>
      <c r="Q55" s="208"/>
      <c r="R55" s="115"/>
      <c r="S55" s="208"/>
      <c r="T55" s="115">
        <f>SUM(T12:T54)</f>
        <v>2934235.2</v>
      </c>
      <c r="U55" s="115">
        <f>SUM(U12:U54)</f>
        <v>313221.80250000005</v>
      </c>
      <c r="V55" s="115">
        <f>SUM(V17:V40,V41:V54)</f>
        <v>0</v>
      </c>
      <c r="W55" s="115">
        <f>SUM(W12:W54)</f>
        <v>25590</v>
      </c>
      <c r="X55" s="115">
        <f>SUM(X12:X54)</f>
        <v>3273047.0025000004</v>
      </c>
      <c r="Y55" s="209"/>
      <c r="Z55" s="115">
        <f>SUM(Z12:Z54)</f>
        <v>80389.952499999927</v>
      </c>
      <c r="AB55" s="126"/>
    </row>
    <row r="56" spans="1:28" s="210" customFormat="1">
      <c r="A56" s="1">
        <f t="shared" si="6"/>
        <v>45</v>
      </c>
      <c r="C56" s="211"/>
      <c r="D56" s="211"/>
      <c r="F56" s="211"/>
      <c r="G56" s="211"/>
      <c r="K56" s="212"/>
      <c r="Q56" s="213"/>
      <c r="S56" s="199"/>
      <c r="Y56" s="214"/>
      <c r="AB56" s="126"/>
    </row>
    <row r="57" spans="1:28" s="210" customFormat="1" ht="13.5" customHeight="1" thickBot="1">
      <c r="A57" s="1">
        <f t="shared" si="6"/>
        <v>46</v>
      </c>
      <c r="C57" s="215" t="s">
        <v>349</v>
      </c>
      <c r="D57" s="215"/>
      <c r="E57" s="215" t="s">
        <v>15</v>
      </c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7">
        <f>Z55</f>
        <v>80389.952499999927</v>
      </c>
      <c r="AB57" s="126"/>
    </row>
    <row r="58" spans="1:28" ht="13.8" thickTop="1"/>
    <row r="59" spans="1:28">
      <c r="D59" s="185" t="s">
        <v>350</v>
      </c>
      <c r="E59" s="218" t="s">
        <v>350</v>
      </c>
      <c r="H59" s="138" t="s">
        <v>137</v>
      </c>
      <c r="I59" s="219" t="s">
        <v>351</v>
      </c>
      <c r="O59" s="138" t="s">
        <v>138</v>
      </c>
      <c r="P59" s="219" t="s">
        <v>407</v>
      </c>
      <c r="W59" s="138"/>
    </row>
    <row r="60" spans="1:28">
      <c r="A60" s="211"/>
    </row>
    <row r="61" spans="1:28" ht="30" customHeight="1">
      <c r="A61" s="211"/>
      <c r="B61" s="29"/>
      <c r="C61" s="284" t="s">
        <v>352</v>
      </c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9"/>
      <c r="Z61" s="29"/>
    </row>
    <row r="62" spans="1:28">
      <c r="A62" s="211"/>
    </row>
    <row r="63" spans="1:28" ht="13.2" customHeight="1">
      <c r="A63" s="211"/>
      <c r="D63" s="220" t="s">
        <v>353</v>
      </c>
      <c r="E63" s="30" t="s">
        <v>353</v>
      </c>
      <c r="L63" s="35" t="s">
        <v>140</v>
      </c>
      <c r="M63" s="35" t="s">
        <v>139</v>
      </c>
      <c r="N63" s="35"/>
      <c r="O63" s="35"/>
      <c r="P63" s="35" t="s">
        <v>15</v>
      </c>
    </row>
    <row r="64" spans="1:28">
      <c r="A64" s="211">
        <f>A57+1</f>
        <v>47</v>
      </c>
      <c r="C64" s="2"/>
      <c r="D64" s="1" t="s">
        <v>130</v>
      </c>
      <c r="E64" s="1" t="s">
        <v>130</v>
      </c>
      <c r="F64" s="2" t="s">
        <v>131</v>
      </c>
      <c r="H64" s="1"/>
      <c r="L64" s="221">
        <f>'1.07 Depr'!E46</f>
        <v>1150688.9300000002</v>
      </c>
      <c r="M64" s="176">
        <f>L64/K$74</f>
        <v>0.20749800936500704</v>
      </c>
      <c r="P64" s="126">
        <f>$Z$57*M64</f>
        <v>16680.755116697455</v>
      </c>
    </row>
    <row r="65" spans="1:16">
      <c r="A65" s="211">
        <f>A64+1</f>
        <v>48</v>
      </c>
      <c r="C65" s="2"/>
      <c r="D65" s="1" t="s">
        <v>132</v>
      </c>
      <c r="E65" s="1" t="s">
        <v>132</v>
      </c>
      <c r="F65" s="2" t="s">
        <v>133</v>
      </c>
      <c r="H65" s="1"/>
      <c r="L65" s="221">
        <f>'1.07 Depr'!E47</f>
        <v>1053990.08</v>
      </c>
      <c r="M65" s="176">
        <f>L65/K$74</f>
        <v>0.19006078688048603</v>
      </c>
      <c r="P65" s="126">
        <f>$Z$57*M65</f>
        <v>15278.977629434881</v>
      </c>
    </row>
    <row r="66" spans="1:16">
      <c r="A66" s="211">
        <f t="shared" ref="A66:A68" si="14">A65+1</f>
        <v>49</v>
      </c>
      <c r="C66" s="2"/>
      <c r="D66" s="1" t="s">
        <v>134</v>
      </c>
      <c r="E66" s="1" t="s">
        <v>134</v>
      </c>
      <c r="F66" s="2" t="s">
        <v>111</v>
      </c>
      <c r="H66" s="1"/>
      <c r="L66" s="221">
        <f>'1.07 Depr'!E48</f>
        <v>284961.39</v>
      </c>
      <c r="M66" s="176">
        <f>L66/K$74</f>
        <v>5.1385669601327802E-2</v>
      </c>
      <c r="P66" s="126">
        <f>$Z$57*M66</f>
        <v>4130.8915384314323</v>
      </c>
    </row>
    <row r="67" spans="1:16">
      <c r="A67" s="211">
        <f t="shared" si="14"/>
        <v>50</v>
      </c>
      <c r="C67" s="2"/>
      <c r="D67" s="1" t="s">
        <v>354</v>
      </c>
      <c r="E67" s="1" t="s">
        <v>354</v>
      </c>
      <c r="F67" s="2" t="s">
        <v>83</v>
      </c>
      <c r="H67" s="1"/>
      <c r="L67" s="221">
        <f>'1.07 Depr'!E49</f>
        <v>32800.44</v>
      </c>
      <c r="M67" s="176">
        <f>L67/K$74</f>
        <v>5.9147401429301581E-3</v>
      </c>
      <c r="P67" s="126">
        <f>$Z$57*M67</f>
        <v>475.48567913999818</v>
      </c>
    </row>
    <row r="68" spans="1:16">
      <c r="A68" s="211">
        <f t="shared" si="14"/>
        <v>51</v>
      </c>
      <c r="C68" s="2"/>
      <c r="D68" s="1" t="s">
        <v>135</v>
      </c>
      <c r="E68" s="1" t="s">
        <v>135</v>
      </c>
      <c r="F68" s="2" t="s">
        <v>129</v>
      </c>
      <c r="H68" s="1"/>
      <c r="L68" s="221">
        <f>'1.07 Depr'!E50</f>
        <v>910876.70999999985</v>
      </c>
      <c r="M68" s="176">
        <f>L68/K$74</f>
        <v>0.16425386494501754</v>
      </c>
      <c r="P68" s="126">
        <f>$Z$57*M68</f>
        <v>13204.360400871363</v>
      </c>
    </row>
    <row r="69" spans="1:16" ht="15" customHeight="1">
      <c r="A69" s="211">
        <f>A68+1</f>
        <v>52</v>
      </c>
      <c r="C69" s="2"/>
      <c r="D69" s="222" t="s">
        <v>355</v>
      </c>
      <c r="E69" s="4"/>
      <c r="F69" s="135"/>
      <c r="G69" s="4"/>
      <c r="H69" s="4"/>
      <c r="I69" s="32"/>
      <c r="J69" s="32"/>
      <c r="K69" s="292">
        <f>SUM(L64:L68)</f>
        <v>3433317.5500000003</v>
      </c>
      <c r="L69" s="292"/>
      <c r="M69" s="223">
        <f>SUM(M64:M68)</f>
        <v>0.61911307093476853</v>
      </c>
      <c r="P69" s="224">
        <f>SUM(P64:P68)</f>
        <v>49770.470364575129</v>
      </c>
    </row>
    <row r="70" spans="1:16" ht="12" customHeight="1">
      <c r="A70" s="211">
        <f t="shared" ref="A70:A74" si="15">A69+1</f>
        <v>53</v>
      </c>
      <c r="C70" s="2"/>
      <c r="E70" s="1"/>
      <c r="F70" s="2"/>
      <c r="H70" s="1"/>
      <c r="K70" s="225"/>
      <c r="L70" s="225"/>
      <c r="M70" s="176"/>
    </row>
    <row r="71" spans="1:16">
      <c r="A71" s="211">
        <f t="shared" si="15"/>
        <v>54</v>
      </c>
      <c r="C71" s="2"/>
      <c r="D71" s="1" t="s">
        <v>409</v>
      </c>
      <c r="E71" s="1" t="s">
        <v>356</v>
      </c>
      <c r="F71" s="2" t="s">
        <v>410</v>
      </c>
      <c r="H71" s="1"/>
      <c r="L71" s="221">
        <f>'1.07 Depr'!E53</f>
        <v>2112224.4700000002</v>
      </c>
      <c r="M71" s="176">
        <f>L71/K$74</f>
        <v>0.38088692906523142</v>
      </c>
      <c r="P71" s="126">
        <f>$Z$57*M71</f>
        <v>30619.482135424794</v>
      </c>
    </row>
    <row r="72" spans="1:16" ht="15" customHeight="1">
      <c r="A72" s="211">
        <f t="shared" si="15"/>
        <v>55</v>
      </c>
      <c r="C72" s="2"/>
      <c r="D72" s="4"/>
      <c r="E72" s="4"/>
      <c r="F72" s="32"/>
      <c r="G72" s="4"/>
      <c r="H72" s="4"/>
      <c r="I72" s="32" t="s">
        <v>22</v>
      </c>
      <c r="J72" s="32"/>
      <c r="K72" s="292">
        <f>SUM(L71:L71)</f>
        <v>2112224.4700000002</v>
      </c>
      <c r="L72" s="292"/>
      <c r="M72" s="223">
        <f>SUM(M71:M71)</f>
        <v>0.38088692906523142</v>
      </c>
      <c r="P72" s="226">
        <f>SUM(P71:P71)</f>
        <v>30619.482135424794</v>
      </c>
    </row>
    <row r="73" spans="1:16" ht="12.6" customHeight="1">
      <c r="A73" s="211">
        <f t="shared" si="15"/>
        <v>56</v>
      </c>
      <c r="C73" s="2"/>
      <c r="E73" s="1"/>
      <c r="F73" s="2"/>
      <c r="H73" s="1"/>
      <c r="K73" s="225"/>
      <c r="L73" s="225"/>
      <c r="M73" s="25"/>
    </row>
    <row r="74" spans="1:16" ht="15" customHeight="1" thickBot="1">
      <c r="A74" s="211">
        <f t="shared" si="15"/>
        <v>57</v>
      </c>
      <c r="C74" s="2"/>
      <c r="D74" s="33"/>
      <c r="E74" s="33"/>
      <c r="F74" s="3" t="s">
        <v>45</v>
      </c>
      <c r="G74" s="33"/>
      <c r="H74" s="33"/>
      <c r="I74" s="3"/>
      <c r="J74" s="3"/>
      <c r="K74" s="293">
        <f>K69+K72</f>
        <v>5545542.0200000005</v>
      </c>
      <c r="L74" s="293"/>
      <c r="M74" s="34">
        <f>M69+M72</f>
        <v>1</v>
      </c>
      <c r="P74" s="227">
        <f>P69+P72</f>
        <v>80389.952499999927</v>
      </c>
    </row>
    <row r="75" spans="1:16" ht="13.8" thickTop="1"/>
    <row r="79" spans="1:16">
      <c r="D79" s="220"/>
      <c r="E79" s="30"/>
    </row>
    <row r="80" spans="1:16">
      <c r="J80" s="1"/>
      <c r="K80" s="1"/>
    </row>
    <row r="81" spans="4:13">
      <c r="D81" s="220"/>
      <c r="E81" s="220"/>
      <c r="F81" s="220"/>
      <c r="G81" s="220"/>
      <c r="L81" s="171"/>
      <c r="M81" s="171"/>
    </row>
    <row r="82" spans="4:13">
      <c r="E82" s="1"/>
      <c r="F82" s="2"/>
    </row>
    <row r="83" spans="4:13">
      <c r="D83" s="133"/>
      <c r="E83" s="133"/>
      <c r="F83" s="2"/>
      <c r="L83" s="228"/>
      <c r="M83" s="229"/>
    </row>
    <row r="84" spans="4:13">
      <c r="D84" s="133"/>
      <c r="E84" s="133"/>
      <c r="F84" s="2"/>
      <c r="L84" s="228"/>
      <c r="M84" s="229"/>
    </row>
    <row r="85" spans="4:13">
      <c r="D85" s="133"/>
      <c r="E85" s="133"/>
      <c r="F85" s="2"/>
      <c r="L85" s="228"/>
      <c r="M85" s="229"/>
    </row>
    <row r="86" spans="4:13">
      <c r="D86" s="133"/>
      <c r="E86" s="133"/>
      <c r="F86" s="2"/>
      <c r="L86" s="228"/>
      <c r="M86" s="229"/>
    </row>
    <row r="87" spans="4:13" ht="13.2" customHeight="1">
      <c r="D87" s="133"/>
      <c r="E87" s="133"/>
      <c r="F87" s="2"/>
      <c r="L87" s="228"/>
      <c r="M87" s="229"/>
    </row>
    <row r="88" spans="4:13" ht="13.2" customHeight="1">
      <c r="D88" s="133"/>
      <c r="E88" s="133"/>
      <c r="F88" s="2"/>
      <c r="L88" s="228"/>
      <c r="M88" s="229"/>
    </row>
    <row r="89" spans="4:13">
      <c r="F89" s="2"/>
      <c r="K89" s="294"/>
      <c r="L89" s="294"/>
      <c r="M89" s="229"/>
    </row>
  </sheetData>
  <mergeCells count="14">
    <mergeCell ref="C61:X61"/>
    <mergeCell ref="K69:L69"/>
    <mergeCell ref="K72:L72"/>
    <mergeCell ref="K74:L74"/>
    <mergeCell ref="K89:L89"/>
    <mergeCell ref="A3:Z3"/>
    <mergeCell ref="A4:Z4"/>
    <mergeCell ref="A6:Z6"/>
    <mergeCell ref="C8:F8"/>
    <mergeCell ref="H8:J8"/>
    <mergeCell ref="L8:P8"/>
    <mergeCell ref="R8:R9"/>
    <mergeCell ref="T8:X8"/>
    <mergeCell ref="Z8:Z9"/>
  </mergeCells>
  <printOptions horizontalCentered="1"/>
  <pageMargins left="0.25" right="0.25" top="0.75" bottom="0.5" header="0.5" footer="0.5"/>
  <pageSetup scale="63" orientation="portrait" r:id="rId1"/>
  <headerFooter alignWithMargins="0">
    <oddFooter>&amp;RRevised Exhibit JW-2
Page &amp;P of &amp;N</oddFooter>
  </headerFooter>
  <rowBreaks count="1" manualBreakCount="1">
    <brk id="59" max="25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08808-D7A3-4990-9BDE-7D929C0D2CBF}">
  <sheetPr>
    <pageSetUpPr fitToPage="1"/>
  </sheetPr>
  <dimension ref="A1:T83"/>
  <sheetViews>
    <sheetView view="pageBreakPreview" zoomScaleNormal="100" zoomScaleSheetLayoutView="100" workbookViewId="0">
      <selection activeCell="I61" sqref="I61"/>
    </sheetView>
  </sheetViews>
  <sheetFormatPr defaultColWidth="9.109375" defaultRowHeight="13.2"/>
  <cols>
    <col min="1" max="1" width="5.88671875" style="1" customWidth="1"/>
    <col min="2" max="2" width="2.33203125" style="2" customWidth="1"/>
    <col min="3" max="3" width="6.5546875" style="2" customWidth="1"/>
    <col min="4" max="4" width="9" style="2" customWidth="1"/>
    <col min="5" max="5" width="4.33203125" style="2" customWidth="1"/>
    <col min="6" max="6" width="12.109375" style="2" customWidth="1"/>
    <col min="7" max="7" width="11.5546875" style="2" customWidth="1"/>
    <col min="8" max="8" width="11.6640625" style="2" bestFit="1" customWidth="1"/>
    <col min="9" max="9" width="11.44140625" style="2" customWidth="1"/>
    <col min="10" max="10" width="11.44140625" style="2" bestFit="1" customWidth="1"/>
    <col min="11" max="11" width="12.88671875" style="2" customWidth="1"/>
    <col min="12" max="12" width="7.88671875" style="2" customWidth="1"/>
    <col min="13" max="13" width="11.6640625" style="2" bestFit="1" customWidth="1"/>
    <col min="14" max="14" width="9.5546875" style="2" bestFit="1" customWidth="1"/>
    <col min="15" max="15" width="12.44140625" style="2" customWidth="1"/>
    <col min="16" max="16384" width="9.109375" style="2"/>
  </cols>
  <sheetData>
    <row r="1" spans="1:20">
      <c r="O1" s="129" t="s">
        <v>393</v>
      </c>
    </row>
    <row r="2" spans="1:20" ht="20.25" customHeight="1">
      <c r="C2" s="132"/>
      <c r="F2" s="129"/>
      <c r="I2" s="138"/>
    </row>
    <row r="3" spans="1:20">
      <c r="A3" s="283" t="s">
        <v>334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1:20">
      <c r="A4" s="283" t="s">
        <v>390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</row>
    <row r="6" spans="1:20" s="130" customFormat="1" ht="15" customHeight="1">
      <c r="A6" s="282" t="s">
        <v>325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</row>
    <row r="7" spans="1:20">
      <c r="D7" s="1"/>
      <c r="E7" s="1"/>
      <c r="G7" s="138"/>
    </row>
    <row r="8" spans="1:20" s="210" customFormat="1" ht="24" customHeight="1">
      <c r="A8" s="211"/>
      <c r="C8" s="295" t="s">
        <v>297</v>
      </c>
      <c r="D8" s="296"/>
      <c r="E8" s="296"/>
      <c r="F8" s="297"/>
      <c r="G8" s="295" t="s">
        <v>357</v>
      </c>
      <c r="H8" s="297"/>
      <c r="I8" s="295" t="s">
        <v>358</v>
      </c>
      <c r="J8" s="297"/>
      <c r="K8" s="295" t="s">
        <v>359</v>
      </c>
      <c r="L8" s="297"/>
      <c r="M8" s="295" t="s">
        <v>360</v>
      </c>
      <c r="N8" s="296"/>
      <c r="O8" s="231" t="s">
        <v>45</v>
      </c>
    </row>
    <row r="9" spans="1:20">
      <c r="C9" s="232"/>
      <c r="D9" s="4"/>
      <c r="E9" s="4"/>
      <c r="F9" s="233" t="s">
        <v>361</v>
      </c>
      <c r="G9" s="234" t="s">
        <v>362</v>
      </c>
      <c r="H9" s="235" t="s">
        <v>363</v>
      </c>
      <c r="I9" s="236" t="s">
        <v>364</v>
      </c>
      <c r="J9" s="235" t="s">
        <v>363</v>
      </c>
      <c r="K9" s="235" t="s">
        <v>362</v>
      </c>
      <c r="L9" s="236" t="s">
        <v>363</v>
      </c>
      <c r="M9" s="235" t="s">
        <v>362</v>
      </c>
      <c r="N9" s="234" t="s">
        <v>363</v>
      </c>
      <c r="O9" s="237" t="s">
        <v>365</v>
      </c>
      <c r="Q9" s="210"/>
      <c r="R9" s="210"/>
      <c r="S9" s="210"/>
      <c r="T9" s="210"/>
    </row>
    <row r="10" spans="1:20">
      <c r="A10" s="1" t="s">
        <v>0</v>
      </c>
      <c r="C10" s="238" t="s">
        <v>340</v>
      </c>
      <c r="D10" s="1" t="s">
        <v>328</v>
      </c>
      <c r="E10" s="1" t="s">
        <v>342</v>
      </c>
      <c r="F10" s="239" t="s">
        <v>366</v>
      </c>
      <c r="G10" s="240">
        <v>132900</v>
      </c>
      <c r="H10" s="241">
        <v>6.2E-2</v>
      </c>
      <c r="I10" s="242" t="s">
        <v>366</v>
      </c>
      <c r="J10" s="241">
        <v>1.4500000000000001E-2</v>
      </c>
      <c r="K10" s="243">
        <v>7000</v>
      </c>
      <c r="L10" s="244">
        <v>6.0000000000000001E-3</v>
      </c>
      <c r="M10" s="243">
        <v>10500</v>
      </c>
      <c r="N10" s="245">
        <v>4.0000000000000001E-3</v>
      </c>
      <c r="O10" s="241" t="s">
        <v>367</v>
      </c>
      <c r="Q10" s="210"/>
      <c r="R10" s="210"/>
      <c r="S10" s="210"/>
      <c r="T10" s="210"/>
    </row>
    <row r="11" spans="1:20">
      <c r="A11" s="27" t="s">
        <v>21</v>
      </c>
      <c r="C11" s="246">
        <v>1</v>
      </c>
      <c r="D11" s="247">
        <f>C11+1</f>
        <v>2</v>
      </c>
      <c r="E11" s="247">
        <f>D11+1</f>
        <v>3</v>
      </c>
      <c r="F11" s="248">
        <v>4</v>
      </c>
      <c r="G11" s="247">
        <f t="shared" ref="G11:O11" si="0">F11+1</f>
        <v>5</v>
      </c>
      <c r="H11" s="249">
        <f t="shared" si="0"/>
        <v>6</v>
      </c>
      <c r="I11" s="247">
        <f t="shared" si="0"/>
        <v>7</v>
      </c>
      <c r="J11" s="249">
        <f t="shared" si="0"/>
        <v>8</v>
      </c>
      <c r="K11" s="249">
        <f t="shared" si="0"/>
        <v>9</v>
      </c>
      <c r="L11" s="247">
        <f t="shared" si="0"/>
        <v>10</v>
      </c>
      <c r="M11" s="249">
        <f t="shared" si="0"/>
        <v>11</v>
      </c>
      <c r="N11" s="249">
        <f t="shared" si="0"/>
        <v>12</v>
      </c>
      <c r="O11" s="249">
        <f t="shared" si="0"/>
        <v>13</v>
      </c>
      <c r="Q11" s="210"/>
      <c r="R11" s="210"/>
      <c r="S11" s="210"/>
      <c r="T11" s="210"/>
    </row>
    <row r="12" spans="1:20">
      <c r="C12" s="1"/>
      <c r="D12" s="1"/>
      <c r="E12" s="1"/>
    </row>
    <row r="13" spans="1:20" ht="20.100000000000001" hidden="1" customHeight="1">
      <c r="C13" s="1"/>
      <c r="D13" s="1"/>
      <c r="E13" s="1"/>
      <c r="F13" s="250"/>
      <c r="G13" s="26"/>
      <c r="H13" s="26"/>
      <c r="Q13" s="251"/>
    </row>
    <row r="14" spans="1:20" ht="20.100000000000001" hidden="1" customHeight="1">
      <c r="C14" s="1"/>
      <c r="D14" s="252"/>
      <c r="E14" s="252"/>
      <c r="F14" s="253"/>
      <c r="G14" s="26"/>
      <c r="H14" s="26"/>
      <c r="I14" s="1"/>
      <c r="J14" s="1"/>
      <c r="K14" s="1"/>
      <c r="Q14" s="251"/>
    </row>
    <row r="15" spans="1:20" s="1" customFormat="1" ht="13.8" hidden="1" thickBot="1">
      <c r="C15" s="1" t="s">
        <v>340</v>
      </c>
      <c r="D15" s="1" t="s">
        <v>368</v>
      </c>
      <c r="F15" s="254" t="s">
        <v>45</v>
      </c>
      <c r="G15" s="147"/>
      <c r="H15" s="147"/>
      <c r="I15" s="148"/>
      <c r="J15" s="252"/>
      <c r="K15" s="252"/>
      <c r="N15" s="255"/>
      <c r="O15" s="255"/>
      <c r="P15" s="256"/>
    </row>
    <row r="16" spans="1:20">
      <c r="A16" s="1">
        <v>1</v>
      </c>
      <c r="C16" s="1">
        <v>1</v>
      </c>
      <c r="D16" s="1">
        <v>1001</v>
      </c>
      <c r="E16" s="1"/>
      <c r="F16" s="165">
        <v>115003.2</v>
      </c>
      <c r="G16" s="165">
        <f>IF($F16&lt;G$10,$F16,G$10)</f>
        <v>115003.2</v>
      </c>
      <c r="H16" s="165">
        <f>G16*H$10</f>
        <v>7130.1984000000002</v>
      </c>
      <c r="I16" s="165">
        <f t="shared" ref="I16:I58" si="1">F16</f>
        <v>115003.2</v>
      </c>
      <c r="J16" s="165">
        <f>I16*J$10</f>
        <v>1667.5463999999999</v>
      </c>
      <c r="K16" s="165">
        <f t="shared" ref="K16:K58" si="2">IF($F16&lt;K$10,$F16,K$10)</f>
        <v>7000</v>
      </c>
      <c r="L16" s="165">
        <f>K16*L$10</f>
        <v>42</v>
      </c>
      <c r="M16" s="165">
        <f t="shared" ref="M16:M58" si="3">IF($F16&lt;M$10,$F16,M$10)</f>
        <v>10500</v>
      </c>
      <c r="N16" s="165">
        <f>M16*N$10</f>
        <v>42</v>
      </c>
      <c r="O16" s="165">
        <f>H16+J16+L16+N16</f>
        <v>8881.7448000000004</v>
      </c>
    </row>
    <row r="17" spans="1:15">
      <c r="A17" s="1">
        <f>A16+1</f>
        <v>2</v>
      </c>
      <c r="C17" s="1">
        <f>C16+1</f>
        <v>2</v>
      </c>
      <c r="D17" s="1">
        <v>1002</v>
      </c>
      <c r="E17" s="1"/>
      <c r="F17" s="165">
        <v>89176.975000000006</v>
      </c>
      <c r="G17" s="165">
        <f t="shared" ref="G17:G58" si="4">IF($F17&lt;G$10,$F17,G$10)</f>
        <v>89176.975000000006</v>
      </c>
      <c r="H17" s="165">
        <f t="shared" ref="H17:H58" si="5">G17*H$10</f>
        <v>5528.9724500000002</v>
      </c>
      <c r="I17" s="165">
        <f t="shared" si="1"/>
        <v>89176.975000000006</v>
      </c>
      <c r="J17" s="165">
        <f t="shared" ref="J17:J58" si="6">I17*J$10</f>
        <v>1293.0661375000002</v>
      </c>
      <c r="K17" s="165">
        <f t="shared" si="2"/>
        <v>7000</v>
      </c>
      <c r="L17" s="165">
        <f t="shared" ref="L17:L58" si="7">K17*L$10</f>
        <v>42</v>
      </c>
      <c r="M17" s="165">
        <f t="shared" si="3"/>
        <v>10500</v>
      </c>
      <c r="N17" s="165">
        <f t="shared" ref="N17:N58" si="8">M17*N$10</f>
        <v>42</v>
      </c>
      <c r="O17" s="165">
        <f t="shared" ref="O17:O58" si="9">H17+J17+L17+N17</f>
        <v>6906.0385875000002</v>
      </c>
    </row>
    <row r="18" spans="1:15">
      <c r="A18" s="1">
        <f t="shared" ref="A18:A65" si="10">A17+1</f>
        <v>3</v>
      </c>
      <c r="C18" s="1">
        <f t="shared" ref="C18:C59" si="11">C17+1</f>
        <v>3</v>
      </c>
      <c r="D18" s="1">
        <v>1003</v>
      </c>
      <c r="E18" s="1"/>
      <c r="F18" s="165">
        <v>94044.562500000015</v>
      </c>
      <c r="G18" s="165">
        <f t="shared" si="4"/>
        <v>94044.562500000015</v>
      </c>
      <c r="H18" s="165">
        <f t="shared" si="5"/>
        <v>5830.7628750000013</v>
      </c>
      <c r="I18" s="165">
        <f t="shared" si="1"/>
        <v>94044.562500000015</v>
      </c>
      <c r="J18" s="165">
        <f t="shared" si="6"/>
        <v>1363.6461562500003</v>
      </c>
      <c r="K18" s="165">
        <f t="shared" si="2"/>
        <v>7000</v>
      </c>
      <c r="L18" s="165">
        <f t="shared" si="7"/>
        <v>42</v>
      </c>
      <c r="M18" s="165">
        <f t="shared" si="3"/>
        <v>10500</v>
      </c>
      <c r="N18" s="165">
        <f t="shared" si="8"/>
        <v>42</v>
      </c>
      <c r="O18" s="165">
        <f t="shared" si="9"/>
        <v>7278.4090312500011</v>
      </c>
    </row>
    <row r="19" spans="1:15">
      <c r="A19" s="1">
        <f t="shared" si="10"/>
        <v>4</v>
      </c>
      <c r="C19" s="1">
        <f t="shared" si="11"/>
        <v>4</v>
      </c>
      <c r="D19" s="1">
        <v>1004</v>
      </c>
      <c r="E19" s="1"/>
      <c r="F19" s="165">
        <v>92752.524999999994</v>
      </c>
      <c r="G19" s="165">
        <f t="shared" si="4"/>
        <v>92752.524999999994</v>
      </c>
      <c r="H19" s="165">
        <f t="shared" si="5"/>
        <v>5750.6565499999997</v>
      </c>
      <c r="I19" s="165">
        <f t="shared" si="1"/>
        <v>92752.524999999994</v>
      </c>
      <c r="J19" s="165">
        <f t="shared" si="6"/>
        <v>1344.9116125</v>
      </c>
      <c r="K19" s="165">
        <f t="shared" si="2"/>
        <v>7000</v>
      </c>
      <c r="L19" s="165">
        <f t="shared" si="7"/>
        <v>42</v>
      </c>
      <c r="M19" s="165">
        <f t="shared" si="3"/>
        <v>10500</v>
      </c>
      <c r="N19" s="165">
        <f t="shared" si="8"/>
        <v>42</v>
      </c>
      <c r="O19" s="165">
        <f t="shared" si="9"/>
        <v>7179.5681624999997</v>
      </c>
    </row>
    <row r="20" spans="1:15">
      <c r="A20" s="1">
        <f t="shared" si="10"/>
        <v>5</v>
      </c>
      <c r="C20" s="1">
        <f t="shared" si="11"/>
        <v>5</v>
      </c>
      <c r="D20" s="1">
        <v>1005</v>
      </c>
      <c r="E20" s="1"/>
      <c r="F20" s="165">
        <v>77394.799999999988</v>
      </c>
      <c r="G20" s="165">
        <f t="shared" si="4"/>
        <v>77394.799999999988</v>
      </c>
      <c r="H20" s="165">
        <f t="shared" si="5"/>
        <v>4798.4775999999993</v>
      </c>
      <c r="I20" s="165">
        <f t="shared" si="1"/>
        <v>77394.799999999988</v>
      </c>
      <c r="J20" s="165">
        <f t="shared" si="6"/>
        <v>1122.2245999999998</v>
      </c>
      <c r="K20" s="165">
        <f t="shared" si="2"/>
        <v>7000</v>
      </c>
      <c r="L20" s="165">
        <f t="shared" si="7"/>
        <v>42</v>
      </c>
      <c r="M20" s="165">
        <f t="shared" si="3"/>
        <v>10500</v>
      </c>
      <c r="N20" s="165">
        <f t="shared" si="8"/>
        <v>42</v>
      </c>
      <c r="O20" s="165">
        <f t="shared" si="9"/>
        <v>6004.7021999999988</v>
      </c>
    </row>
    <row r="21" spans="1:15">
      <c r="A21" s="1">
        <f t="shared" si="10"/>
        <v>6</v>
      </c>
      <c r="C21" s="1">
        <f t="shared" si="11"/>
        <v>6</v>
      </c>
      <c r="D21" s="1">
        <v>1006</v>
      </c>
      <c r="E21" s="1"/>
      <c r="F21" s="165">
        <v>77627.574999999997</v>
      </c>
      <c r="G21" s="165">
        <f t="shared" si="4"/>
        <v>77627.574999999997</v>
      </c>
      <c r="H21" s="165">
        <f t="shared" si="5"/>
        <v>4812.9096499999996</v>
      </c>
      <c r="I21" s="165">
        <f t="shared" si="1"/>
        <v>77627.574999999997</v>
      </c>
      <c r="J21" s="165">
        <f t="shared" si="6"/>
        <v>1125.5998374999999</v>
      </c>
      <c r="K21" s="165">
        <f t="shared" si="2"/>
        <v>7000</v>
      </c>
      <c r="L21" s="165">
        <f t="shared" si="7"/>
        <v>42</v>
      </c>
      <c r="M21" s="165">
        <f t="shared" si="3"/>
        <v>10500</v>
      </c>
      <c r="N21" s="165">
        <f t="shared" si="8"/>
        <v>42</v>
      </c>
      <c r="O21" s="165">
        <f t="shared" si="9"/>
        <v>6022.5094874999995</v>
      </c>
    </row>
    <row r="22" spans="1:15">
      <c r="A22" s="1">
        <f t="shared" si="10"/>
        <v>7</v>
      </c>
      <c r="C22" s="1">
        <f t="shared" si="11"/>
        <v>7</v>
      </c>
      <c r="D22" s="1">
        <v>1007</v>
      </c>
      <c r="E22" s="1"/>
      <c r="F22" s="165">
        <v>104823.7</v>
      </c>
      <c r="G22" s="165">
        <f t="shared" si="4"/>
        <v>104823.7</v>
      </c>
      <c r="H22" s="165">
        <f t="shared" si="5"/>
        <v>6499.0693999999994</v>
      </c>
      <c r="I22" s="165">
        <f t="shared" si="1"/>
        <v>104823.7</v>
      </c>
      <c r="J22" s="165">
        <f t="shared" si="6"/>
        <v>1519.9436499999999</v>
      </c>
      <c r="K22" s="165">
        <f t="shared" si="2"/>
        <v>7000</v>
      </c>
      <c r="L22" s="165">
        <f t="shared" si="7"/>
        <v>42</v>
      </c>
      <c r="M22" s="165">
        <f t="shared" si="3"/>
        <v>10500</v>
      </c>
      <c r="N22" s="165">
        <f t="shared" si="8"/>
        <v>42</v>
      </c>
      <c r="O22" s="165">
        <f t="shared" si="9"/>
        <v>8103.0130499999996</v>
      </c>
    </row>
    <row r="23" spans="1:15">
      <c r="A23" s="1">
        <f t="shared" si="10"/>
        <v>8</v>
      </c>
      <c r="C23" s="1">
        <f t="shared" si="11"/>
        <v>8</v>
      </c>
      <c r="D23" s="1">
        <v>1008</v>
      </c>
      <c r="E23" s="1"/>
      <c r="F23" s="165">
        <v>64601.614999999998</v>
      </c>
      <c r="G23" s="165">
        <f t="shared" si="4"/>
        <v>64601.614999999998</v>
      </c>
      <c r="H23" s="165">
        <f t="shared" si="5"/>
        <v>4005.3001299999996</v>
      </c>
      <c r="I23" s="165">
        <f t="shared" si="1"/>
        <v>64601.614999999998</v>
      </c>
      <c r="J23" s="165">
        <f t="shared" si="6"/>
        <v>936.72341749999998</v>
      </c>
      <c r="K23" s="165">
        <f t="shared" si="2"/>
        <v>7000</v>
      </c>
      <c r="L23" s="165">
        <f t="shared" si="7"/>
        <v>42</v>
      </c>
      <c r="M23" s="165">
        <f t="shared" si="3"/>
        <v>10500</v>
      </c>
      <c r="N23" s="165">
        <f t="shared" si="8"/>
        <v>42</v>
      </c>
      <c r="O23" s="165">
        <f t="shared" si="9"/>
        <v>5026.0235474999999</v>
      </c>
    </row>
    <row r="24" spans="1:15">
      <c r="A24" s="1">
        <f t="shared" si="10"/>
        <v>9</v>
      </c>
      <c r="C24" s="1">
        <f t="shared" si="11"/>
        <v>9</v>
      </c>
      <c r="D24" s="1">
        <v>1009</v>
      </c>
      <c r="E24" s="1"/>
      <c r="F24" s="165">
        <v>92176.3</v>
      </c>
      <c r="G24" s="165">
        <f t="shared" si="4"/>
        <v>92176.3</v>
      </c>
      <c r="H24" s="165">
        <f t="shared" si="5"/>
        <v>5714.9305999999997</v>
      </c>
      <c r="I24" s="165">
        <f t="shared" si="1"/>
        <v>92176.3</v>
      </c>
      <c r="J24" s="165">
        <f t="shared" si="6"/>
        <v>1336.5563500000001</v>
      </c>
      <c r="K24" s="165">
        <f t="shared" si="2"/>
        <v>7000</v>
      </c>
      <c r="L24" s="165">
        <f t="shared" si="7"/>
        <v>42</v>
      </c>
      <c r="M24" s="165">
        <f t="shared" si="3"/>
        <v>10500</v>
      </c>
      <c r="N24" s="165">
        <f t="shared" si="8"/>
        <v>42</v>
      </c>
      <c r="O24" s="165">
        <f t="shared" si="9"/>
        <v>7135.4869499999995</v>
      </c>
    </row>
    <row r="25" spans="1:15">
      <c r="A25" s="1">
        <f t="shared" si="10"/>
        <v>10</v>
      </c>
      <c r="C25" s="1">
        <f t="shared" si="11"/>
        <v>10</v>
      </c>
      <c r="D25" s="1">
        <v>1010</v>
      </c>
      <c r="E25" s="1"/>
      <c r="F25" s="165">
        <v>91289.8</v>
      </c>
      <c r="G25" s="165">
        <f t="shared" si="4"/>
        <v>91289.8</v>
      </c>
      <c r="H25" s="165">
        <f t="shared" si="5"/>
        <v>5659.9675999999999</v>
      </c>
      <c r="I25" s="165">
        <f t="shared" si="1"/>
        <v>91289.8</v>
      </c>
      <c r="J25" s="165">
        <f t="shared" si="6"/>
        <v>1323.7021000000002</v>
      </c>
      <c r="K25" s="165">
        <f t="shared" si="2"/>
        <v>7000</v>
      </c>
      <c r="L25" s="165">
        <f t="shared" si="7"/>
        <v>42</v>
      </c>
      <c r="M25" s="165">
        <f t="shared" si="3"/>
        <v>10500</v>
      </c>
      <c r="N25" s="165">
        <f t="shared" si="8"/>
        <v>42</v>
      </c>
      <c r="O25" s="165">
        <f t="shared" si="9"/>
        <v>7067.6697000000004</v>
      </c>
    </row>
    <row r="26" spans="1:15">
      <c r="A26" s="1">
        <f t="shared" si="10"/>
        <v>11</v>
      </c>
      <c r="C26" s="1">
        <f t="shared" si="11"/>
        <v>11</v>
      </c>
      <c r="D26" s="1">
        <v>1011</v>
      </c>
      <c r="E26" s="1"/>
      <c r="F26" s="165">
        <v>78278.89</v>
      </c>
      <c r="G26" s="165">
        <f t="shared" si="4"/>
        <v>78278.89</v>
      </c>
      <c r="H26" s="165">
        <f t="shared" si="5"/>
        <v>4853.2911800000002</v>
      </c>
      <c r="I26" s="165">
        <f t="shared" si="1"/>
        <v>78278.89</v>
      </c>
      <c r="J26" s="165">
        <f t="shared" si="6"/>
        <v>1135.043905</v>
      </c>
      <c r="K26" s="165">
        <f t="shared" si="2"/>
        <v>7000</v>
      </c>
      <c r="L26" s="165">
        <f t="shared" si="7"/>
        <v>42</v>
      </c>
      <c r="M26" s="165">
        <f t="shared" si="3"/>
        <v>10500</v>
      </c>
      <c r="N26" s="165">
        <f t="shared" si="8"/>
        <v>42</v>
      </c>
      <c r="O26" s="165">
        <f t="shared" si="9"/>
        <v>6072.3350850000006</v>
      </c>
    </row>
    <row r="27" spans="1:15">
      <c r="A27" s="1">
        <f t="shared" si="10"/>
        <v>12</v>
      </c>
      <c r="C27" s="1">
        <f t="shared" si="11"/>
        <v>12</v>
      </c>
      <c r="D27" s="1">
        <v>1012</v>
      </c>
      <c r="E27" s="1"/>
      <c r="F27" s="165">
        <v>98174.95</v>
      </c>
      <c r="G27" s="165">
        <f t="shared" si="4"/>
        <v>98174.95</v>
      </c>
      <c r="H27" s="165">
        <f t="shared" si="5"/>
        <v>6086.8468999999996</v>
      </c>
      <c r="I27" s="165">
        <f t="shared" si="1"/>
        <v>98174.95</v>
      </c>
      <c r="J27" s="165">
        <f t="shared" si="6"/>
        <v>1423.536775</v>
      </c>
      <c r="K27" s="165">
        <f t="shared" si="2"/>
        <v>7000</v>
      </c>
      <c r="L27" s="165">
        <f t="shared" si="7"/>
        <v>42</v>
      </c>
      <c r="M27" s="165">
        <f t="shared" si="3"/>
        <v>10500</v>
      </c>
      <c r="N27" s="165">
        <f t="shared" si="8"/>
        <v>42</v>
      </c>
      <c r="O27" s="165">
        <f t="shared" si="9"/>
        <v>7594.3836749999991</v>
      </c>
    </row>
    <row r="28" spans="1:15">
      <c r="A28" s="1">
        <f t="shared" si="10"/>
        <v>13</v>
      </c>
      <c r="C28" s="1">
        <f t="shared" si="11"/>
        <v>13</v>
      </c>
      <c r="D28" s="1">
        <v>1013</v>
      </c>
      <c r="E28" s="1"/>
      <c r="F28" s="165">
        <v>98825.05</v>
      </c>
      <c r="G28" s="165">
        <f t="shared" si="4"/>
        <v>98825.05</v>
      </c>
      <c r="H28" s="165">
        <f t="shared" si="5"/>
        <v>6127.1531000000004</v>
      </c>
      <c r="I28" s="165">
        <f t="shared" si="1"/>
        <v>98825.05</v>
      </c>
      <c r="J28" s="165">
        <f t="shared" si="6"/>
        <v>1432.9632250000002</v>
      </c>
      <c r="K28" s="165">
        <f t="shared" si="2"/>
        <v>7000</v>
      </c>
      <c r="L28" s="165">
        <f t="shared" si="7"/>
        <v>42</v>
      </c>
      <c r="M28" s="165">
        <f t="shared" si="3"/>
        <v>10500</v>
      </c>
      <c r="N28" s="165">
        <f t="shared" si="8"/>
        <v>42</v>
      </c>
      <c r="O28" s="165">
        <f t="shared" si="9"/>
        <v>7644.1163250000009</v>
      </c>
    </row>
    <row r="29" spans="1:15">
      <c r="A29" s="1">
        <f t="shared" si="10"/>
        <v>14</v>
      </c>
      <c r="C29" s="1">
        <f t="shared" si="11"/>
        <v>14</v>
      </c>
      <c r="D29" s="1">
        <v>1014</v>
      </c>
      <c r="E29" s="1"/>
      <c r="F29" s="165">
        <v>79239.875</v>
      </c>
      <c r="G29" s="165">
        <f t="shared" si="4"/>
        <v>79239.875</v>
      </c>
      <c r="H29" s="165">
        <f t="shared" si="5"/>
        <v>4912.8722500000003</v>
      </c>
      <c r="I29" s="165">
        <f t="shared" si="1"/>
        <v>79239.875</v>
      </c>
      <c r="J29" s="165">
        <f t="shared" si="6"/>
        <v>1148.9781875000001</v>
      </c>
      <c r="K29" s="165">
        <f t="shared" si="2"/>
        <v>7000</v>
      </c>
      <c r="L29" s="165">
        <f t="shared" si="7"/>
        <v>42</v>
      </c>
      <c r="M29" s="165">
        <f t="shared" si="3"/>
        <v>10500</v>
      </c>
      <c r="N29" s="165">
        <f t="shared" si="8"/>
        <v>42</v>
      </c>
      <c r="O29" s="165">
        <f t="shared" si="9"/>
        <v>6145.8504375000002</v>
      </c>
    </row>
    <row r="30" spans="1:15">
      <c r="A30" s="1">
        <f t="shared" si="10"/>
        <v>15</v>
      </c>
      <c r="C30" s="1">
        <f t="shared" si="11"/>
        <v>15</v>
      </c>
      <c r="D30" s="1">
        <v>1015</v>
      </c>
      <c r="E30" s="1"/>
      <c r="F30" s="165">
        <v>107931.2</v>
      </c>
      <c r="G30" s="165">
        <f t="shared" si="4"/>
        <v>107931.2</v>
      </c>
      <c r="H30" s="165">
        <f t="shared" si="5"/>
        <v>6691.7343999999994</v>
      </c>
      <c r="I30" s="165">
        <f t="shared" si="1"/>
        <v>107931.2</v>
      </c>
      <c r="J30" s="165">
        <f t="shared" si="6"/>
        <v>1565.0024000000001</v>
      </c>
      <c r="K30" s="165">
        <f t="shared" si="2"/>
        <v>7000</v>
      </c>
      <c r="L30" s="165">
        <f t="shared" si="7"/>
        <v>42</v>
      </c>
      <c r="M30" s="165">
        <f t="shared" si="3"/>
        <v>10500</v>
      </c>
      <c r="N30" s="165">
        <f t="shared" si="8"/>
        <v>42</v>
      </c>
      <c r="O30" s="165">
        <f t="shared" si="9"/>
        <v>8340.7367999999988</v>
      </c>
    </row>
    <row r="31" spans="1:15">
      <c r="A31" s="1">
        <f t="shared" si="10"/>
        <v>16</v>
      </c>
      <c r="C31" s="1">
        <f t="shared" si="11"/>
        <v>16</v>
      </c>
      <c r="D31" s="1">
        <v>1016</v>
      </c>
      <c r="E31" s="1"/>
      <c r="F31" s="165">
        <v>93092.35</v>
      </c>
      <c r="G31" s="165">
        <f t="shared" si="4"/>
        <v>93092.35</v>
      </c>
      <c r="H31" s="165">
        <f t="shared" si="5"/>
        <v>5771.7257</v>
      </c>
      <c r="I31" s="165">
        <f t="shared" si="1"/>
        <v>93092.35</v>
      </c>
      <c r="J31" s="165">
        <f t="shared" si="6"/>
        <v>1349.8390750000001</v>
      </c>
      <c r="K31" s="165">
        <f t="shared" si="2"/>
        <v>7000</v>
      </c>
      <c r="L31" s="165">
        <f t="shared" si="7"/>
        <v>42</v>
      </c>
      <c r="M31" s="165">
        <f t="shared" si="3"/>
        <v>10500</v>
      </c>
      <c r="N31" s="165">
        <f t="shared" si="8"/>
        <v>42</v>
      </c>
      <c r="O31" s="165">
        <f t="shared" si="9"/>
        <v>7205.5647749999998</v>
      </c>
    </row>
    <row r="32" spans="1:15">
      <c r="A32" s="1">
        <f t="shared" si="10"/>
        <v>17</v>
      </c>
      <c r="C32" s="1">
        <f t="shared" si="11"/>
        <v>17</v>
      </c>
      <c r="D32" s="1">
        <v>1017</v>
      </c>
      <c r="E32" s="1"/>
      <c r="F32" s="165">
        <v>60744.520000000004</v>
      </c>
      <c r="G32" s="165">
        <f t="shared" si="4"/>
        <v>60744.520000000004</v>
      </c>
      <c r="H32" s="165">
        <f t="shared" si="5"/>
        <v>3766.1602400000002</v>
      </c>
      <c r="I32" s="165">
        <f t="shared" si="1"/>
        <v>60744.520000000004</v>
      </c>
      <c r="J32" s="165">
        <f t="shared" si="6"/>
        <v>880.79554000000007</v>
      </c>
      <c r="K32" s="165">
        <f t="shared" si="2"/>
        <v>7000</v>
      </c>
      <c r="L32" s="165">
        <f t="shared" si="7"/>
        <v>42</v>
      </c>
      <c r="M32" s="165">
        <f t="shared" si="3"/>
        <v>10500</v>
      </c>
      <c r="N32" s="165">
        <f t="shared" si="8"/>
        <v>42</v>
      </c>
      <c r="O32" s="165">
        <f t="shared" si="9"/>
        <v>4730.9557800000002</v>
      </c>
    </row>
    <row r="33" spans="1:15">
      <c r="A33" s="1">
        <f t="shared" si="10"/>
        <v>18</v>
      </c>
      <c r="C33" s="1">
        <f t="shared" si="11"/>
        <v>18</v>
      </c>
      <c r="D33" s="1">
        <v>1018</v>
      </c>
      <c r="E33" s="1"/>
      <c r="F33" s="165">
        <v>87954.3125</v>
      </c>
      <c r="G33" s="165">
        <f t="shared" si="4"/>
        <v>87954.3125</v>
      </c>
      <c r="H33" s="165">
        <f t="shared" si="5"/>
        <v>5453.167375</v>
      </c>
      <c r="I33" s="165">
        <f t="shared" si="1"/>
        <v>87954.3125</v>
      </c>
      <c r="J33" s="165">
        <f t="shared" si="6"/>
        <v>1275.33753125</v>
      </c>
      <c r="K33" s="165">
        <f t="shared" si="2"/>
        <v>7000</v>
      </c>
      <c r="L33" s="165">
        <f t="shared" si="7"/>
        <v>42</v>
      </c>
      <c r="M33" s="165">
        <f t="shared" si="3"/>
        <v>10500</v>
      </c>
      <c r="N33" s="165">
        <f t="shared" si="8"/>
        <v>42</v>
      </c>
      <c r="O33" s="165">
        <f t="shared" si="9"/>
        <v>6812.5049062500002</v>
      </c>
    </row>
    <row r="34" spans="1:15">
      <c r="A34" s="1">
        <f t="shared" si="10"/>
        <v>19</v>
      </c>
      <c r="C34" s="1">
        <f t="shared" si="11"/>
        <v>19</v>
      </c>
      <c r="D34" s="1">
        <v>1019</v>
      </c>
      <c r="E34" s="1"/>
      <c r="F34" s="165">
        <v>44900</v>
      </c>
      <c r="G34" s="165">
        <f t="shared" si="4"/>
        <v>44900</v>
      </c>
      <c r="H34" s="165">
        <f t="shared" si="5"/>
        <v>2783.8</v>
      </c>
      <c r="I34" s="165">
        <f t="shared" si="1"/>
        <v>44900</v>
      </c>
      <c r="J34" s="165">
        <f t="shared" si="6"/>
        <v>651.05000000000007</v>
      </c>
      <c r="K34" s="165">
        <f t="shared" si="2"/>
        <v>7000</v>
      </c>
      <c r="L34" s="165">
        <f t="shared" si="7"/>
        <v>42</v>
      </c>
      <c r="M34" s="165">
        <f t="shared" si="3"/>
        <v>10500</v>
      </c>
      <c r="N34" s="165">
        <f t="shared" si="8"/>
        <v>42</v>
      </c>
      <c r="O34" s="165">
        <f t="shared" si="9"/>
        <v>3518.8500000000004</v>
      </c>
    </row>
    <row r="35" spans="1:15">
      <c r="A35" s="1">
        <f t="shared" si="10"/>
        <v>20</v>
      </c>
      <c r="C35" s="1">
        <f t="shared" si="11"/>
        <v>20</v>
      </c>
      <c r="D35" s="1">
        <v>1020</v>
      </c>
      <c r="E35" s="1"/>
      <c r="F35" s="165">
        <v>45822</v>
      </c>
      <c r="G35" s="165">
        <f t="shared" si="4"/>
        <v>45822</v>
      </c>
      <c r="H35" s="165">
        <f t="shared" si="5"/>
        <v>2840.9639999999999</v>
      </c>
      <c r="I35" s="165">
        <f t="shared" si="1"/>
        <v>45822</v>
      </c>
      <c r="J35" s="165">
        <f t="shared" si="6"/>
        <v>664.41899999999998</v>
      </c>
      <c r="K35" s="165">
        <f t="shared" si="2"/>
        <v>7000</v>
      </c>
      <c r="L35" s="165">
        <f t="shared" si="7"/>
        <v>42</v>
      </c>
      <c r="M35" s="165">
        <f t="shared" si="3"/>
        <v>10500</v>
      </c>
      <c r="N35" s="165">
        <f t="shared" si="8"/>
        <v>42</v>
      </c>
      <c r="O35" s="165">
        <f t="shared" si="9"/>
        <v>3589.3829999999998</v>
      </c>
    </row>
    <row r="36" spans="1:15">
      <c r="A36" s="1">
        <f t="shared" si="10"/>
        <v>21</v>
      </c>
      <c r="C36" s="1">
        <f t="shared" si="11"/>
        <v>21</v>
      </c>
      <c r="D36" s="1">
        <v>1021</v>
      </c>
      <c r="E36" s="1"/>
      <c r="F36" s="165">
        <v>117884</v>
      </c>
      <c r="G36" s="165">
        <f t="shared" si="4"/>
        <v>117884</v>
      </c>
      <c r="H36" s="165">
        <f t="shared" si="5"/>
        <v>7308.808</v>
      </c>
      <c r="I36" s="165">
        <f t="shared" si="1"/>
        <v>117884</v>
      </c>
      <c r="J36" s="165">
        <f t="shared" si="6"/>
        <v>1709.318</v>
      </c>
      <c r="K36" s="165">
        <f t="shared" si="2"/>
        <v>7000</v>
      </c>
      <c r="L36" s="165">
        <f t="shared" si="7"/>
        <v>42</v>
      </c>
      <c r="M36" s="165">
        <f t="shared" si="3"/>
        <v>10500</v>
      </c>
      <c r="N36" s="165">
        <f t="shared" si="8"/>
        <v>42</v>
      </c>
      <c r="O36" s="165">
        <f t="shared" si="9"/>
        <v>9102.1260000000002</v>
      </c>
    </row>
    <row r="37" spans="1:15">
      <c r="A37" s="1">
        <f t="shared" si="10"/>
        <v>22</v>
      </c>
      <c r="C37" s="1">
        <f t="shared" si="11"/>
        <v>22</v>
      </c>
      <c r="D37" s="1">
        <v>1022</v>
      </c>
      <c r="E37" s="1"/>
      <c r="F37" s="165">
        <v>104616.85</v>
      </c>
      <c r="G37" s="165">
        <f t="shared" si="4"/>
        <v>104616.85</v>
      </c>
      <c r="H37" s="165">
        <f t="shared" si="5"/>
        <v>6486.2447000000002</v>
      </c>
      <c r="I37" s="165">
        <f t="shared" si="1"/>
        <v>104616.85</v>
      </c>
      <c r="J37" s="165">
        <f t="shared" si="6"/>
        <v>1516.9443250000002</v>
      </c>
      <c r="K37" s="165">
        <f t="shared" si="2"/>
        <v>7000</v>
      </c>
      <c r="L37" s="165">
        <f t="shared" si="7"/>
        <v>42</v>
      </c>
      <c r="M37" s="165">
        <f t="shared" si="3"/>
        <v>10500</v>
      </c>
      <c r="N37" s="165">
        <f t="shared" si="8"/>
        <v>42</v>
      </c>
      <c r="O37" s="165">
        <f t="shared" si="9"/>
        <v>8087.1890250000006</v>
      </c>
    </row>
    <row r="38" spans="1:15">
      <c r="A38" s="1">
        <f t="shared" si="10"/>
        <v>23</v>
      </c>
      <c r="C38" s="1">
        <f t="shared" si="11"/>
        <v>23</v>
      </c>
      <c r="D38" s="1">
        <v>1023</v>
      </c>
      <c r="E38" s="1"/>
      <c r="F38" s="165">
        <v>72714.664999999994</v>
      </c>
      <c r="G38" s="165">
        <f t="shared" si="4"/>
        <v>72714.664999999994</v>
      </c>
      <c r="H38" s="165">
        <f t="shared" si="5"/>
        <v>4508.3092299999998</v>
      </c>
      <c r="I38" s="165">
        <f t="shared" si="1"/>
        <v>72714.664999999994</v>
      </c>
      <c r="J38" s="165">
        <f t="shared" si="6"/>
        <v>1054.3626425</v>
      </c>
      <c r="K38" s="165">
        <f t="shared" si="2"/>
        <v>7000</v>
      </c>
      <c r="L38" s="165">
        <f t="shared" si="7"/>
        <v>42</v>
      </c>
      <c r="M38" s="165">
        <f t="shared" si="3"/>
        <v>10500</v>
      </c>
      <c r="N38" s="165">
        <f t="shared" si="8"/>
        <v>42</v>
      </c>
      <c r="O38" s="165">
        <f t="shared" si="9"/>
        <v>5646.6718725000001</v>
      </c>
    </row>
    <row r="39" spans="1:15">
      <c r="A39" s="1">
        <f t="shared" si="10"/>
        <v>24</v>
      </c>
      <c r="C39" s="1">
        <f t="shared" si="11"/>
        <v>24</v>
      </c>
      <c r="D39" s="1">
        <v>1024</v>
      </c>
      <c r="E39" s="1"/>
      <c r="F39" s="165">
        <v>48215</v>
      </c>
      <c r="G39" s="165">
        <f t="shared" si="4"/>
        <v>48215</v>
      </c>
      <c r="H39" s="165">
        <f t="shared" si="5"/>
        <v>2989.33</v>
      </c>
      <c r="I39" s="165">
        <f t="shared" si="1"/>
        <v>48215</v>
      </c>
      <c r="J39" s="165">
        <f t="shared" si="6"/>
        <v>699.11750000000006</v>
      </c>
      <c r="K39" s="165">
        <f t="shared" si="2"/>
        <v>7000</v>
      </c>
      <c r="L39" s="165">
        <f t="shared" si="7"/>
        <v>42</v>
      </c>
      <c r="M39" s="165">
        <f t="shared" si="3"/>
        <v>10500</v>
      </c>
      <c r="N39" s="165">
        <f t="shared" si="8"/>
        <v>42</v>
      </c>
      <c r="O39" s="165">
        <f t="shared" si="9"/>
        <v>3772.4475000000002</v>
      </c>
    </row>
    <row r="40" spans="1:15">
      <c r="A40" s="1">
        <f t="shared" si="10"/>
        <v>25</v>
      </c>
      <c r="C40" s="1">
        <f t="shared" si="11"/>
        <v>25</v>
      </c>
      <c r="D40" s="1">
        <v>1025</v>
      </c>
      <c r="E40" s="1"/>
      <c r="F40" s="165">
        <v>71471.434999999998</v>
      </c>
      <c r="G40" s="165">
        <f t="shared" si="4"/>
        <v>71471.434999999998</v>
      </c>
      <c r="H40" s="165">
        <f t="shared" si="5"/>
        <v>4431.2289700000001</v>
      </c>
      <c r="I40" s="165">
        <f t="shared" si="1"/>
        <v>71471.434999999998</v>
      </c>
      <c r="J40" s="165">
        <f t="shared" si="6"/>
        <v>1036.3358075000001</v>
      </c>
      <c r="K40" s="165">
        <f t="shared" si="2"/>
        <v>7000</v>
      </c>
      <c r="L40" s="165">
        <f t="shared" si="7"/>
        <v>42</v>
      </c>
      <c r="M40" s="165">
        <f t="shared" si="3"/>
        <v>10500</v>
      </c>
      <c r="N40" s="165">
        <f t="shared" si="8"/>
        <v>42</v>
      </c>
      <c r="O40" s="165">
        <f t="shared" si="9"/>
        <v>5551.5647774999998</v>
      </c>
    </row>
    <row r="41" spans="1:15">
      <c r="A41" s="1">
        <f t="shared" si="10"/>
        <v>26</v>
      </c>
      <c r="C41" s="1">
        <f t="shared" si="11"/>
        <v>26</v>
      </c>
      <c r="D41" s="1">
        <v>1026</v>
      </c>
      <c r="E41" s="1"/>
      <c r="F41" s="165">
        <v>90814.15</v>
      </c>
      <c r="G41" s="165">
        <f t="shared" si="4"/>
        <v>90814.15</v>
      </c>
      <c r="H41" s="165">
        <f t="shared" si="5"/>
        <v>5630.4772999999996</v>
      </c>
      <c r="I41" s="165">
        <f t="shared" si="1"/>
        <v>90814.15</v>
      </c>
      <c r="J41" s="165">
        <f t="shared" si="6"/>
        <v>1316.805175</v>
      </c>
      <c r="K41" s="165">
        <f t="shared" si="2"/>
        <v>7000</v>
      </c>
      <c r="L41" s="165">
        <f t="shared" si="7"/>
        <v>42</v>
      </c>
      <c r="M41" s="165">
        <f t="shared" si="3"/>
        <v>10500</v>
      </c>
      <c r="N41" s="165">
        <f t="shared" si="8"/>
        <v>42</v>
      </c>
      <c r="O41" s="165">
        <f t="shared" si="9"/>
        <v>7031.282475</v>
      </c>
    </row>
    <row r="42" spans="1:15">
      <c r="A42" s="1">
        <f t="shared" si="10"/>
        <v>27</v>
      </c>
      <c r="C42" s="1">
        <f t="shared" si="11"/>
        <v>27</v>
      </c>
      <c r="D42" s="1">
        <v>1027</v>
      </c>
      <c r="E42" s="1" t="s">
        <v>137</v>
      </c>
      <c r="F42" s="165">
        <v>0</v>
      </c>
      <c r="G42" s="165">
        <f t="shared" si="4"/>
        <v>0</v>
      </c>
      <c r="H42" s="165">
        <f t="shared" si="5"/>
        <v>0</v>
      </c>
      <c r="I42" s="165">
        <f t="shared" si="1"/>
        <v>0</v>
      </c>
      <c r="J42" s="165">
        <f t="shared" si="6"/>
        <v>0</v>
      </c>
      <c r="K42" s="165">
        <f t="shared" si="2"/>
        <v>0</v>
      </c>
      <c r="L42" s="165">
        <f t="shared" si="7"/>
        <v>0</v>
      </c>
      <c r="M42" s="165">
        <f t="shared" si="3"/>
        <v>0</v>
      </c>
      <c r="N42" s="165">
        <f t="shared" si="8"/>
        <v>0</v>
      </c>
      <c r="O42" s="165">
        <f t="shared" si="9"/>
        <v>0</v>
      </c>
    </row>
    <row r="43" spans="1:15">
      <c r="A43" s="1">
        <f t="shared" si="10"/>
        <v>28</v>
      </c>
      <c r="C43" s="1">
        <f t="shared" si="11"/>
        <v>28</v>
      </c>
      <c r="D43" s="1">
        <v>1028</v>
      </c>
      <c r="E43" s="1"/>
      <c r="F43" s="165">
        <v>90818.755000000005</v>
      </c>
      <c r="G43" s="165">
        <f t="shared" si="4"/>
        <v>90818.755000000005</v>
      </c>
      <c r="H43" s="165">
        <f t="shared" si="5"/>
        <v>5630.7628100000002</v>
      </c>
      <c r="I43" s="165">
        <f t="shared" si="1"/>
        <v>90818.755000000005</v>
      </c>
      <c r="J43" s="165">
        <f t="shared" si="6"/>
        <v>1316.8719475</v>
      </c>
      <c r="K43" s="165">
        <f t="shared" si="2"/>
        <v>7000</v>
      </c>
      <c r="L43" s="165">
        <f t="shared" si="7"/>
        <v>42</v>
      </c>
      <c r="M43" s="165">
        <f t="shared" si="3"/>
        <v>10500</v>
      </c>
      <c r="N43" s="165">
        <f t="shared" si="8"/>
        <v>42</v>
      </c>
      <c r="O43" s="165">
        <f t="shared" si="9"/>
        <v>7031.6347575</v>
      </c>
    </row>
    <row r="44" spans="1:15">
      <c r="A44" s="1">
        <f t="shared" si="10"/>
        <v>29</v>
      </c>
      <c r="C44" s="1">
        <f t="shared" si="11"/>
        <v>29</v>
      </c>
      <c r="D44" s="1">
        <v>1029</v>
      </c>
      <c r="E44" s="1"/>
      <c r="F44" s="165">
        <v>60798.400000000001</v>
      </c>
      <c r="G44" s="165">
        <f t="shared" si="4"/>
        <v>60798.400000000001</v>
      </c>
      <c r="H44" s="165">
        <f t="shared" si="5"/>
        <v>3769.5008000000003</v>
      </c>
      <c r="I44" s="165">
        <f t="shared" si="1"/>
        <v>60798.400000000001</v>
      </c>
      <c r="J44" s="165">
        <f t="shared" si="6"/>
        <v>881.57680000000005</v>
      </c>
      <c r="K44" s="165">
        <f t="shared" si="2"/>
        <v>7000</v>
      </c>
      <c r="L44" s="165">
        <f t="shared" si="7"/>
        <v>42</v>
      </c>
      <c r="M44" s="165">
        <f t="shared" si="3"/>
        <v>10500</v>
      </c>
      <c r="N44" s="165">
        <f t="shared" si="8"/>
        <v>42</v>
      </c>
      <c r="O44" s="165">
        <f t="shared" si="9"/>
        <v>4735.0776000000005</v>
      </c>
    </row>
    <row r="45" spans="1:15">
      <c r="A45" s="1">
        <f t="shared" si="10"/>
        <v>30</v>
      </c>
      <c r="C45" s="1">
        <f t="shared" si="11"/>
        <v>30</v>
      </c>
      <c r="D45" s="1">
        <v>1030</v>
      </c>
      <c r="E45" s="1"/>
      <c r="F45" s="165">
        <v>59226.439999999995</v>
      </c>
      <c r="G45" s="165">
        <f t="shared" si="4"/>
        <v>59226.439999999995</v>
      </c>
      <c r="H45" s="165">
        <f t="shared" si="5"/>
        <v>3672.0392799999995</v>
      </c>
      <c r="I45" s="165">
        <f t="shared" si="1"/>
        <v>59226.439999999995</v>
      </c>
      <c r="J45" s="165">
        <f t="shared" si="6"/>
        <v>858.78337999999997</v>
      </c>
      <c r="K45" s="165">
        <f t="shared" si="2"/>
        <v>7000</v>
      </c>
      <c r="L45" s="165">
        <f t="shared" si="7"/>
        <v>42</v>
      </c>
      <c r="M45" s="165">
        <f t="shared" si="3"/>
        <v>10500</v>
      </c>
      <c r="N45" s="165">
        <f t="shared" si="8"/>
        <v>42</v>
      </c>
      <c r="O45" s="165">
        <f t="shared" si="9"/>
        <v>4614.8226599999998</v>
      </c>
    </row>
    <row r="46" spans="1:15">
      <c r="A46" s="1">
        <f t="shared" si="10"/>
        <v>31</v>
      </c>
      <c r="C46" s="1">
        <f t="shared" si="11"/>
        <v>31</v>
      </c>
      <c r="D46" s="1">
        <v>1031</v>
      </c>
      <c r="E46" s="1"/>
      <c r="F46" s="165">
        <v>114763.77499999999</v>
      </c>
      <c r="G46" s="165">
        <f t="shared" si="4"/>
        <v>114763.77499999999</v>
      </c>
      <c r="H46" s="165">
        <f t="shared" si="5"/>
        <v>7115.3540499999999</v>
      </c>
      <c r="I46" s="165">
        <f t="shared" si="1"/>
        <v>114763.77499999999</v>
      </c>
      <c r="J46" s="165">
        <f t="shared" si="6"/>
        <v>1664.0747375000001</v>
      </c>
      <c r="K46" s="165">
        <f t="shared" si="2"/>
        <v>7000</v>
      </c>
      <c r="L46" s="165">
        <f t="shared" si="7"/>
        <v>42</v>
      </c>
      <c r="M46" s="165">
        <f t="shared" si="3"/>
        <v>10500</v>
      </c>
      <c r="N46" s="165">
        <f t="shared" si="8"/>
        <v>42</v>
      </c>
      <c r="O46" s="165">
        <f t="shared" si="9"/>
        <v>8863.4287875000009</v>
      </c>
    </row>
    <row r="47" spans="1:15">
      <c r="A47" s="1">
        <f t="shared" si="10"/>
        <v>32</v>
      </c>
      <c r="C47" s="1">
        <f t="shared" si="11"/>
        <v>32</v>
      </c>
      <c r="D47" s="1">
        <v>1032</v>
      </c>
      <c r="E47" s="1"/>
      <c r="F47" s="165">
        <v>67244.625</v>
      </c>
      <c r="G47" s="165">
        <f t="shared" si="4"/>
        <v>67244.625</v>
      </c>
      <c r="H47" s="165">
        <f t="shared" si="5"/>
        <v>4169.1667500000003</v>
      </c>
      <c r="I47" s="165">
        <f t="shared" si="1"/>
        <v>67244.625</v>
      </c>
      <c r="J47" s="165">
        <f t="shared" si="6"/>
        <v>975.04706250000004</v>
      </c>
      <c r="K47" s="165">
        <f t="shared" si="2"/>
        <v>7000</v>
      </c>
      <c r="L47" s="165">
        <f t="shared" si="7"/>
        <v>42</v>
      </c>
      <c r="M47" s="165">
        <f t="shared" si="3"/>
        <v>10500</v>
      </c>
      <c r="N47" s="165">
        <f t="shared" si="8"/>
        <v>42</v>
      </c>
      <c r="O47" s="165">
        <f t="shared" si="9"/>
        <v>5228.2138125000001</v>
      </c>
    </row>
    <row r="48" spans="1:15">
      <c r="A48" s="1">
        <f t="shared" si="10"/>
        <v>33</v>
      </c>
      <c r="C48" s="1">
        <f t="shared" si="11"/>
        <v>33</v>
      </c>
      <c r="D48" s="1">
        <v>1033</v>
      </c>
      <c r="E48" s="1" t="s">
        <v>137</v>
      </c>
      <c r="F48" s="165">
        <v>0</v>
      </c>
      <c r="G48" s="165">
        <f t="shared" si="4"/>
        <v>0</v>
      </c>
      <c r="H48" s="165">
        <f t="shared" si="5"/>
        <v>0</v>
      </c>
      <c r="I48" s="165">
        <f t="shared" si="1"/>
        <v>0</v>
      </c>
      <c r="J48" s="165">
        <f t="shared" si="6"/>
        <v>0</v>
      </c>
      <c r="K48" s="165">
        <f t="shared" si="2"/>
        <v>0</v>
      </c>
      <c r="L48" s="165">
        <f t="shared" si="7"/>
        <v>0</v>
      </c>
      <c r="M48" s="165">
        <f t="shared" si="3"/>
        <v>0</v>
      </c>
      <c r="N48" s="165">
        <f t="shared" si="8"/>
        <v>0</v>
      </c>
      <c r="O48" s="165">
        <f t="shared" si="9"/>
        <v>0</v>
      </c>
    </row>
    <row r="49" spans="1:15">
      <c r="A49" s="1">
        <f t="shared" si="10"/>
        <v>34</v>
      </c>
      <c r="C49" s="1">
        <f t="shared" si="11"/>
        <v>34</v>
      </c>
      <c r="D49" s="1">
        <v>1034</v>
      </c>
      <c r="E49" s="1"/>
      <c r="F49" s="165">
        <v>79724</v>
      </c>
      <c r="G49" s="165">
        <f t="shared" si="4"/>
        <v>79724</v>
      </c>
      <c r="H49" s="165">
        <f t="shared" si="5"/>
        <v>4942.8879999999999</v>
      </c>
      <c r="I49" s="165">
        <f t="shared" si="1"/>
        <v>79724</v>
      </c>
      <c r="J49" s="165">
        <f t="shared" si="6"/>
        <v>1155.998</v>
      </c>
      <c r="K49" s="165">
        <f t="shared" si="2"/>
        <v>7000</v>
      </c>
      <c r="L49" s="165">
        <f t="shared" si="7"/>
        <v>42</v>
      </c>
      <c r="M49" s="165">
        <f t="shared" si="3"/>
        <v>10500</v>
      </c>
      <c r="N49" s="165">
        <f t="shared" si="8"/>
        <v>42</v>
      </c>
      <c r="O49" s="165">
        <f t="shared" si="9"/>
        <v>6182.8860000000004</v>
      </c>
    </row>
    <row r="50" spans="1:15">
      <c r="A50" s="1">
        <f t="shared" si="10"/>
        <v>35</v>
      </c>
      <c r="C50" s="1">
        <f t="shared" si="11"/>
        <v>35</v>
      </c>
      <c r="D50" s="1">
        <v>1035</v>
      </c>
      <c r="E50" s="1"/>
      <c r="F50" s="165">
        <v>151403.20000000001</v>
      </c>
      <c r="G50" s="165">
        <f t="shared" si="4"/>
        <v>132900</v>
      </c>
      <c r="H50" s="165">
        <f t="shared" si="5"/>
        <v>8239.7999999999993</v>
      </c>
      <c r="I50" s="165">
        <f t="shared" si="1"/>
        <v>151403.20000000001</v>
      </c>
      <c r="J50" s="165">
        <f t="shared" si="6"/>
        <v>2195.3464000000004</v>
      </c>
      <c r="K50" s="165">
        <f t="shared" si="2"/>
        <v>7000</v>
      </c>
      <c r="L50" s="165">
        <f t="shared" si="7"/>
        <v>42</v>
      </c>
      <c r="M50" s="165">
        <f t="shared" si="3"/>
        <v>10500</v>
      </c>
      <c r="N50" s="165">
        <f t="shared" si="8"/>
        <v>42</v>
      </c>
      <c r="O50" s="165">
        <f t="shared" si="9"/>
        <v>10519.1464</v>
      </c>
    </row>
    <row r="51" spans="1:15">
      <c r="A51" s="1">
        <f t="shared" si="10"/>
        <v>36</v>
      </c>
      <c r="C51" s="1">
        <f t="shared" si="11"/>
        <v>36</v>
      </c>
      <c r="D51" s="1">
        <v>1036</v>
      </c>
      <c r="E51" s="1"/>
      <c r="F51" s="165">
        <v>59477.919999999998</v>
      </c>
      <c r="G51" s="165">
        <f t="shared" si="4"/>
        <v>59477.919999999998</v>
      </c>
      <c r="H51" s="165">
        <f t="shared" si="5"/>
        <v>3687.6310399999998</v>
      </c>
      <c r="I51" s="165">
        <f t="shared" si="1"/>
        <v>59477.919999999998</v>
      </c>
      <c r="J51" s="165">
        <f t="shared" si="6"/>
        <v>862.42984000000001</v>
      </c>
      <c r="K51" s="165">
        <f t="shared" si="2"/>
        <v>7000</v>
      </c>
      <c r="L51" s="165">
        <f t="shared" si="7"/>
        <v>42</v>
      </c>
      <c r="M51" s="165">
        <f t="shared" si="3"/>
        <v>10500</v>
      </c>
      <c r="N51" s="165">
        <f t="shared" si="8"/>
        <v>42</v>
      </c>
      <c r="O51" s="165">
        <f t="shared" si="9"/>
        <v>4634.06088</v>
      </c>
    </row>
    <row r="52" spans="1:15">
      <c r="A52" s="1">
        <f t="shared" si="10"/>
        <v>37</v>
      </c>
      <c r="C52" s="1">
        <f t="shared" si="11"/>
        <v>37</v>
      </c>
      <c r="D52" s="1">
        <v>1037</v>
      </c>
      <c r="E52" s="1"/>
      <c r="F52" s="165">
        <v>91561.600000000006</v>
      </c>
      <c r="G52" s="165">
        <f t="shared" si="4"/>
        <v>91561.600000000006</v>
      </c>
      <c r="H52" s="165">
        <f t="shared" si="5"/>
        <v>5676.8191999999999</v>
      </c>
      <c r="I52" s="165">
        <f t="shared" si="1"/>
        <v>91561.600000000006</v>
      </c>
      <c r="J52" s="165">
        <f t="shared" si="6"/>
        <v>1327.6432000000002</v>
      </c>
      <c r="K52" s="165">
        <f t="shared" si="2"/>
        <v>7000</v>
      </c>
      <c r="L52" s="165">
        <f t="shared" si="7"/>
        <v>42</v>
      </c>
      <c r="M52" s="165">
        <f t="shared" si="3"/>
        <v>10500</v>
      </c>
      <c r="N52" s="165">
        <f t="shared" si="8"/>
        <v>42</v>
      </c>
      <c r="O52" s="165">
        <f t="shared" si="9"/>
        <v>7088.4624000000003</v>
      </c>
    </row>
    <row r="53" spans="1:15">
      <c r="A53" s="1">
        <f t="shared" si="10"/>
        <v>38</v>
      </c>
      <c r="C53" s="1">
        <f t="shared" si="11"/>
        <v>38</v>
      </c>
      <c r="D53" s="1">
        <v>1038</v>
      </c>
      <c r="E53" s="1"/>
      <c r="F53" s="165">
        <v>39625.729999999996</v>
      </c>
      <c r="G53" s="165">
        <f t="shared" si="4"/>
        <v>39625.729999999996</v>
      </c>
      <c r="H53" s="165">
        <f t="shared" si="5"/>
        <v>2456.7952599999999</v>
      </c>
      <c r="I53" s="165">
        <f t="shared" si="1"/>
        <v>39625.729999999996</v>
      </c>
      <c r="J53" s="165">
        <f t="shared" si="6"/>
        <v>574.57308499999999</v>
      </c>
      <c r="K53" s="165">
        <f t="shared" si="2"/>
        <v>7000</v>
      </c>
      <c r="L53" s="165">
        <f t="shared" si="7"/>
        <v>42</v>
      </c>
      <c r="M53" s="165">
        <f t="shared" si="3"/>
        <v>10500</v>
      </c>
      <c r="N53" s="165">
        <f t="shared" si="8"/>
        <v>42</v>
      </c>
      <c r="O53" s="165">
        <f t="shared" si="9"/>
        <v>3115.3683449999999</v>
      </c>
    </row>
    <row r="54" spans="1:15">
      <c r="A54" s="1">
        <f t="shared" si="10"/>
        <v>39</v>
      </c>
      <c r="C54" s="1">
        <f t="shared" si="11"/>
        <v>39</v>
      </c>
      <c r="D54" s="1">
        <v>1039</v>
      </c>
      <c r="E54" s="1"/>
      <c r="F54" s="165">
        <v>49427</v>
      </c>
      <c r="G54" s="165">
        <f t="shared" si="4"/>
        <v>49427</v>
      </c>
      <c r="H54" s="165">
        <f t="shared" si="5"/>
        <v>3064.4740000000002</v>
      </c>
      <c r="I54" s="165">
        <f t="shared" si="1"/>
        <v>49427</v>
      </c>
      <c r="J54" s="165">
        <f t="shared" si="6"/>
        <v>716.69150000000002</v>
      </c>
      <c r="K54" s="165">
        <f t="shared" si="2"/>
        <v>7000</v>
      </c>
      <c r="L54" s="165">
        <f t="shared" si="7"/>
        <v>42</v>
      </c>
      <c r="M54" s="165">
        <f t="shared" si="3"/>
        <v>10500</v>
      </c>
      <c r="N54" s="165">
        <f t="shared" si="8"/>
        <v>42</v>
      </c>
      <c r="O54" s="165">
        <f t="shared" si="9"/>
        <v>3865.1655000000001</v>
      </c>
    </row>
    <row r="55" spans="1:15">
      <c r="A55" s="1">
        <f t="shared" si="10"/>
        <v>40</v>
      </c>
      <c r="C55" s="1">
        <f t="shared" si="11"/>
        <v>40</v>
      </c>
      <c r="D55" s="1">
        <v>1040</v>
      </c>
      <c r="E55" s="1"/>
      <c r="F55" s="165">
        <v>88899.199999999997</v>
      </c>
      <c r="G55" s="165">
        <f t="shared" si="4"/>
        <v>88899.199999999997</v>
      </c>
      <c r="H55" s="165">
        <f t="shared" si="5"/>
        <v>5511.7503999999999</v>
      </c>
      <c r="I55" s="165">
        <f t="shared" si="1"/>
        <v>88899.199999999997</v>
      </c>
      <c r="J55" s="165">
        <f t="shared" si="6"/>
        <v>1289.0383999999999</v>
      </c>
      <c r="K55" s="165">
        <f t="shared" si="2"/>
        <v>7000</v>
      </c>
      <c r="L55" s="165">
        <f t="shared" si="7"/>
        <v>42</v>
      </c>
      <c r="M55" s="165">
        <f t="shared" si="3"/>
        <v>10500</v>
      </c>
      <c r="N55" s="165">
        <f t="shared" si="8"/>
        <v>42</v>
      </c>
      <c r="O55" s="165">
        <f t="shared" si="9"/>
        <v>6884.7888000000003</v>
      </c>
    </row>
    <row r="56" spans="1:15">
      <c r="A56" s="1">
        <f t="shared" si="10"/>
        <v>41</v>
      </c>
      <c r="C56" s="1">
        <f t="shared" si="11"/>
        <v>41</v>
      </c>
      <c r="D56" s="1">
        <v>1041</v>
      </c>
      <c r="E56" s="1"/>
      <c r="F56" s="165">
        <v>39912.495000000003</v>
      </c>
      <c r="G56" s="165">
        <f t="shared" si="4"/>
        <v>39912.495000000003</v>
      </c>
      <c r="H56" s="165">
        <f t="shared" si="5"/>
        <v>2474.5746899999999</v>
      </c>
      <c r="I56" s="165">
        <f t="shared" si="1"/>
        <v>39912.495000000003</v>
      </c>
      <c r="J56" s="165">
        <f t="shared" si="6"/>
        <v>578.73117750000006</v>
      </c>
      <c r="K56" s="165">
        <f t="shared" si="2"/>
        <v>7000</v>
      </c>
      <c r="L56" s="165">
        <f t="shared" si="7"/>
        <v>42</v>
      </c>
      <c r="M56" s="165">
        <f t="shared" si="3"/>
        <v>10500</v>
      </c>
      <c r="N56" s="165">
        <f t="shared" si="8"/>
        <v>42</v>
      </c>
      <c r="O56" s="165">
        <f t="shared" si="9"/>
        <v>3137.3058675000002</v>
      </c>
    </row>
    <row r="57" spans="1:15">
      <c r="A57" s="1">
        <f t="shared" si="10"/>
        <v>42</v>
      </c>
      <c r="C57" s="1">
        <f t="shared" si="11"/>
        <v>42</v>
      </c>
      <c r="D57" s="1">
        <v>1042</v>
      </c>
      <c r="E57" s="1"/>
      <c r="F57" s="165">
        <v>46773.5625</v>
      </c>
      <c r="G57" s="165">
        <f t="shared" si="4"/>
        <v>46773.5625</v>
      </c>
      <c r="H57" s="165">
        <f t="shared" si="5"/>
        <v>2899.9608749999998</v>
      </c>
      <c r="I57" s="165">
        <f t="shared" si="1"/>
        <v>46773.5625</v>
      </c>
      <c r="J57" s="165">
        <f t="shared" si="6"/>
        <v>678.21665625000003</v>
      </c>
      <c r="K57" s="165">
        <f t="shared" si="2"/>
        <v>7000</v>
      </c>
      <c r="L57" s="165">
        <f t="shared" si="7"/>
        <v>42</v>
      </c>
      <c r="M57" s="165">
        <f t="shared" si="3"/>
        <v>10500</v>
      </c>
      <c r="N57" s="165">
        <f t="shared" si="8"/>
        <v>42</v>
      </c>
      <c r="O57" s="165">
        <f t="shared" si="9"/>
        <v>3662.1775312499999</v>
      </c>
    </row>
    <row r="58" spans="1:15">
      <c r="A58" s="1">
        <f t="shared" si="10"/>
        <v>43</v>
      </c>
      <c r="C58" s="1">
        <f t="shared" si="11"/>
        <v>43</v>
      </c>
      <c r="D58" s="1">
        <v>1043</v>
      </c>
      <c r="E58" s="1"/>
      <c r="F58" s="165">
        <v>33820</v>
      </c>
      <c r="G58" s="165">
        <f t="shared" si="4"/>
        <v>33820</v>
      </c>
      <c r="H58" s="165">
        <f t="shared" si="5"/>
        <v>2096.84</v>
      </c>
      <c r="I58" s="165">
        <f t="shared" si="1"/>
        <v>33820</v>
      </c>
      <c r="J58" s="165">
        <f t="shared" si="6"/>
        <v>490.39000000000004</v>
      </c>
      <c r="K58" s="165">
        <f t="shared" si="2"/>
        <v>7000</v>
      </c>
      <c r="L58" s="165">
        <f t="shared" si="7"/>
        <v>42</v>
      </c>
      <c r="M58" s="165">
        <f t="shared" si="3"/>
        <v>10500</v>
      </c>
      <c r="N58" s="165">
        <f t="shared" si="8"/>
        <v>42</v>
      </c>
      <c r="O58" s="165">
        <f t="shared" si="9"/>
        <v>2671.23</v>
      </c>
    </row>
    <row r="59" spans="1:15">
      <c r="A59" s="1">
        <f t="shared" si="10"/>
        <v>44</v>
      </c>
      <c r="C59" s="1">
        <f t="shared" si="11"/>
        <v>44</v>
      </c>
      <c r="D59" s="230" t="s">
        <v>14</v>
      </c>
      <c r="E59" s="257"/>
      <c r="F59" s="258">
        <f>SUM(F16:F58)</f>
        <v>3273047.0025000004</v>
      </c>
      <c r="G59" s="258">
        <f>SUM(G16:G58)</f>
        <v>3254543.8025000002</v>
      </c>
      <c r="H59" s="258">
        <f>SUM(H16:H58)</f>
        <v>201781.71575500001</v>
      </c>
      <c r="I59" s="258">
        <f>SUM(I16:I58)</f>
        <v>3273047.0025000004</v>
      </c>
      <c r="J59" s="258">
        <f>SUM(J16:J58)</f>
        <v>47459.181536250006</v>
      </c>
      <c r="K59" s="258">
        <f>SUM(K16:K58)</f>
        <v>287000</v>
      </c>
      <c r="L59" s="258">
        <f>SUM(L16:L58)</f>
        <v>1722</v>
      </c>
      <c r="M59" s="258">
        <f>SUM(M16:M58)</f>
        <v>430500</v>
      </c>
      <c r="N59" s="258">
        <f>SUM(N16:N58)</f>
        <v>1722</v>
      </c>
      <c r="O59" s="258">
        <f>SUM(O16:O58)</f>
        <v>252684.89729125</v>
      </c>
    </row>
    <row r="60" spans="1:15">
      <c r="A60" s="1">
        <f t="shared" si="10"/>
        <v>45</v>
      </c>
      <c r="C60" s="211"/>
      <c r="D60" s="211"/>
      <c r="E60" s="259"/>
      <c r="F60" s="260"/>
    </row>
    <row r="61" spans="1:15">
      <c r="A61" s="1">
        <f t="shared" si="10"/>
        <v>46</v>
      </c>
      <c r="C61" s="21" t="s">
        <v>37</v>
      </c>
      <c r="E61" s="259"/>
      <c r="F61" s="260"/>
      <c r="H61" s="23">
        <v>163846.74</v>
      </c>
      <c r="J61" s="23">
        <v>38318.980000000003</v>
      </c>
      <c r="K61" s="23"/>
      <c r="L61" s="23">
        <v>1856.99</v>
      </c>
      <c r="M61" s="23"/>
      <c r="N61" s="23">
        <v>1840</v>
      </c>
      <c r="O61" s="23">
        <f>H61+J61+L61+N61</f>
        <v>205862.71</v>
      </c>
    </row>
    <row r="62" spans="1:15">
      <c r="A62" s="1">
        <f t="shared" si="10"/>
        <v>47</v>
      </c>
      <c r="C62" s="211"/>
      <c r="D62" s="211"/>
      <c r="E62" s="259"/>
      <c r="F62" s="260"/>
      <c r="H62" s="165"/>
      <c r="J62" s="165"/>
      <c r="K62" s="165"/>
      <c r="L62" s="23"/>
      <c r="M62" s="23"/>
      <c r="N62" s="23"/>
      <c r="O62" s="165"/>
    </row>
    <row r="63" spans="1:15">
      <c r="A63" s="1">
        <f t="shared" si="10"/>
        <v>48</v>
      </c>
      <c r="C63" s="21" t="s">
        <v>167</v>
      </c>
      <c r="D63" s="211"/>
      <c r="E63" s="211"/>
      <c r="F63" s="210"/>
      <c r="H63" s="89">
        <f>H59</f>
        <v>201781.71575500001</v>
      </c>
      <c r="I63" s="261"/>
      <c r="J63" s="89">
        <f>J59</f>
        <v>47459.181536250006</v>
      </c>
      <c r="K63" s="116"/>
      <c r="L63" s="116">
        <f>L59</f>
        <v>1722</v>
      </c>
      <c r="M63" s="116"/>
      <c r="N63" s="116">
        <f>N59</f>
        <v>1722</v>
      </c>
      <c r="O63" s="165">
        <f>H63+J63+L63+N63</f>
        <v>252684.89729125</v>
      </c>
    </row>
    <row r="64" spans="1:15">
      <c r="A64" s="1">
        <f t="shared" si="10"/>
        <v>49</v>
      </c>
      <c r="C64" s="211"/>
      <c r="D64" s="211"/>
      <c r="E64" s="211"/>
      <c r="F64" s="210"/>
    </row>
    <row r="65" spans="1:15" ht="13.8" thickBot="1">
      <c r="A65" s="1">
        <f t="shared" si="10"/>
        <v>50</v>
      </c>
      <c r="C65" s="215" t="s">
        <v>369</v>
      </c>
      <c r="D65" s="262"/>
      <c r="E65" s="216"/>
      <c r="F65" s="216"/>
      <c r="G65" s="216"/>
      <c r="H65" s="263">
        <f>H63-H61</f>
        <v>37934.975755000021</v>
      </c>
      <c r="I65" s="216"/>
      <c r="J65" s="263">
        <f>J63-J61</f>
        <v>9140.2015362500024</v>
      </c>
      <c r="K65" s="216"/>
      <c r="L65" s="263">
        <f>L63-L61</f>
        <v>-134.99</v>
      </c>
      <c r="M65" s="216"/>
      <c r="N65" s="263">
        <f>N63-N61</f>
        <v>-118</v>
      </c>
      <c r="O65" s="263">
        <f>O63-O61</f>
        <v>46822.187291250011</v>
      </c>
    </row>
    <row r="66" spans="1:15" ht="13.8" thickTop="1">
      <c r="C66" s="1"/>
      <c r="D66" s="1"/>
      <c r="E66" s="1"/>
    </row>
    <row r="67" spans="1:15">
      <c r="C67" s="1"/>
      <c r="D67" s="185" t="s">
        <v>350</v>
      </c>
      <c r="F67" s="138" t="s">
        <v>370</v>
      </c>
      <c r="G67" s="2" t="s">
        <v>371</v>
      </c>
      <c r="I67" s="138" t="s">
        <v>372</v>
      </c>
      <c r="J67" s="2" t="s">
        <v>373</v>
      </c>
      <c r="N67" s="138"/>
    </row>
    <row r="68" spans="1:15">
      <c r="C68" s="1"/>
      <c r="D68" s="1"/>
      <c r="E68" s="1"/>
    </row>
    <row r="69" spans="1:15" ht="23.25" customHeight="1">
      <c r="C69" s="284" t="s">
        <v>374</v>
      </c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</row>
    <row r="70" spans="1:15">
      <c r="C70" s="84" t="s">
        <v>375</v>
      </c>
      <c r="D70" s="1"/>
      <c r="E70" s="1"/>
      <c r="G70" s="138"/>
      <c r="H70" s="220" t="s">
        <v>139</v>
      </c>
      <c r="I70" s="171" t="s">
        <v>15</v>
      </c>
    </row>
    <row r="71" spans="1:15">
      <c r="D71" s="1"/>
      <c r="E71" s="1"/>
    </row>
    <row r="72" spans="1:15">
      <c r="A72" s="1">
        <f>A65+1</f>
        <v>51</v>
      </c>
      <c r="C72" s="2" t="s">
        <v>130</v>
      </c>
      <c r="D72" s="132"/>
      <c r="E72" s="132" t="s">
        <v>131</v>
      </c>
      <c r="G72" s="165"/>
      <c r="H72" s="134">
        <f>'1.12 Wages'!M64</f>
        <v>0.20749800936500704</v>
      </c>
      <c r="I72" s="165">
        <f>H72*$O$65</f>
        <v>9715.5106570499083</v>
      </c>
    </row>
    <row r="73" spans="1:15">
      <c r="A73" s="1">
        <f>A72+1</f>
        <v>52</v>
      </c>
      <c r="C73" s="2" t="s">
        <v>132</v>
      </c>
      <c r="D73" s="132"/>
      <c r="E73" s="132" t="s">
        <v>133</v>
      </c>
      <c r="G73" s="165"/>
      <c r="H73" s="134">
        <f>'1.12 Wages'!M65</f>
        <v>0.19006078688048603</v>
      </c>
      <c r="I73" s="165">
        <f t="shared" ref="I73:I76" si="12">H73*$O$65</f>
        <v>8899.0617600404694</v>
      </c>
    </row>
    <row r="74" spans="1:15">
      <c r="A74" s="1">
        <f t="shared" ref="A74:A82" si="13">A73+1</f>
        <v>53</v>
      </c>
      <c r="C74" s="2" t="s">
        <v>134</v>
      </c>
      <c r="D74" s="132"/>
      <c r="E74" s="132" t="s">
        <v>111</v>
      </c>
      <c r="G74" s="165"/>
      <c r="H74" s="134">
        <f>'1.12 Wages'!M66</f>
        <v>5.1385669601327802E-2</v>
      </c>
      <c r="I74" s="165">
        <f t="shared" si="12"/>
        <v>2405.9894461596627</v>
      </c>
    </row>
    <row r="75" spans="1:15">
      <c r="A75" s="1">
        <f t="shared" si="13"/>
        <v>54</v>
      </c>
      <c r="C75" s="2" t="s">
        <v>354</v>
      </c>
      <c r="D75" s="132"/>
      <c r="E75" s="132" t="s">
        <v>83</v>
      </c>
      <c r="G75" s="165"/>
      <c r="H75" s="134">
        <f>'1.12 Wages'!M67</f>
        <v>5.9147401429301581E-3</v>
      </c>
      <c r="I75" s="165">
        <f t="shared" si="12"/>
        <v>276.94107075135071</v>
      </c>
    </row>
    <row r="76" spans="1:15">
      <c r="A76" s="1">
        <f t="shared" si="13"/>
        <v>55</v>
      </c>
      <c r="C76" s="2" t="s">
        <v>135</v>
      </c>
      <c r="D76" s="132"/>
      <c r="E76" s="132" t="s">
        <v>129</v>
      </c>
      <c r="G76" s="165"/>
      <c r="H76" s="134">
        <f>'1.12 Wages'!M68</f>
        <v>0.16425386494501754</v>
      </c>
      <c r="I76" s="165">
        <f t="shared" si="12"/>
        <v>7690.725227767296</v>
      </c>
    </row>
    <row r="77" spans="1:15">
      <c r="A77" s="1">
        <f t="shared" si="13"/>
        <v>56</v>
      </c>
      <c r="C77" s="222" t="s">
        <v>355</v>
      </c>
      <c r="D77" s="32"/>
      <c r="E77" s="32"/>
      <c r="F77" s="32"/>
      <c r="G77" s="115"/>
      <c r="H77" s="264">
        <f>SUM(H72:H76)</f>
        <v>0.61911307093476853</v>
      </c>
      <c r="I77" s="265">
        <f>SUM(I72:I76)</f>
        <v>28988.228161768689</v>
      </c>
      <c r="K77" s="84"/>
    </row>
    <row r="78" spans="1:15">
      <c r="A78" s="1">
        <f t="shared" si="13"/>
        <v>57</v>
      </c>
      <c r="D78" s="1"/>
      <c r="E78" s="1"/>
      <c r="G78" s="165"/>
      <c r="H78" s="134"/>
      <c r="I78" s="165"/>
    </row>
    <row r="79" spans="1:15">
      <c r="A79" s="1">
        <f t="shared" si="13"/>
        <v>58</v>
      </c>
      <c r="C79" s="1" t="s">
        <v>409</v>
      </c>
      <c r="D79" s="132"/>
      <c r="E79" s="132" t="s">
        <v>245</v>
      </c>
      <c r="G79" s="165"/>
      <c r="H79" s="134">
        <f>'1.12 Wages'!M71</f>
        <v>0.38088692906523142</v>
      </c>
      <c r="I79" s="165">
        <f>H79*$O$65</f>
        <v>17833.959129481322</v>
      </c>
    </row>
    <row r="80" spans="1:15">
      <c r="A80" s="1">
        <f t="shared" si="13"/>
        <v>59</v>
      </c>
      <c r="C80" s="32"/>
      <c r="D80" s="32"/>
      <c r="E80" s="32" t="s">
        <v>22</v>
      </c>
      <c r="F80" s="32"/>
      <c r="G80" s="115"/>
      <c r="H80" s="264">
        <f>SUM(H79:H79)</f>
        <v>0.38088692906523142</v>
      </c>
      <c r="I80" s="115">
        <f>SUM(I79:I79)</f>
        <v>17833.959129481322</v>
      </c>
    </row>
    <row r="81" spans="1:9">
      <c r="A81" s="1">
        <f t="shared" si="13"/>
        <v>60</v>
      </c>
      <c r="D81" s="1"/>
      <c r="E81" s="1"/>
      <c r="G81" s="165"/>
      <c r="H81" s="134"/>
      <c r="I81" s="165"/>
    </row>
    <row r="82" spans="1:9" ht="13.8" thickBot="1">
      <c r="A82" s="1">
        <f t="shared" si="13"/>
        <v>61</v>
      </c>
      <c r="C82" s="3"/>
      <c r="D82" s="3"/>
      <c r="E82" s="33" t="s">
        <v>45</v>
      </c>
      <c r="F82" s="3"/>
      <c r="G82" s="266"/>
      <c r="H82" s="267">
        <v>1</v>
      </c>
      <c r="I82" s="266">
        <f>I77+I80</f>
        <v>46822.187291250011</v>
      </c>
    </row>
    <row r="83" spans="1:9" ht="13.8" thickTop="1"/>
  </sheetData>
  <mergeCells count="9">
    <mergeCell ref="C69:N69"/>
    <mergeCell ref="A3:O3"/>
    <mergeCell ref="A4:O4"/>
    <mergeCell ref="A6:O6"/>
    <mergeCell ref="C8:F8"/>
    <mergeCell ref="G8:H8"/>
    <mergeCell ref="I8:J8"/>
    <mergeCell ref="K8:L8"/>
    <mergeCell ref="M8:N8"/>
  </mergeCells>
  <printOptions horizontalCentered="1"/>
  <pageMargins left="0.25" right="0.25" top="0.75" bottom="0.5" header="0.5" footer="0.5"/>
  <pageSetup scale="58" orientation="portrait" r:id="rId1"/>
  <headerFooter alignWithMargins="0">
    <oddFooter>&amp;RRevised Exhibit JW-2
Page &amp;P of &amp;N</oddFooter>
  </headerFooter>
  <rowBreaks count="1" manualBreakCount="1">
    <brk id="68" max="14" man="1"/>
  </rowBreaks>
  <ignoredErrors>
    <ignoredError sqref="I26:M46 I47:M58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E6B6C-B18A-43CB-B1DA-6FC18FF7BD87}">
  <sheetPr>
    <pageSetUpPr fitToPage="1"/>
  </sheetPr>
  <dimension ref="A1:J61"/>
  <sheetViews>
    <sheetView tabSelected="1" view="pageBreakPreview" zoomScaleNormal="75" zoomScaleSheetLayoutView="100" workbookViewId="0">
      <selection activeCell="I61" sqref="I61"/>
    </sheetView>
  </sheetViews>
  <sheetFormatPr defaultColWidth="9.109375" defaultRowHeight="13.2"/>
  <cols>
    <col min="1" max="1" width="5.88671875" style="1" customWidth="1"/>
    <col min="2" max="2" width="2.33203125" style="2" customWidth="1"/>
    <col min="3" max="3" width="10.44140625" style="1" bestFit="1" customWidth="1"/>
    <col min="4" max="4" width="8.33203125" style="1" customWidth="1"/>
    <col min="5" max="5" width="26.33203125" style="2" bestFit="1" customWidth="1"/>
    <col min="6" max="6" width="11.88671875" style="2" customWidth="1"/>
    <col min="7" max="7" width="1.5546875" style="2" customWidth="1"/>
    <col min="8" max="8" width="24.33203125" style="2" bestFit="1" customWidth="1"/>
    <col min="9" max="9" width="11.109375" style="2" customWidth="1"/>
    <col min="10" max="10" width="9.6640625" style="7" customWidth="1"/>
    <col min="11" max="20" width="9.109375" style="8"/>
    <col min="21" max="21" width="11.33203125" style="8" bestFit="1" customWidth="1"/>
    <col min="22" max="16384" width="9.109375" style="8"/>
  </cols>
  <sheetData>
    <row r="1" spans="1:10">
      <c r="D1" s="278"/>
      <c r="H1" s="138"/>
      <c r="I1" s="129" t="s">
        <v>394</v>
      </c>
      <c r="J1" s="5"/>
    </row>
    <row r="2" spans="1:10" ht="20.25" customHeight="1">
      <c r="D2" s="278"/>
      <c r="F2" s="129"/>
      <c r="G2" s="129"/>
    </row>
    <row r="3" spans="1:10">
      <c r="A3" s="281" t="s">
        <v>334</v>
      </c>
      <c r="B3" s="281"/>
      <c r="C3" s="281"/>
      <c r="D3" s="281"/>
      <c r="E3" s="281"/>
      <c r="F3" s="281"/>
      <c r="G3" s="281"/>
      <c r="H3" s="281"/>
      <c r="I3" s="281"/>
      <c r="J3" s="281"/>
    </row>
    <row r="4" spans="1:10">
      <c r="A4" s="281" t="s">
        <v>230</v>
      </c>
      <c r="B4" s="281"/>
      <c r="C4" s="281"/>
      <c r="D4" s="281"/>
      <c r="E4" s="281"/>
      <c r="F4" s="281"/>
      <c r="G4" s="281"/>
      <c r="H4" s="281"/>
      <c r="I4" s="281"/>
      <c r="J4" s="281"/>
    </row>
    <row r="6" spans="1:10" s="6" customFormat="1" ht="15" customHeight="1">
      <c r="A6" s="298" t="s">
        <v>376</v>
      </c>
      <c r="B6" s="298"/>
      <c r="C6" s="298"/>
      <c r="D6" s="298"/>
      <c r="E6" s="298"/>
      <c r="F6" s="298"/>
      <c r="G6" s="298"/>
      <c r="H6" s="298"/>
      <c r="I6" s="298"/>
      <c r="J6" s="298"/>
    </row>
    <row r="7" spans="1:10">
      <c r="I7" s="1" t="s">
        <v>377</v>
      </c>
    </row>
    <row r="8" spans="1:10">
      <c r="A8" s="1" t="s">
        <v>0</v>
      </c>
      <c r="C8" s="1" t="s">
        <v>378</v>
      </c>
      <c r="D8" s="1" t="s">
        <v>120</v>
      </c>
      <c r="E8" s="1" t="s">
        <v>41</v>
      </c>
      <c r="F8" s="1" t="s">
        <v>379</v>
      </c>
      <c r="G8" s="1"/>
      <c r="H8" s="1" t="s">
        <v>1</v>
      </c>
      <c r="I8" s="1" t="s">
        <v>380</v>
      </c>
      <c r="J8" s="6"/>
    </row>
    <row r="9" spans="1:10">
      <c r="A9" s="27" t="s">
        <v>21</v>
      </c>
      <c r="C9" s="131" t="s">
        <v>18</v>
      </c>
      <c r="D9" s="131" t="s">
        <v>20</v>
      </c>
      <c r="E9" s="131" t="s">
        <v>19</v>
      </c>
      <c r="F9" s="131" t="s">
        <v>25</v>
      </c>
      <c r="G9" s="131"/>
      <c r="H9" s="131" t="s">
        <v>51</v>
      </c>
      <c r="I9" s="131" t="s">
        <v>52</v>
      </c>
      <c r="J9" s="8"/>
    </row>
    <row r="10" spans="1:10">
      <c r="I10" s="94"/>
      <c r="J10" s="6"/>
    </row>
    <row r="11" spans="1:10">
      <c r="A11" s="1">
        <f t="shared" ref="A11:A56" si="0">A10+1</f>
        <v>1</v>
      </c>
      <c r="C11" s="317">
        <v>44929</v>
      </c>
      <c r="D11" s="318">
        <v>8142992</v>
      </c>
      <c r="E11" s="319" t="s">
        <v>381</v>
      </c>
      <c r="F11" s="320">
        <v>1.08</v>
      </c>
      <c r="G11" s="320"/>
      <c r="H11" s="319" t="s">
        <v>382</v>
      </c>
      <c r="I11" s="87">
        <v>0</v>
      </c>
      <c r="J11" s="8"/>
    </row>
    <row r="12" spans="1:10">
      <c r="A12" s="1">
        <f t="shared" si="0"/>
        <v>2</v>
      </c>
      <c r="C12" s="317">
        <v>44929</v>
      </c>
      <c r="D12" s="1">
        <v>8143004</v>
      </c>
      <c r="E12" s="319" t="s">
        <v>398</v>
      </c>
      <c r="F12" s="320">
        <v>350</v>
      </c>
      <c r="G12" s="320"/>
      <c r="H12" s="319" t="s">
        <v>383</v>
      </c>
      <c r="I12" s="87">
        <v>0</v>
      </c>
      <c r="J12" s="8"/>
    </row>
    <row r="13" spans="1:10">
      <c r="A13" s="1">
        <f t="shared" si="0"/>
        <v>3</v>
      </c>
      <c r="C13" s="317">
        <v>44957</v>
      </c>
      <c r="D13" s="1">
        <v>8142383</v>
      </c>
      <c r="E13" s="319" t="s">
        <v>388</v>
      </c>
      <c r="F13" s="320">
        <v>1800</v>
      </c>
      <c r="G13" s="320"/>
      <c r="H13" s="319" t="s">
        <v>387</v>
      </c>
      <c r="I13" s="87">
        <v>0</v>
      </c>
      <c r="J13" s="8"/>
    </row>
    <row r="14" spans="1:10">
      <c r="A14" s="1">
        <f t="shared" si="0"/>
        <v>4</v>
      </c>
      <c r="C14" s="317">
        <v>44958</v>
      </c>
      <c r="D14" s="318">
        <v>8143220</v>
      </c>
      <c r="E14" s="319" t="s">
        <v>398</v>
      </c>
      <c r="F14" s="320">
        <v>350</v>
      </c>
      <c r="G14" s="320"/>
      <c r="H14" s="319" t="s">
        <v>383</v>
      </c>
      <c r="I14" s="87"/>
      <c r="J14" s="8"/>
    </row>
    <row r="15" spans="1:10">
      <c r="A15" s="1">
        <f t="shared" si="0"/>
        <v>5</v>
      </c>
      <c r="C15" s="317">
        <v>44958</v>
      </c>
      <c r="D15" s="1">
        <v>8143229</v>
      </c>
      <c r="E15" s="319" t="s">
        <v>381</v>
      </c>
      <c r="F15" s="320">
        <v>1.08</v>
      </c>
      <c r="G15" s="320"/>
      <c r="H15" s="319" t="s">
        <v>382</v>
      </c>
      <c r="I15" s="87">
        <v>0</v>
      </c>
      <c r="J15" s="8"/>
    </row>
    <row r="16" spans="1:10">
      <c r="A16" s="1">
        <f t="shared" si="0"/>
        <v>6</v>
      </c>
      <c r="C16" s="317">
        <v>44986</v>
      </c>
      <c r="D16" s="318">
        <v>8143409</v>
      </c>
      <c r="E16" s="319" t="s">
        <v>398</v>
      </c>
      <c r="F16" s="320">
        <v>350</v>
      </c>
      <c r="G16" s="320"/>
      <c r="H16" s="319" t="s">
        <v>383</v>
      </c>
      <c r="I16" s="87">
        <v>0</v>
      </c>
      <c r="J16" s="8"/>
    </row>
    <row r="17" spans="1:10">
      <c r="A17" s="1">
        <f t="shared" si="0"/>
        <v>7</v>
      </c>
      <c r="C17" s="317">
        <v>44986</v>
      </c>
      <c r="D17" s="1">
        <v>8143419</v>
      </c>
      <c r="E17" s="319" t="s">
        <v>381</v>
      </c>
      <c r="F17" s="320">
        <v>1.08</v>
      </c>
      <c r="G17" s="320"/>
      <c r="H17" s="319" t="s">
        <v>382</v>
      </c>
      <c r="I17" s="87">
        <v>0</v>
      </c>
      <c r="J17" s="8"/>
    </row>
    <row r="18" spans="1:10">
      <c r="A18" s="1">
        <f t="shared" si="0"/>
        <v>8</v>
      </c>
      <c r="C18" s="317">
        <v>45019</v>
      </c>
      <c r="D18" s="318">
        <v>8143649</v>
      </c>
      <c r="E18" s="319" t="s">
        <v>381</v>
      </c>
      <c r="F18" s="320">
        <v>1.08</v>
      </c>
      <c r="G18" s="320"/>
      <c r="H18" s="319" t="s">
        <v>382</v>
      </c>
      <c r="I18" s="87">
        <v>0</v>
      </c>
      <c r="J18" s="8"/>
    </row>
    <row r="19" spans="1:10">
      <c r="A19" s="1">
        <f t="shared" si="0"/>
        <v>9</v>
      </c>
      <c r="C19" s="317">
        <v>45019</v>
      </c>
      <c r="D19" s="318">
        <v>8143660</v>
      </c>
      <c r="E19" s="319" t="s">
        <v>398</v>
      </c>
      <c r="F19" s="320">
        <v>350</v>
      </c>
      <c r="G19" s="320"/>
      <c r="H19" s="319" t="s">
        <v>383</v>
      </c>
      <c r="I19" s="87">
        <v>0</v>
      </c>
      <c r="J19" s="8"/>
    </row>
    <row r="20" spans="1:10">
      <c r="A20" s="1">
        <f t="shared" si="0"/>
        <v>10</v>
      </c>
      <c r="C20" s="317">
        <v>45047</v>
      </c>
      <c r="D20" s="318">
        <v>8143943</v>
      </c>
      <c r="E20" s="319" t="s">
        <v>398</v>
      </c>
      <c r="F20" s="320">
        <v>350</v>
      </c>
      <c r="G20" s="320"/>
      <c r="H20" s="319" t="s">
        <v>383</v>
      </c>
      <c r="I20" s="87">
        <v>0</v>
      </c>
      <c r="J20" s="8"/>
    </row>
    <row r="21" spans="1:10">
      <c r="A21" s="1">
        <f t="shared" si="0"/>
        <v>11</v>
      </c>
      <c r="C21" s="317">
        <v>45047</v>
      </c>
      <c r="D21" s="318">
        <v>8143975</v>
      </c>
      <c r="E21" s="319" t="s">
        <v>381</v>
      </c>
      <c r="F21" s="320">
        <v>1.08</v>
      </c>
      <c r="G21" s="320"/>
      <c r="H21" s="319" t="s">
        <v>382</v>
      </c>
      <c r="I21" s="87">
        <v>0</v>
      </c>
      <c r="J21" s="8"/>
    </row>
    <row r="22" spans="1:10">
      <c r="A22" s="1">
        <f t="shared" si="0"/>
        <v>12</v>
      </c>
      <c r="C22" s="317">
        <v>45078</v>
      </c>
      <c r="D22" s="1">
        <v>8144162</v>
      </c>
      <c r="E22" s="319" t="s">
        <v>398</v>
      </c>
      <c r="F22" s="320">
        <v>350</v>
      </c>
      <c r="G22" s="320"/>
      <c r="H22" s="319" t="s">
        <v>383</v>
      </c>
      <c r="I22" s="87">
        <v>0</v>
      </c>
      <c r="J22" s="8"/>
    </row>
    <row r="23" spans="1:10">
      <c r="A23" s="1">
        <f t="shared" si="0"/>
        <v>13</v>
      </c>
      <c r="C23" s="317">
        <v>45078</v>
      </c>
      <c r="D23" s="318">
        <v>8144173</v>
      </c>
      <c r="E23" s="319" t="s">
        <v>381</v>
      </c>
      <c r="F23" s="320">
        <v>1.08</v>
      </c>
      <c r="G23" s="320"/>
      <c r="H23" s="319" t="s">
        <v>382</v>
      </c>
      <c r="I23" s="87">
        <v>0</v>
      </c>
      <c r="J23" s="8"/>
    </row>
    <row r="24" spans="1:10">
      <c r="A24" s="1">
        <f t="shared" si="0"/>
        <v>14</v>
      </c>
      <c r="C24" s="317">
        <v>45107</v>
      </c>
      <c r="D24" s="318">
        <v>8144431</v>
      </c>
      <c r="E24" s="319" t="s">
        <v>388</v>
      </c>
      <c r="F24" s="320">
        <v>14750</v>
      </c>
      <c r="G24" s="320"/>
      <c r="H24" s="319" t="s">
        <v>384</v>
      </c>
      <c r="I24" s="87">
        <f>F24</f>
        <v>14750</v>
      </c>
      <c r="J24" s="8"/>
    </row>
    <row r="25" spans="1:10">
      <c r="A25" s="1">
        <f t="shared" si="0"/>
        <v>15</v>
      </c>
      <c r="C25" s="317">
        <v>45107</v>
      </c>
      <c r="D25" s="318">
        <v>8144431</v>
      </c>
      <c r="E25" s="319" t="s">
        <v>388</v>
      </c>
      <c r="F25" s="320">
        <v>1850</v>
      </c>
      <c r="G25" s="320"/>
      <c r="H25" s="319" t="s">
        <v>387</v>
      </c>
      <c r="I25" s="87">
        <v>0</v>
      </c>
      <c r="J25" s="8"/>
    </row>
    <row r="26" spans="1:10">
      <c r="A26" s="1">
        <f t="shared" si="0"/>
        <v>16</v>
      </c>
      <c r="C26" s="317">
        <v>45107</v>
      </c>
      <c r="D26" s="318">
        <v>8144431</v>
      </c>
      <c r="E26" s="319" t="s">
        <v>388</v>
      </c>
      <c r="F26" s="320">
        <v>3000</v>
      </c>
      <c r="G26" s="320"/>
      <c r="H26" s="319" t="s">
        <v>399</v>
      </c>
      <c r="I26" s="87">
        <v>0</v>
      </c>
      <c r="J26" s="8"/>
    </row>
    <row r="27" spans="1:10">
      <c r="A27" s="1">
        <f t="shared" si="0"/>
        <v>17</v>
      </c>
      <c r="C27" s="317">
        <v>45110</v>
      </c>
      <c r="D27" s="318">
        <v>8144412</v>
      </c>
      <c r="E27" s="319" t="s">
        <v>398</v>
      </c>
      <c r="F27" s="320">
        <v>350</v>
      </c>
      <c r="G27" s="320"/>
      <c r="H27" s="319" t="s">
        <v>383</v>
      </c>
      <c r="I27" s="87">
        <v>0</v>
      </c>
      <c r="J27" s="8"/>
    </row>
    <row r="28" spans="1:10">
      <c r="A28" s="1">
        <f t="shared" si="0"/>
        <v>18</v>
      </c>
      <c r="C28" s="317">
        <v>45110</v>
      </c>
      <c r="D28" s="318">
        <v>8144423</v>
      </c>
      <c r="E28" s="319" t="s">
        <v>381</v>
      </c>
      <c r="F28" s="320">
        <v>1.08</v>
      </c>
      <c r="G28" s="320"/>
      <c r="H28" s="319" t="s">
        <v>382</v>
      </c>
      <c r="I28" s="87">
        <v>0</v>
      </c>
      <c r="J28" s="8"/>
    </row>
    <row r="29" spans="1:10">
      <c r="A29" s="1">
        <f t="shared" si="0"/>
        <v>19</v>
      </c>
      <c r="C29" s="317">
        <v>45138</v>
      </c>
      <c r="D29" s="1">
        <v>8144674</v>
      </c>
      <c r="E29" s="319" t="s">
        <v>388</v>
      </c>
      <c r="F29" s="320">
        <v>7000</v>
      </c>
      <c r="G29" s="320"/>
      <c r="H29" s="319" t="s">
        <v>400</v>
      </c>
      <c r="I29" s="87">
        <f>F29</f>
        <v>7000</v>
      </c>
      <c r="J29" s="8"/>
    </row>
    <row r="30" spans="1:10">
      <c r="A30" s="1">
        <f t="shared" si="0"/>
        <v>20</v>
      </c>
      <c r="C30" s="317">
        <v>45139</v>
      </c>
      <c r="D30" s="318">
        <v>8144586</v>
      </c>
      <c r="E30" s="319" t="s">
        <v>398</v>
      </c>
      <c r="F30" s="320">
        <v>350</v>
      </c>
      <c r="G30" s="320"/>
      <c r="H30" s="319" t="s">
        <v>383</v>
      </c>
      <c r="I30" s="87">
        <v>0</v>
      </c>
      <c r="J30" s="8"/>
    </row>
    <row r="31" spans="1:10">
      <c r="A31" s="1">
        <f t="shared" si="0"/>
        <v>21</v>
      </c>
      <c r="C31" s="317">
        <v>45139</v>
      </c>
      <c r="D31" s="1">
        <v>8144598</v>
      </c>
      <c r="E31" s="319" t="s">
        <v>381</v>
      </c>
      <c r="F31" s="320">
        <v>1.08</v>
      </c>
      <c r="G31" s="320"/>
      <c r="H31" s="319" t="s">
        <v>382</v>
      </c>
      <c r="I31" s="87">
        <v>0</v>
      </c>
      <c r="J31" s="8"/>
    </row>
    <row r="32" spans="1:10">
      <c r="A32" s="1">
        <f t="shared" si="0"/>
        <v>22</v>
      </c>
      <c r="C32" s="317">
        <v>45170</v>
      </c>
      <c r="D32" s="318">
        <v>8144818</v>
      </c>
      <c r="E32" s="319" t="s">
        <v>398</v>
      </c>
      <c r="F32" s="320">
        <v>350</v>
      </c>
      <c r="G32" s="320"/>
      <c r="H32" s="319" t="s">
        <v>383</v>
      </c>
      <c r="I32" s="87">
        <v>0</v>
      </c>
      <c r="J32" s="8"/>
    </row>
    <row r="33" spans="1:10">
      <c r="A33" s="1">
        <f t="shared" si="0"/>
        <v>23</v>
      </c>
      <c r="C33" s="317">
        <v>45170</v>
      </c>
      <c r="D33" s="1">
        <v>8144828</v>
      </c>
      <c r="E33" s="319" t="s">
        <v>381</v>
      </c>
      <c r="F33" s="320">
        <v>1.08</v>
      </c>
      <c r="G33" s="320"/>
      <c r="H33" s="319" t="s">
        <v>382</v>
      </c>
      <c r="I33" s="87">
        <v>0</v>
      </c>
      <c r="J33" s="8"/>
    </row>
    <row r="34" spans="1:10">
      <c r="A34" s="1">
        <f t="shared" si="0"/>
        <v>24</v>
      </c>
      <c r="C34" s="317">
        <v>45202</v>
      </c>
      <c r="D34" s="318">
        <v>8145018</v>
      </c>
      <c r="E34" s="319" t="s">
        <v>381</v>
      </c>
      <c r="F34" s="320">
        <v>1.08</v>
      </c>
      <c r="G34" s="320"/>
      <c r="H34" s="319" t="s">
        <v>382</v>
      </c>
      <c r="I34" s="87">
        <v>0</v>
      </c>
      <c r="J34" s="8"/>
    </row>
    <row r="35" spans="1:10">
      <c r="A35" s="1">
        <f t="shared" si="0"/>
        <v>25</v>
      </c>
      <c r="C35" s="317">
        <v>45202</v>
      </c>
      <c r="D35" s="1">
        <v>8145031</v>
      </c>
      <c r="E35" s="319" t="s">
        <v>398</v>
      </c>
      <c r="F35" s="320">
        <v>350</v>
      </c>
      <c r="G35" s="320"/>
      <c r="H35" s="319" t="s">
        <v>383</v>
      </c>
      <c r="I35" s="87">
        <v>0</v>
      </c>
      <c r="J35" s="8"/>
    </row>
    <row r="36" spans="1:10">
      <c r="A36" s="1">
        <f t="shared" si="0"/>
        <v>26</v>
      </c>
      <c r="C36" s="317">
        <v>45225</v>
      </c>
      <c r="D36" s="318">
        <v>8145198</v>
      </c>
      <c r="E36" s="319" t="s">
        <v>401</v>
      </c>
      <c r="F36" s="320">
        <v>265</v>
      </c>
      <c r="G36" s="320"/>
      <c r="H36" s="319" t="s">
        <v>326</v>
      </c>
      <c r="I36" s="87">
        <f>F36</f>
        <v>265</v>
      </c>
      <c r="J36" s="8"/>
    </row>
    <row r="37" spans="1:10">
      <c r="A37" s="1">
        <f t="shared" si="0"/>
        <v>27</v>
      </c>
      <c r="C37" s="317">
        <v>45230</v>
      </c>
      <c r="D37" s="318">
        <v>8145252</v>
      </c>
      <c r="E37" s="319" t="s">
        <v>402</v>
      </c>
      <c r="F37" s="320">
        <v>450</v>
      </c>
      <c r="G37" s="320"/>
      <c r="H37" s="319" t="s">
        <v>326</v>
      </c>
      <c r="I37" s="87">
        <f>F37</f>
        <v>450</v>
      </c>
      <c r="J37" s="8"/>
    </row>
    <row r="38" spans="1:10">
      <c r="A38" s="1">
        <f t="shared" si="0"/>
        <v>28</v>
      </c>
      <c r="C38" s="317">
        <v>45230</v>
      </c>
      <c r="D38" s="1">
        <v>8145302</v>
      </c>
      <c r="E38" s="319" t="s">
        <v>401</v>
      </c>
      <c r="F38" s="320">
        <v>106</v>
      </c>
      <c r="G38" s="320"/>
      <c r="H38" s="319" t="s">
        <v>326</v>
      </c>
      <c r="I38" s="87">
        <f>F38</f>
        <v>106</v>
      </c>
      <c r="J38" s="8"/>
    </row>
    <row r="39" spans="1:10">
      <c r="A39" s="1">
        <f t="shared" si="0"/>
        <v>29</v>
      </c>
      <c r="C39" s="317">
        <v>45231</v>
      </c>
      <c r="D39" s="318">
        <v>8145231</v>
      </c>
      <c r="E39" s="319" t="s">
        <v>398</v>
      </c>
      <c r="F39" s="320">
        <v>350</v>
      </c>
      <c r="G39" s="320"/>
      <c r="H39" s="319" t="s">
        <v>383</v>
      </c>
      <c r="I39" s="87">
        <v>0</v>
      </c>
      <c r="J39" s="8"/>
    </row>
    <row r="40" spans="1:10">
      <c r="A40" s="1">
        <f t="shared" si="0"/>
        <v>30</v>
      </c>
      <c r="C40" s="317">
        <v>45233</v>
      </c>
      <c r="D40" s="1">
        <v>8145246</v>
      </c>
      <c r="E40" s="319" t="s">
        <v>381</v>
      </c>
      <c r="F40" s="320">
        <v>1.08</v>
      </c>
      <c r="G40" s="320"/>
      <c r="H40" s="319" t="s">
        <v>382</v>
      </c>
      <c r="I40" s="87">
        <v>0</v>
      </c>
      <c r="J40" s="8"/>
    </row>
    <row r="41" spans="1:10">
      <c r="A41" s="1">
        <f t="shared" si="0"/>
        <v>31</v>
      </c>
      <c r="C41" s="317">
        <v>45246</v>
      </c>
      <c r="D41" s="318">
        <v>8145323</v>
      </c>
      <c r="E41" s="319" t="s">
        <v>381</v>
      </c>
      <c r="F41" s="320">
        <v>43</v>
      </c>
      <c r="G41" s="320"/>
      <c r="H41" s="319" t="s">
        <v>403</v>
      </c>
      <c r="I41" s="87">
        <v>0</v>
      </c>
      <c r="J41" s="8"/>
    </row>
    <row r="42" spans="1:10">
      <c r="A42" s="1">
        <f t="shared" si="0"/>
        <v>32</v>
      </c>
      <c r="C42" s="317">
        <v>45260</v>
      </c>
      <c r="D42" s="1">
        <v>8145383</v>
      </c>
      <c r="E42" s="319" t="s">
        <v>381</v>
      </c>
      <c r="F42" s="320">
        <v>185</v>
      </c>
      <c r="G42" s="320"/>
      <c r="H42" s="319" t="s">
        <v>404</v>
      </c>
      <c r="I42" s="87">
        <v>0</v>
      </c>
      <c r="J42" s="8"/>
    </row>
    <row r="43" spans="1:10">
      <c r="A43" s="1">
        <f t="shared" si="0"/>
        <v>33</v>
      </c>
      <c r="C43" s="317">
        <v>45260</v>
      </c>
      <c r="D43" s="318">
        <v>8145460</v>
      </c>
      <c r="E43" s="319" t="s">
        <v>405</v>
      </c>
      <c r="F43" s="320">
        <v>68.900000000000006</v>
      </c>
      <c r="G43" s="320"/>
      <c r="H43" s="319" t="s">
        <v>386</v>
      </c>
      <c r="I43" s="87">
        <f>F43</f>
        <v>68.900000000000006</v>
      </c>
      <c r="J43" s="8"/>
    </row>
    <row r="44" spans="1:10">
      <c r="A44" s="1">
        <f t="shared" si="0"/>
        <v>34</v>
      </c>
      <c r="C44" s="317">
        <v>45261</v>
      </c>
      <c r="D44" s="1">
        <v>8145429</v>
      </c>
      <c r="E44" s="319" t="s">
        <v>398</v>
      </c>
      <c r="F44" s="320">
        <v>350</v>
      </c>
      <c r="G44" s="320"/>
      <c r="H44" s="319" t="s">
        <v>383</v>
      </c>
      <c r="I44" s="87">
        <v>0</v>
      </c>
      <c r="J44" s="8"/>
    </row>
    <row r="45" spans="1:10">
      <c r="A45" s="1">
        <f t="shared" si="0"/>
        <v>35</v>
      </c>
      <c r="C45" s="317">
        <v>45261</v>
      </c>
      <c r="D45" s="318">
        <v>8145438</v>
      </c>
      <c r="E45" s="319" t="s">
        <v>381</v>
      </c>
      <c r="F45" s="320">
        <v>1.08</v>
      </c>
      <c r="G45" s="320"/>
      <c r="H45" s="319" t="s">
        <v>382</v>
      </c>
      <c r="I45" s="87">
        <v>0</v>
      </c>
      <c r="J45" s="8"/>
    </row>
    <row r="46" spans="1:10">
      <c r="A46" s="1">
        <f t="shared" si="0"/>
        <v>36</v>
      </c>
      <c r="C46" s="317">
        <v>45291</v>
      </c>
      <c r="D46" s="318">
        <v>8145666</v>
      </c>
      <c r="E46" s="319" t="s">
        <v>401</v>
      </c>
      <c r="F46" s="320">
        <v>159</v>
      </c>
      <c r="G46" s="320"/>
      <c r="H46" s="319" t="s">
        <v>326</v>
      </c>
      <c r="I46" s="87">
        <v>0</v>
      </c>
      <c r="J46" s="8"/>
    </row>
    <row r="47" spans="1:10">
      <c r="A47" s="1">
        <f t="shared" si="0"/>
        <v>37</v>
      </c>
      <c r="C47" s="317">
        <v>45291</v>
      </c>
      <c r="D47" s="318">
        <v>8145676</v>
      </c>
      <c r="E47" s="319" t="s">
        <v>406</v>
      </c>
      <c r="F47" s="320">
        <v>2966.96</v>
      </c>
      <c r="G47" s="320"/>
      <c r="H47" s="319" t="s">
        <v>326</v>
      </c>
      <c r="I47" s="87">
        <v>0</v>
      </c>
      <c r="J47" s="8"/>
    </row>
    <row r="48" spans="1:10">
      <c r="A48" s="1">
        <f t="shared" si="0"/>
        <v>38</v>
      </c>
      <c r="C48" s="317">
        <v>45291</v>
      </c>
      <c r="D48" s="318">
        <v>8145683</v>
      </c>
      <c r="E48" s="319" t="s">
        <v>385</v>
      </c>
      <c r="F48" s="320">
        <v>58.85</v>
      </c>
      <c r="G48" s="320"/>
      <c r="H48" s="319" t="s">
        <v>386</v>
      </c>
      <c r="I48" s="87">
        <f>F48</f>
        <v>58.85</v>
      </c>
      <c r="J48" s="8"/>
    </row>
    <row r="49" spans="1:10">
      <c r="A49" s="1">
        <f t="shared" si="0"/>
        <v>39</v>
      </c>
      <c r="C49" s="317">
        <v>45291</v>
      </c>
      <c r="D49" s="318">
        <v>8145703</v>
      </c>
      <c r="E49" s="319" t="s">
        <v>388</v>
      </c>
      <c r="F49" s="320">
        <v>10000</v>
      </c>
      <c r="G49" s="320"/>
      <c r="H49" s="319" t="s">
        <v>384</v>
      </c>
      <c r="I49" s="87">
        <v>0</v>
      </c>
      <c r="J49" s="8"/>
    </row>
    <row r="50" spans="1:10">
      <c r="A50" s="1">
        <f t="shared" si="0"/>
        <v>40</v>
      </c>
      <c r="C50" s="32"/>
      <c r="D50" s="4"/>
      <c r="E50" s="322" t="s">
        <v>37</v>
      </c>
      <c r="F50" s="323">
        <f>SUM(F11:F49)</f>
        <v>46915.670000000006</v>
      </c>
      <c r="G50" s="323"/>
      <c r="H50" s="32"/>
      <c r="I50" s="324">
        <f>SUM(I11:I49)</f>
        <v>22698.75</v>
      </c>
      <c r="J50" s="8"/>
    </row>
    <row r="51" spans="1:10">
      <c r="A51" s="1">
        <f t="shared" si="0"/>
        <v>41</v>
      </c>
      <c r="C51" s="2"/>
      <c r="E51" s="132"/>
      <c r="F51" s="321"/>
      <c r="G51" s="321"/>
      <c r="I51" s="325"/>
      <c r="J51" s="8"/>
    </row>
    <row r="52" spans="1:10">
      <c r="A52" s="1">
        <f t="shared" si="0"/>
        <v>42</v>
      </c>
      <c r="C52" s="317">
        <v>45363</v>
      </c>
      <c r="D52" s="318">
        <v>8146090</v>
      </c>
      <c r="E52" s="319" t="s">
        <v>388</v>
      </c>
      <c r="F52" s="320">
        <v>5900</v>
      </c>
      <c r="G52" s="320"/>
      <c r="H52" s="319" t="s">
        <v>384</v>
      </c>
      <c r="I52" s="321"/>
      <c r="J52" s="8"/>
    </row>
    <row r="53" spans="1:10">
      <c r="A53" s="1">
        <f t="shared" si="0"/>
        <v>43</v>
      </c>
      <c r="C53" s="2"/>
      <c r="E53" s="319"/>
      <c r="F53" s="320"/>
      <c r="G53" s="320"/>
      <c r="H53" s="319"/>
      <c r="I53" s="321"/>
      <c r="J53" s="8"/>
    </row>
    <row r="54" spans="1:10">
      <c r="A54" s="1">
        <f t="shared" si="0"/>
        <v>44</v>
      </c>
      <c r="C54" s="2"/>
      <c r="E54" s="132" t="s">
        <v>167</v>
      </c>
      <c r="F54" s="321">
        <f>F50-I50+F52</f>
        <v>30116.920000000006</v>
      </c>
      <c r="G54" s="321"/>
      <c r="I54" s="321"/>
      <c r="J54" s="8"/>
    </row>
    <row r="55" spans="1:10">
      <c r="A55" s="1">
        <f t="shared" si="0"/>
        <v>45</v>
      </c>
      <c r="I55" s="321"/>
      <c r="J55" s="8"/>
    </row>
    <row r="56" spans="1:10" ht="13.8" thickBot="1">
      <c r="A56" s="1">
        <f t="shared" si="0"/>
        <v>46</v>
      </c>
      <c r="C56" s="33" t="s">
        <v>15</v>
      </c>
      <c r="D56" s="33"/>
      <c r="E56" s="3"/>
      <c r="F56" s="326">
        <f>F54-F50</f>
        <v>-16798.75</v>
      </c>
      <c r="I56" s="321"/>
      <c r="J56" s="8"/>
    </row>
    <row r="57" spans="1:10" ht="13.8" thickTop="1"/>
    <row r="59" spans="1:10" ht="27.75" customHeight="1">
      <c r="C59" s="284" t="s">
        <v>389</v>
      </c>
      <c r="D59" s="284"/>
      <c r="E59" s="284"/>
      <c r="F59" s="284"/>
      <c r="G59" s="284"/>
      <c r="H59" s="284"/>
      <c r="I59" s="284"/>
    </row>
    <row r="60" spans="1:10">
      <c r="C60" s="132" t="s">
        <v>408</v>
      </c>
    </row>
    <row r="61" spans="1:10">
      <c r="C61" s="132"/>
    </row>
  </sheetData>
  <mergeCells count="4">
    <mergeCell ref="A3:J3"/>
    <mergeCell ref="A4:J4"/>
    <mergeCell ref="A6:J6"/>
    <mergeCell ref="C59:I59"/>
  </mergeCells>
  <printOptions horizontalCentered="1"/>
  <pageMargins left="0.25" right="0.25" top="0.75" bottom="0.5" header="0.5" footer="0.5"/>
  <pageSetup scale="85" orientation="portrait" r:id="rId1"/>
  <headerFooter alignWithMargins="0">
    <oddFooter>&amp;RRevised Exhibit JW-2
Page &amp;P of &amp;N</oddFooter>
  </headerFooter>
  <ignoredErrors>
    <ignoredError sqref="C9:I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39"/>
  <sheetViews>
    <sheetView view="pageBreakPreview" topLeftCell="A7" zoomScaleNormal="100" zoomScaleSheetLayoutView="100" workbookViewId="0">
      <selection activeCell="I61" sqref="I61"/>
    </sheetView>
  </sheetViews>
  <sheetFormatPr defaultColWidth="9.109375" defaultRowHeight="13.2"/>
  <cols>
    <col min="1" max="1" width="3.5546875" style="8" customWidth="1"/>
    <col min="2" max="2" width="10.88671875" style="7" customWidth="1"/>
    <col min="3" max="3" width="32.44140625" style="8" customWidth="1"/>
    <col min="4" max="5" width="13.5546875" style="8" bestFit="1" customWidth="1"/>
    <col min="6" max="6" width="11.88671875" style="8" customWidth="1"/>
    <col min="7" max="7" width="10.88671875" style="8" bestFit="1" customWidth="1"/>
    <col min="8" max="8" width="9.109375" style="8"/>
    <col min="9" max="9" width="11.6640625" style="8" bestFit="1" customWidth="1"/>
    <col min="10" max="16384" width="9.109375" style="8"/>
  </cols>
  <sheetData>
    <row r="1" spans="1:7">
      <c r="A1" s="279" t="str">
        <f>RevReq!A1</f>
        <v>LICKING VALLEY R.E.C.C.</v>
      </c>
      <c r="B1" s="279"/>
      <c r="C1" s="279"/>
      <c r="D1" s="279"/>
      <c r="E1" s="279"/>
      <c r="F1" s="279"/>
      <c r="G1" s="279"/>
    </row>
    <row r="2" spans="1:7">
      <c r="A2" s="279" t="s">
        <v>170</v>
      </c>
      <c r="B2" s="279"/>
      <c r="C2" s="279"/>
      <c r="D2" s="279"/>
      <c r="E2" s="279"/>
      <c r="F2" s="279"/>
      <c r="G2" s="279"/>
    </row>
    <row r="4" spans="1:7" ht="47.25" customHeight="1">
      <c r="B4" s="26" t="s">
        <v>175</v>
      </c>
      <c r="C4" s="19" t="s">
        <v>41</v>
      </c>
      <c r="D4" s="19" t="s">
        <v>23</v>
      </c>
      <c r="E4" s="19" t="s">
        <v>24</v>
      </c>
      <c r="F4" s="19" t="s">
        <v>172</v>
      </c>
      <c r="G4" s="19" t="s">
        <v>173</v>
      </c>
    </row>
    <row r="5" spans="1:7">
      <c r="B5" s="27" t="s">
        <v>21</v>
      </c>
      <c r="C5" s="28">
        <v>1</v>
      </c>
      <c r="D5" s="28">
        <f>C5+1</f>
        <v>2</v>
      </c>
      <c r="E5" s="28">
        <f>D5+1</f>
        <v>3</v>
      </c>
      <c r="F5" s="28">
        <f>E5+1</f>
        <v>4</v>
      </c>
      <c r="G5" s="28">
        <f>F5+1</f>
        <v>5</v>
      </c>
    </row>
    <row r="6" spans="1:7">
      <c r="B6" s="8"/>
      <c r="C6" s="42"/>
      <c r="D6" s="42"/>
      <c r="E6" s="42"/>
      <c r="F6" s="42"/>
      <c r="G6" s="42"/>
    </row>
    <row r="7" spans="1:7">
      <c r="B7" s="7">
        <f>'Adj IS'!C4</f>
        <v>1.01</v>
      </c>
      <c r="C7" s="8" t="s">
        <v>171</v>
      </c>
      <c r="D7" s="15">
        <f>'1.01 FAC'!F31</f>
        <v>-2996611.08</v>
      </c>
      <c r="E7" s="15">
        <f>'1.01 FAC'!H31</f>
        <v>-2766319</v>
      </c>
      <c r="F7" s="15">
        <v>0</v>
      </c>
      <c r="G7" s="15">
        <f>D7-E7+F7</f>
        <v>-230292.08000000007</v>
      </c>
    </row>
    <row r="8" spans="1:7">
      <c r="B8" s="7">
        <f>'Adj IS'!D4</f>
        <v>1.02</v>
      </c>
      <c r="C8" s="8" t="s">
        <v>125</v>
      </c>
      <c r="D8" s="15">
        <f>'1.02 ES'!F31</f>
        <v>-3233287.46</v>
      </c>
      <c r="E8" s="15">
        <f>'1.02 ES'!H31</f>
        <v>-3062968</v>
      </c>
      <c r="F8" s="15">
        <v>0</v>
      </c>
      <c r="G8" s="15">
        <f t="shared" ref="G8:G20" si="0">D8-E8+F8</f>
        <v>-170319.45999999996</v>
      </c>
    </row>
    <row r="9" spans="1:7">
      <c r="B9" s="7">
        <f>'Adj IS'!E4</f>
        <v>1.03</v>
      </c>
      <c r="C9" s="8" t="s">
        <v>31</v>
      </c>
      <c r="D9" s="15">
        <v>0</v>
      </c>
      <c r="E9" s="15">
        <f>'1.03 RC'!E23</f>
        <v>53333.33</v>
      </c>
      <c r="F9" s="15">
        <v>0</v>
      </c>
      <c r="G9" s="15">
        <f t="shared" si="0"/>
        <v>-53333.33</v>
      </c>
    </row>
    <row r="10" spans="1:7">
      <c r="B10" s="7">
        <f>'Adj IS'!F4</f>
        <v>1.04</v>
      </c>
      <c r="C10" s="8" t="s">
        <v>242</v>
      </c>
      <c r="D10" s="15">
        <f>'1.04 CUST'!J36</f>
        <v>3355072.8607940977</v>
      </c>
      <c r="E10" s="15">
        <f>'1.04 CUST'!J40</f>
        <v>3097238.9457101217</v>
      </c>
      <c r="F10" s="15">
        <v>0</v>
      </c>
      <c r="G10" s="15">
        <f t="shared" si="0"/>
        <v>257833.915083976</v>
      </c>
    </row>
    <row r="11" spans="1:7">
      <c r="B11" s="7">
        <f>'Adj IS'!G4</f>
        <v>1.05</v>
      </c>
      <c r="C11" s="8" t="s">
        <v>76</v>
      </c>
      <c r="D11" s="15">
        <v>0</v>
      </c>
      <c r="E11" s="15">
        <v>0</v>
      </c>
      <c r="F11" s="16">
        <f>'1.05 GTCC'!F18</f>
        <v>-402409</v>
      </c>
      <c r="G11" s="15">
        <f t="shared" si="0"/>
        <v>-402409</v>
      </c>
    </row>
    <row r="12" spans="1:7">
      <c r="B12" s="7">
        <f>'Adj IS'!H4</f>
        <v>1.06</v>
      </c>
      <c r="C12" s="8" t="s">
        <v>289</v>
      </c>
      <c r="D12" s="15">
        <v>0</v>
      </c>
      <c r="E12" s="15">
        <f>'1.06 Health'!G21</f>
        <v>-178890.10990000004</v>
      </c>
      <c r="F12" s="15">
        <v>0</v>
      </c>
      <c r="G12" s="15">
        <f t="shared" si="0"/>
        <v>178890.10990000004</v>
      </c>
    </row>
    <row r="13" spans="1:7">
      <c r="B13" s="7">
        <f>'Adj IS'!I4</f>
        <v>1.07</v>
      </c>
      <c r="C13" s="2" t="s">
        <v>239</v>
      </c>
      <c r="D13" s="15">
        <v>0</v>
      </c>
      <c r="E13" s="15">
        <f>'1.07 Depr'!J40</f>
        <v>239443.28000000014</v>
      </c>
      <c r="F13" s="15">
        <v>0</v>
      </c>
      <c r="G13" s="15">
        <f t="shared" si="0"/>
        <v>-239443.28000000014</v>
      </c>
    </row>
    <row r="14" spans="1:7">
      <c r="B14" s="7">
        <f>'Adj IS'!J4</f>
        <v>1.08</v>
      </c>
      <c r="C14" s="2" t="s">
        <v>306</v>
      </c>
      <c r="D14" s="15">
        <v>0</v>
      </c>
      <c r="E14" s="15">
        <f>'1.08 AdsDonat'!F20</f>
        <v>-212372.79</v>
      </c>
      <c r="F14" s="15">
        <v>0</v>
      </c>
      <c r="G14" s="15">
        <f t="shared" si="0"/>
        <v>212372.79</v>
      </c>
    </row>
    <row r="15" spans="1:7">
      <c r="B15" s="7">
        <f>'Adj IS'!K4</f>
        <v>1.0900000000000001</v>
      </c>
      <c r="C15" s="2" t="s">
        <v>241</v>
      </c>
      <c r="D15" s="15">
        <v>0</v>
      </c>
      <c r="E15" s="15">
        <f>'1.09 Dir'!K24</f>
        <v>-24086.799999999996</v>
      </c>
      <c r="F15" s="15">
        <v>0</v>
      </c>
      <c r="G15" s="15">
        <f t="shared" si="0"/>
        <v>24086.799999999996</v>
      </c>
    </row>
    <row r="16" spans="1:7">
      <c r="B16" s="18">
        <f>'Adj IS'!L4</f>
        <v>1.1000000000000001</v>
      </c>
      <c r="C16" s="2" t="s">
        <v>237</v>
      </c>
      <c r="D16" s="15">
        <v>0</v>
      </c>
      <c r="E16" s="15">
        <f>'1.10 Life Insur'!H63</f>
        <v>-19716.595630686516</v>
      </c>
      <c r="F16" s="15">
        <v>0</v>
      </c>
      <c r="G16" s="15">
        <f t="shared" si="0"/>
        <v>19716.595630686516</v>
      </c>
    </row>
    <row r="17" spans="2:10">
      <c r="B17" s="18">
        <f>'Adj IS'!M4</f>
        <v>1.1100000000000001</v>
      </c>
      <c r="C17" s="2" t="s">
        <v>395</v>
      </c>
      <c r="D17" s="16">
        <v>0</v>
      </c>
      <c r="E17" s="16">
        <f>'1.11 Int'!J48</f>
        <v>21646.605807500033</v>
      </c>
      <c r="F17" s="16">
        <v>0</v>
      </c>
      <c r="G17" s="16">
        <f t="shared" si="0"/>
        <v>-21646.605807500033</v>
      </c>
    </row>
    <row r="18" spans="2:10">
      <c r="B18" s="18">
        <f>'Adj IS'!N4</f>
        <v>1.1200000000000001</v>
      </c>
      <c r="C18" s="2" t="s">
        <v>324</v>
      </c>
      <c r="D18" s="16">
        <v>0</v>
      </c>
      <c r="E18" s="16">
        <f>'1.12 Wages'!P69</f>
        <v>49770.470364575129</v>
      </c>
      <c r="F18" s="16">
        <v>0</v>
      </c>
      <c r="G18" s="16">
        <f t="shared" si="0"/>
        <v>-49770.470364575129</v>
      </c>
    </row>
    <row r="19" spans="2:10">
      <c r="B19" s="18">
        <f>'Adj IS'!O4</f>
        <v>1.1299999999999999</v>
      </c>
      <c r="C19" s="2" t="s">
        <v>325</v>
      </c>
      <c r="D19" s="16">
        <v>0</v>
      </c>
      <c r="E19" s="16">
        <f>'1.13 PayrTx'!I77</f>
        <v>28988.228161768689</v>
      </c>
      <c r="F19" s="16">
        <v>0</v>
      </c>
      <c r="G19" s="16">
        <f t="shared" si="0"/>
        <v>-28988.228161768689</v>
      </c>
    </row>
    <row r="20" spans="2:10">
      <c r="B20" s="7">
        <f>'Adj IS'!P4</f>
        <v>1.1399999999999999</v>
      </c>
      <c r="C20" s="2" t="s">
        <v>326</v>
      </c>
      <c r="D20" s="16"/>
      <c r="E20" s="16">
        <f>'1.14 Prof'!F56</f>
        <v>-16798.75</v>
      </c>
      <c r="F20" s="16">
        <v>0</v>
      </c>
      <c r="G20" s="16">
        <f t="shared" si="0"/>
        <v>16798.75</v>
      </c>
    </row>
    <row r="21" spans="2:10" hidden="1">
      <c r="B21" s="18"/>
      <c r="C21" s="2"/>
      <c r="D21" s="15"/>
      <c r="E21" s="15"/>
      <c r="F21" s="15"/>
      <c r="G21" s="15"/>
    </row>
    <row r="22" spans="2:10" hidden="1">
      <c r="B22" s="8"/>
    </row>
    <row r="23" spans="2:10" s="41" customFormat="1" ht="21.75" customHeight="1" thickBot="1">
      <c r="B23" s="66"/>
      <c r="C23" s="67" t="s">
        <v>45</v>
      </c>
      <c r="D23" s="68">
        <f>SUM(D7:D21)</f>
        <v>-2874825.6792059024</v>
      </c>
      <c r="E23" s="68">
        <f>SUM(E7:E21)</f>
        <v>-2790731.1854867209</v>
      </c>
      <c r="F23" s="68">
        <f>SUM(F7:F21)</f>
        <v>-402409</v>
      </c>
      <c r="G23" s="68">
        <f>SUM(G7:G21)</f>
        <v>-486503.49371918157</v>
      </c>
      <c r="I23" s="8"/>
      <c r="J23" s="8"/>
    </row>
    <row r="24" spans="2:10" ht="13.8" thickTop="1">
      <c r="D24" s="20"/>
      <c r="E24" s="20"/>
      <c r="F24" s="20"/>
      <c r="G24" s="15"/>
    </row>
    <row r="25" spans="2:10">
      <c r="D25" s="15"/>
      <c r="F25" s="15"/>
      <c r="G25" s="15"/>
    </row>
    <row r="26" spans="2:10">
      <c r="D26" s="17"/>
      <c r="E26" s="17"/>
      <c r="F26" s="17"/>
      <c r="G26" s="17"/>
    </row>
    <row r="27" spans="2:10">
      <c r="E27" s="15"/>
    </row>
    <row r="28" spans="2:10">
      <c r="B28" s="7" t="s">
        <v>250</v>
      </c>
    </row>
    <row r="29" spans="2:10">
      <c r="C29" s="8" t="s">
        <v>251</v>
      </c>
      <c r="D29" s="15">
        <f>RevReq!D11</f>
        <v>-2874825.68</v>
      </c>
      <c r="E29" s="15">
        <f>RevReq!D29</f>
        <v>-2790731.1811968423</v>
      </c>
      <c r="F29" s="15">
        <f>RevReq!D33+RevReq!D34+RevReq!D35+RevReq!D36+RevReq!D37</f>
        <v>-402409</v>
      </c>
      <c r="G29" s="15">
        <f>RevReq!D39</f>
        <v>-486503.49880315783</v>
      </c>
    </row>
    <row r="30" spans="2:10" ht="13.8">
      <c r="C30" s="8" t="s">
        <v>169</v>
      </c>
      <c r="D30" s="39">
        <f>ROUND(D29-D23,0)</f>
        <v>0</v>
      </c>
      <c r="E30" s="39">
        <f t="shared" ref="E30:G30" si="1">ROUND(E29-E23,0)</f>
        <v>0</v>
      </c>
      <c r="F30" s="39">
        <f t="shared" si="1"/>
        <v>0</v>
      </c>
      <c r="G30" s="39">
        <f t="shared" si="1"/>
        <v>0</v>
      </c>
    </row>
    <row r="32" spans="2:10">
      <c r="C32" s="8" t="s">
        <v>252</v>
      </c>
      <c r="D32" s="105">
        <f>'Adj IS'!U12</f>
        <v>-2874825.6792059024</v>
      </c>
      <c r="E32" s="105">
        <f>'Adj IS'!U31</f>
        <v>-2790731.1854867209</v>
      </c>
      <c r="F32" s="105">
        <f>'Adj IS'!U40</f>
        <v>-402409</v>
      </c>
      <c r="G32" s="105">
        <f>'Adj IS'!U42</f>
        <v>-486503.49371918157</v>
      </c>
    </row>
    <row r="33" spans="3:7" ht="13.8">
      <c r="C33" s="8" t="s">
        <v>169</v>
      </c>
      <c r="D33" s="39">
        <f>ROUND(D32-D23,0)</f>
        <v>0</v>
      </c>
      <c r="E33" s="39">
        <f t="shared" ref="E33:G33" si="2">ROUND(E32-E23,0)</f>
        <v>0</v>
      </c>
      <c r="F33" s="39">
        <f t="shared" si="2"/>
        <v>0</v>
      </c>
      <c r="G33" s="39">
        <f t="shared" si="2"/>
        <v>0</v>
      </c>
    </row>
    <row r="39" spans="3:7" ht="21.6" customHeight="1"/>
  </sheetData>
  <mergeCells count="2">
    <mergeCell ref="A1:G1"/>
    <mergeCell ref="A2:G2"/>
  </mergeCells>
  <phoneticPr fontId="24" type="noConversion"/>
  <conditionalFormatting sqref="D30:G30">
    <cfRule type="cellIs" dxfId="15" priority="5" operator="notEqual">
      <formula>0</formula>
    </cfRule>
    <cfRule type="cellIs" dxfId="14" priority="6" operator="equal">
      <formula>0</formula>
    </cfRule>
  </conditionalFormatting>
  <conditionalFormatting sqref="D33:G33">
    <cfRule type="cellIs" dxfId="13" priority="1" operator="notEqual">
      <formula>0</formula>
    </cfRule>
    <cfRule type="cellIs" dxfId="12" priority="2" operator="equal">
      <formula>0</formula>
    </cfRule>
  </conditionalFormatting>
  <printOptions horizontalCentered="1"/>
  <pageMargins left="1" right="0.75" top="0.75" bottom="0.5" header="0.5" footer="0.5"/>
  <pageSetup orientation="landscape" r:id="rId1"/>
  <headerFooter alignWithMargins="0">
    <oddFooter>&amp;RRevised Exhibit JW-2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74"/>
  <sheetViews>
    <sheetView view="pageBreakPreview" zoomScaleNormal="75" zoomScaleSheetLayoutView="100" workbookViewId="0">
      <selection activeCell="I61" sqref="I61"/>
    </sheetView>
  </sheetViews>
  <sheetFormatPr defaultColWidth="9.109375" defaultRowHeight="14.4"/>
  <cols>
    <col min="1" max="1" width="9.109375" style="46"/>
    <col min="2" max="2" width="1.5546875" style="46" customWidth="1"/>
    <col min="3" max="3" width="40.33203125" bestFit="1" customWidth="1"/>
    <col min="4" max="4" width="13.5546875" style="88" bestFit="1" customWidth="1"/>
    <col min="5" max="5" width="16.33203125" style="81" bestFit="1" customWidth="1"/>
    <col min="6" max="6" width="17.5546875" bestFit="1" customWidth="1"/>
    <col min="7" max="7" width="4.5546875" customWidth="1"/>
    <col min="8" max="8" width="13.44140625" bestFit="1" customWidth="1"/>
    <col min="9" max="9" width="5.88671875" customWidth="1"/>
  </cols>
  <sheetData>
    <row r="1" spans="1:7">
      <c r="A1" s="280" t="str">
        <f>RevReq!A1</f>
        <v>LICKING VALLEY R.E.C.C.</v>
      </c>
      <c r="B1" s="280"/>
      <c r="C1" s="280"/>
      <c r="D1" s="280"/>
      <c r="E1" s="280"/>
      <c r="F1" s="280"/>
      <c r="G1" s="74"/>
    </row>
    <row r="2" spans="1:7">
      <c r="A2" s="280" t="s">
        <v>177</v>
      </c>
      <c r="B2" s="280"/>
      <c r="C2" s="280"/>
      <c r="D2" s="280"/>
      <c r="E2" s="280"/>
      <c r="F2" s="280"/>
      <c r="G2" s="74"/>
    </row>
    <row r="3" spans="1:7">
      <c r="A3" s="74"/>
      <c r="B3" s="74"/>
      <c r="C3" s="74"/>
      <c r="D3" s="84"/>
      <c r="E3" s="78"/>
      <c r="F3" s="74"/>
      <c r="G3" s="74"/>
    </row>
    <row r="4" spans="1:7">
      <c r="A4" s="7"/>
      <c r="B4" s="7"/>
      <c r="C4" s="8"/>
      <c r="D4" s="94"/>
      <c r="E4" s="43"/>
      <c r="F4" s="43"/>
      <c r="G4" s="45"/>
    </row>
    <row r="5" spans="1:7">
      <c r="A5" s="43" t="s">
        <v>0</v>
      </c>
      <c r="B5" s="43"/>
      <c r="C5" s="43" t="s">
        <v>1</v>
      </c>
      <c r="D5" s="94" t="s">
        <v>115</v>
      </c>
      <c r="E5" s="79" t="s">
        <v>225</v>
      </c>
      <c r="F5" s="43" t="s">
        <v>116</v>
      </c>
      <c r="G5" s="45"/>
    </row>
    <row r="6" spans="1:7" s="73" customFormat="1">
      <c r="A6" s="71" t="s">
        <v>21</v>
      </c>
      <c r="B6" s="71"/>
      <c r="C6" s="72">
        <v>1</v>
      </c>
      <c r="D6" s="72">
        <f>C6+1</f>
        <v>2</v>
      </c>
      <c r="E6" s="72">
        <f>D6+1</f>
        <v>3</v>
      </c>
      <c r="F6" s="72" t="s">
        <v>25</v>
      </c>
    </row>
    <row r="7" spans="1:7">
      <c r="A7" s="7">
        <v>1</v>
      </c>
      <c r="B7" s="77" t="s">
        <v>178</v>
      </c>
      <c r="C7" s="8"/>
      <c r="D7" s="2"/>
      <c r="E7" s="16"/>
      <c r="F7" s="8"/>
    </row>
    <row r="8" spans="1:7">
      <c r="A8" s="7">
        <f>A7+1</f>
        <v>2</v>
      </c>
      <c r="B8" s="7"/>
      <c r="C8" s="8" t="s">
        <v>179</v>
      </c>
      <c r="D8" s="75">
        <v>88718917</v>
      </c>
      <c r="E8" s="75">
        <v>0</v>
      </c>
      <c r="F8" s="75">
        <f>D8+E8</f>
        <v>88718917</v>
      </c>
    </row>
    <row r="9" spans="1:7">
      <c r="A9" s="7">
        <f t="shared" ref="A9:A68" si="0">A8+1</f>
        <v>3</v>
      </c>
      <c r="B9" s="7"/>
      <c r="C9" s="8" t="s">
        <v>180</v>
      </c>
      <c r="D9" s="75">
        <v>844590</v>
      </c>
      <c r="E9" s="75">
        <v>0</v>
      </c>
      <c r="F9" s="75">
        <f>D9+E9</f>
        <v>844590</v>
      </c>
    </row>
    <row r="10" spans="1:7">
      <c r="A10" s="7">
        <f t="shared" si="0"/>
        <v>4</v>
      </c>
      <c r="B10" s="7"/>
      <c r="C10" s="8" t="s">
        <v>181</v>
      </c>
      <c r="D10" s="75">
        <f>D8+D9</f>
        <v>89563507</v>
      </c>
      <c r="E10" s="75">
        <v>0</v>
      </c>
      <c r="F10" s="75">
        <f>D10+E10</f>
        <v>89563507</v>
      </c>
    </row>
    <row r="11" spans="1:7">
      <c r="A11" s="7">
        <f t="shared" si="0"/>
        <v>5</v>
      </c>
      <c r="B11" s="7"/>
      <c r="C11" s="8" t="s">
        <v>182</v>
      </c>
      <c r="D11" s="75">
        <v>36887393</v>
      </c>
      <c r="E11" s="75">
        <v>0</v>
      </c>
      <c r="F11" s="75">
        <f>D11+E11</f>
        <v>36887393</v>
      </c>
    </row>
    <row r="12" spans="1:7">
      <c r="A12" s="7">
        <f t="shared" si="0"/>
        <v>6</v>
      </c>
      <c r="B12" s="7"/>
      <c r="C12" s="10" t="s">
        <v>183</v>
      </c>
      <c r="D12" s="80">
        <f>SUM(D10:D10)-D11</f>
        <v>52676114</v>
      </c>
      <c r="E12" s="80">
        <f t="shared" ref="E12:F12" si="1">SUM(E10:E10)-E11</f>
        <v>0</v>
      </c>
      <c r="F12" s="80">
        <f t="shared" si="1"/>
        <v>52676114</v>
      </c>
    </row>
    <row r="13" spans="1:7">
      <c r="A13" s="7">
        <f t="shared" si="0"/>
        <v>7</v>
      </c>
      <c r="B13" s="7"/>
      <c r="C13" s="8"/>
      <c r="D13" s="75"/>
      <c r="E13" s="75"/>
      <c r="F13" s="75"/>
    </row>
    <row r="14" spans="1:7">
      <c r="A14" s="7">
        <f t="shared" si="0"/>
        <v>8</v>
      </c>
      <c r="B14" s="7"/>
      <c r="C14" s="8" t="s">
        <v>259</v>
      </c>
      <c r="D14" s="75">
        <v>0</v>
      </c>
      <c r="E14" s="75">
        <v>0</v>
      </c>
      <c r="F14" s="75">
        <f t="shared" ref="F14:F20" si="2">D14+E14</f>
        <v>0</v>
      </c>
    </row>
    <row r="15" spans="1:7">
      <c r="A15" s="7">
        <f t="shared" si="0"/>
        <v>9</v>
      </c>
      <c r="B15" s="7"/>
      <c r="C15" s="8" t="s">
        <v>184</v>
      </c>
      <c r="D15" s="75">
        <v>19692141</v>
      </c>
      <c r="E15" s="75">
        <v>0</v>
      </c>
      <c r="F15" s="75">
        <f t="shared" si="2"/>
        <v>19692141</v>
      </c>
    </row>
    <row r="16" spans="1:7">
      <c r="A16" s="7">
        <f t="shared" si="0"/>
        <v>10</v>
      </c>
      <c r="B16" s="7"/>
      <c r="C16" s="8" t="s">
        <v>185</v>
      </c>
      <c r="D16" s="75">
        <v>0</v>
      </c>
      <c r="E16" s="75">
        <v>0</v>
      </c>
      <c r="F16" s="75">
        <f t="shared" si="2"/>
        <v>0</v>
      </c>
    </row>
    <row r="17" spans="1:6">
      <c r="A17" s="7">
        <f t="shared" si="0"/>
        <v>11</v>
      </c>
      <c r="B17" s="7"/>
      <c r="C17" s="8" t="s">
        <v>186</v>
      </c>
      <c r="D17" s="75">
        <v>635175</v>
      </c>
      <c r="E17" s="75">
        <v>0</v>
      </c>
      <c r="F17" s="75">
        <f t="shared" si="2"/>
        <v>635175</v>
      </c>
    </row>
    <row r="18" spans="1:6">
      <c r="A18" s="7">
        <f t="shared" si="0"/>
        <v>12</v>
      </c>
      <c r="B18" s="7"/>
      <c r="C18" s="8" t="s">
        <v>260</v>
      </c>
      <c r="D18" s="75">
        <v>0</v>
      </c>
      <c r="E18" s="75">
        <v>0</v>
      </c>
      <c r="F18" s="75">
        <f t="shared" si="2"/>
        <v>0</v>
      </c>
    </row>
    <row r="19" spans="1:6">
      <c r="A19" s="7">
        <f t="shared" si="0"/>
        <v>13</v>
      </c>
      <c r="B19" s="7"/>
      <c r="C19" s="8" t="s">
        <v>187</v>
      </c>
      <c r="D19" s="75">
        <v>0</v>
      </c>
      <c r="E19" s="75">
        <v>0</v>
      </c>
      <c r="F19" s="75">
        <f t="shared" si="2"/>
        <v>0</v>
      </c>
    </row>
    <row r="20" spans="1:6">
      <c r="A20" s="7">
        <f t="shared" si="0"/>
        <v>14</v>
      </c>
      <c r="B20" s="7"/>
      <c r="C20" s="8" t="s">
        <v>261</v>
      </c>
      <c r="D20" s="75">
        <v>0</v>
      </c>
      <c r="E20" s="75">
        <v>0</v>
      </c>
      <c r="F20" s="75">
        <f t="shared" si="2"/>
        <v>0</v>
      </c>
    </row>
    <row r="21" spans="1:6">
      <c r="A21" s="7">
        <f t="shared" si="0"/>
        <v>15</v>
      </c>
      <c r="B21" s="7"/>
      <c r="C21" s="10" t="s">
        <v>188</v>
      </c>
      <c r="D21" s="80">
        <f>SUM(D14:D20)</f>
        <v>20327316</v>
      </c>
      <c r="E21" s="80">
        <f t="shared" ref="E21:F21" si="3">SUM(E14:E20)</f>
        <v>0</v>
      </c>
      <c r="F21" s="80">
        <f t="shared" si="3"/>
        <v>20327316</v>
      </c>
    </row>
    <row r="22" spans="1:6">
      <c r="A22" s="7">
        <f t="shared" si="0"/>
        <v>16</v>
      </c>
      <c r="B22" s="7"/>
      <c r="C22" s="8"/>
      <c r="D22" s="75"/>
      <c r="E22" s="75"/>
      <c r="F22" s="75"/>
    </row>
    <row r="23" spans="1:6">
      <c r="A23" s="7">
        <f t="shared" si="0"/>
        <v>17</v>
      </c>
      <c r="B23" s="7"/>
      <c r="C23" s="8" t="s">
        <v>189</v>
      </c>
      <c r="D23" s="75">
        <v>279875</v>
      </c>
      <c r="E23" s="75">
        <v>0</v>
      </c>
      <c r="F23" s="75">
        <f t="shared" ref="F23:F32" si="4">D23+E23</f>
        <v>279875</v>
      </c>
    </row>
    <row r="24" spans="1:6">
      <c r="A24" s="7">
        <f t="shared" si="0"/>
        <v>18</v>
      </c>
      <c r="B24" s="7"/>
      <c r="C24" s="8" t="s">
        <v>190</v>
      </c>
      <c r="D24" s="75">
        <v>0</v>
      </c>
      <c r="E24" s="75">
        <v>0</v>
      </c>
      <c r="F24" s="75">
        <f t="shared" si="4"/>
        <v>0</v>
      </c>
    </row>
    <row r="25" spans="1:6">
      <c r="A25" s="7">
        <f t="shared" si="0"/>
        <v>19</v>
      </c>
      <c r="B25" s="7"/>
      <c r="C25" s="8" t="s">
        <v>191</v>
      </c>
      <c r="D25" s="75">
        <v>0</v>
      </c>
      <c r="E25" s="75">
        <v>0</v>
      </c>
      <c r="F25" s="75">
        <f t="shared" si="4"/>
        <v>0</v>
      </c>
    </row>
    <row r="26" spans="1:6">
      <c r="A26" s="7">
        <f t="shared" si="0"/>
        <v>20</v>
      </c>
      <c r="B26" s="7"/>
      <c r="C26" s="8" t="s">
        <v>192</v>
      </c>
      <c r="D26" s="75">
        <v>1221923</v>
      </c>
      <c r="E26" s="75">
        <v>0</v>
      </c>
      <c r="F26" s="75">
        <f t="shared" si="4"/>
        <v>1221923</v>
      </c>
    </row>
    <row r="27" spans="1:6">
      <c r="A27" s="7">
        <f t="shared" si="0"/>
        <v>21</v>
      </c>
      <c r="B27" s="7"/>
      <c r="C27" s="8" t="s">
        <v>194</v>
      </c>
      <c r="D27" s="75">
        <v>6729393</v>
      </c>
      <c r="E27" s="75">
        <v>0</v>
      </c>
      <c r="F27" s="75">
        <f t="shared" si="4"/>
        <v>6729393</v>
      </c>
    </row>
    <row r="28" spans="1:6">
      <c r="A28" s="7">
        <f t="shared" si="0"/>
        <v>22</v>
      </c>
      <c r="B28" s="7"/>
      <c r="C28" s="8" t="s">
        <v>193</v>
      </c>
      <c r="D28" s="75">
        <v>93007</v>
      </c>
      <c r="E28" s="75">
        <v>0</v>
      </c>
      <c r="F28" s="75">
        <f t="shared" si="4"/>
        <v>93007</v>
      </c>
    </row>
    <row r="29" spans="1:6">
      <c r="A29" s="7">
        <f t="shared" si="0"/>
        <v>23</v>
      </c>
      <c r="B29" s="7"/>
      <c r="C29" s="8" t="s">
        <v>195</v>
      </c>
      <c r="D29" s="162">
        <v>0</v>
      </c>
      <c r="E29" s="75">
        <v>0</v>
      </c>
      <c r="F29" s="75">
        <f t="shared" si="4"/>
        <v>0</v>
      </c>
    </row>
    <row r="30" spans="1:6">
      <c r="A30" s="7">
        <f t="shared" si="0"/>
        <v>24</v>
      </c>
      <c r="B30" s="7"/>
      <c r="C30" s="8" t="s">
        <v>196</v>
      </c>
      <c r="D30" s="75">
        <v>1149650</v>
      </c>
      <c r="E30" s="75">
        <v>0</v>
      </c>
      <c r="F30" s="75">
        <f t="shared" si="4"/>
        <v>1149650</v>
      </c>
    </row>
    <row r="31" spans="1:6">
      <c r="A31" s="7">
        <f t="shared" si="0"/>
        <v>25</v>
      </c>
      <c r="B31" s="7"/>
      <c r="C31" s="8" t="s">
        <v>197</v>
      </c>
      <c r="D31" s="75">
        <v>248749</v>
      </c>
      <c r="E31" s="75">
        <v>0</v>
      </c>
      <c r="F31" s="75">
        <f t="shared" si="4"/>
        <v>248749</v>
      </c>
    </row>
    <row r="32" spans="1:6">
      <c r="A32" s="7">
        <f t="shared" si="0"/>
        <v>26</v>
      </c>
      <c r="B32" s="7"/>
      <c r="C32" s="8" t="s">
        <v>198</v>
      </c>
      <c r="D32" s="75">
        <v>0</v>
      </c>
      <c r="E32" s="75">
        <v>0</v>
      </c>
      <c r="F32" s="75">
        <f t="shared" si="4"/>
        <v>0</v>
      </c>
    </row>
    <row r="33" spans="1:6">
      <c r="A33" s="7">
        <f t="shared" si="0"/>
        <v>27</v>
      </c>
      <c r="B33" s="7"/>
      <c r="C33" s="10" t="s">
        <v>199</v>
      </c>
      <c r="D33" s="80">
        <f>SUM(D23:D32)</f>
        <v>9722597</v>
      </c>
      <c r="E33" s="80">
        <f>SUM(E23:E32)</f>
        <v>0</v>
      </c>
      <c r="F33" s="80">
        <f>SUM(F23:F32)</f>
        <v>9722597</v>
      </c>
    </row>
    <row r="34" spans="1:6">
      <c r="A34" s="7">
        <f t="shared" si="0"/>
        <v>28</v>
      </c>
      <c r="B34" s="7"/>
      <c r="C34" s="8"/>
      <c r="D34" s="75"/>
      <c r="E34" s="75"/>
      <c r="F34" s="75"/>
    </row>
    <row r="35" spans="1:6">
      <c r="A35" s="7">
        <f t="shared" si="0"/>
        <v>29</v>
      </c>
      <c r="B35" s="7"/>
      <c r="C35" s="8" t="s">
        <v>200</v>
      </c>
      <c r="D35" s="75">
        <v>0</v>
      </c>
      <c r="E35" s="75">
        <v>0</v>
      </c>
      <c r="F35" s="75">
        <f>D35+E35</f>
        <v>0</v>
      </c>
    </row>
    <row r="36" spans="1:6">
      <c r="A36" s="7">
        <f t="shared" si="0"/>
        <v>30</v>
      </c>
      <c r="B36" s="7"/>
      <c r="C36" s="8" t="s">
        <v>201</v>
      </c>
      <c r="D36" s="75">
        <v>302601</v>
      </c>
      <c r="E36" s="75">
        <v>0</v>
      </c>
      <c r="F36" s="75">
        <f>D36+E36</f>
        <v>302601</v>
      </c>
    </row>
    <row r="37" spans="1:6">
      <c r="A37" s="7">
        <f t="shared" si="0"/>
        <v>31</v>
      </c>
      <c r="B37" s="7"/>
      <c r="C37" s="8"/>
      <c r="D37" s="23"/>
      <c r="E37" s="75"/>
      <c r="F37" s="75"/>
    </row>
    <row r="38" spans="1:6" ht="15" thickBot="1">
      <c r="A38" s="7">
        <f t="shared" si="0"/>
        <v>32</v>
      </c>
      <c r="B38" s="7"/>
      <c r="C38" s="13" t="s">
        <v>202</v>
      </c>
      <c r="D38" s="83">
        <f>D36+D35+D33+D21+D12</f>
        <v>83028628</v>
      </c>
      <c r="E38" s="83">
        <f>E36+E35+E33+E21+E12</f>
        <v>0</v>
      </c>
      <c r="F38" s="83">
        <f>F36+F35+F33+F21+F12</f>
        <v>83028628</v>
      </c>
    </row>
    <row r="39" spans="1:6" ht="15" thickTop="1">
      <c r="A39" s="7">
        <f t="shared" si="0"/>
        <v>33</v>
      </c>
      <c r="B39" s="7"/>
      <c r="C39" s="8"/>
      <c r="D39" s="82"/>
      <c r="E39" s="75"/>
      <c r="F39" s="75"/>
    </row>
    <row r="40" spans="1:6">
      <c r="A40" s="7">
        <f t="shared" si="0"/>
        <v>34</v>
      </c>
      <c r="B40" s="76" t="s">
        <v>203</v>
      </c>
      <c r="C40" s="8"/>
      <c r="D40" s="75"/>
      <c r="E40" s="75"/>
      <c r="F40" s="75"/>
    </row>
    <row r="41" spans="1:6">
      <c r="A41" s="7">
        <f t="shared" si="0"/>
        <v>35</v>
      </c>
      <c r="B41" s="7"/>
      <c r="C41" s="8" t="s">
        <v>204</v>
      </c>
      <c r="D41" s="75">
        <v>226975</v>
      </c>
      <c r="E41" s="16">
        <v>0</v>
      </c>
      <c r="F41" s="75">
        <f t="shared" ref="F41:F46" si="5">D41+E41</f>
        <v>226975</v>
      </c>
    </row>
    <row r="42" spans="1:6">
      <c r="A42" s="7">
        <f t="shared" si="0"/>
        <v>36</v>
      </c>
      <c r="B42" s="7"/>
      <c r="C42" s="8" t="s">
        <v>205</v>
      </c>
      <c r="D42" s="75">
        <v>42404822</v>
      </c>
      <c r="E42" s="75">
        <v>0</v>
      </c>
      <c r="F42" s="75">
        <f t="shared" si="5"/>
        <v>42404822</v>
      </c>
    </row>
    <row r="43" spans="1:6">
      <c r="A43" s="7">
        <f t="shared" si="0"/>
        <v>37</v>
      </c>
      <c r="B43" s="7"/>
      <c r="C43" s="8" t="s">
        <v>323</v>
      </c>
      <c r="D43" s="75">
        <v>-1475261</v>
      </c>
      <c r="E43" s="75">
        <v>0</v>
      </c>
      <c r="F43" s="75">
        <f t="shared" si="5"/>
        <v>-1475261</v>
      </c>
    </row>
    <row r="44" spans="1:6">
      <c r="A44" s="7">
        <f t="shared" si="0"/>
        <v>38</v>
      </c>
      <c r="B44" s="7"/>
      <c r="C44" s="8" t="s">
        <v>206</v>
      </c>
      <c r="D44" s="75">
        <v>-805354</v>
      </c>
      <c r="E44" s="75">
        <v>0</v>
      </c>
      <c r="F44" s="75">
        <f t="shared" si="5"/>
        <v>-805354</v>
      </c>
    </row>
    <row r="45" spans="1:6">
      <c r="A45" s="7">
        <f t="shared" si="0"/>
        <v>39</v>
      </c>
      <c r="B45" s="7"/>
      <c r="C45" s="8" t="s">
        <v>207</v>
      </c>
      <c r="D45" s="75">
        <v>51360</v>
      </c>
      <c r="E45" s="75">
        <v>0</v>
      </c>
      <c r="F45" s="75">
        <f t="shared" si="5"/>
        <v>51360</v>
      </c>
    </row>
    <row r="46" spans="1:6">
      <c r="A46" s="7">
        <f t="shared" si="0"/>
        <v>40</v>
      </c>
      <c r="B46" s="7"/>
      <c r="C46" s="8" t="s">
        <v>208</v>
      </c>
      <c r="D46" s="75">
        <v>-1297516</v>
      </c>
      <c r="E46" s="75">
        <v>0</v>
      </c>
      <c r="F46" s="75">
        <f t="shared" si="5"/>
        <v>-1297516</v>
      </c>
    </row>
    <row r="47" spans="1:6">
      <c r="A47" s="7">
        <f t="shared" si="0"/>
        <v>41</v>
      </c>
      <c r="B47" s="7"/>
      <c r="C47" s="10" t="s">
        <v>209</v>
      </c>
      <c r="D47" s="80">
        <f>SUM(D41:D46)</f>
        <v>39105026</v>
      </c>
      <c r="E47" s="80">
        <f>SUM(E41:E46)</f>
        <v>0</v>
      </c>
      <c r="F47" s="80">
        <f>SUM(F41:F46)</f>
        <v>39105026</v>
      </c>
    </row>
    <row r="48" spans="1:6">
      <c r="A48" s="7">
        <f t="shared" si="0"/>
        <v>42</v>
      </c>
      <c r="B48" s="7"/>
      <c r="C48" s="8"/>
      <c r="D48" s="75"/>
      <c r="E48" s="75"/>
      <c r="F48" s="75"/>
    </row>
    <row r="49" spans="1:6">
      <c r="A49" s="7">
        <f t="shared" si="0"/>
        <v>43</v>
      </c>
      <c r="B49" s="7"/>
      <c r="C49" s="8" t="s">
        <v>210</v>
      </c>
      <c r="D49" s="82">
        <v>1703892</v>
      </c>
      <c r="E49" s="75">
        <v>0</v>
      </c>
      <c r="F49" s="75">
        <f>D49+E49</f>
        <v>1703892</v>
      </c>
    </row>
    <row r="50" spans="1:6">
      <c r="A50" s="7">
        <f t="shared" si="0"/>
        <v>44</v>
      </c>
      <c r="B50" s="7"/>
      <c r="C50" s="8" t="s">
        <v>211</v>
      </c>
      <c r="D50" s="82">
        <v>28174342</v>
      </c>
      <c r="E50" s="75">
        <v>0</v>
      </c>
      <c r="F50" s="75">
        <f>D50+E50</f>
        <v>28174342</v>
      </c>
    </row>
    <row r="51" spans="1:6">
      <c r="A51" s="7">
        <f t="shared" si="0"/>
        <v>45</v>
      </c>
      <c r="B51" s="7"/>
      <c r="C51" s="8" t="s">
        <v>212</v>
      </c>
      <c r="D51" s="82">
        <v>0</v>
      </c>
      <c r="E51" s="75">
        <v>0</v>
      </c>
      <c r="F51" s="75">
        <f>D51+E51</f>
        <v>0</v>
      </c>
    </row>
    <row r="52" spans="1:6">
      <c r="A52" s="7">
        <f t="shared" si="0"/>
        <v>46</v>
      </c>
      <c r="B52" s="7"/>
      <c r="C52" s="8" t="s">
        <v>213</v>
      </c>
      <c r="D52" s="82">
        <v>894735</v>
      </c>
      <c r="E52" s="75">
        <v>0</v>
      </c>
      <c r="F52" s="75">
        <f>D52+E52</f>
        <v>894735</v>
      </c>
    </row>
    <row r="53" spans="1:6">
      <c r="A53" s="7">
        <f t="shared" si="0"/>
        <v>47</v>
      </c>
      <c r="B53" s="7"/>
      <c r="C53" s="8" t="s">
        <v>214</v>
      </c>
      <c r="D53" s="82">
        <v>0</v>
      </c>
      <c r="E53" s="75">
        <v>0</v>
      </c>
      <c r="F53" s="75">
        <f>D53+E53</f>
        <v>0</v>
      </c>
    </row>
    <row r="54" spans="1:6">
      <c r="A54" s="7">
        <f t="shared" si="0"/>
        <v>48</v>
      </c>
      <c r="B54" s="7"/>
      <c r="C54" s="10" t="s">
        <v>215</v>
      </c>
      <c r="D54" s="80">
        <f>SUM(D49:D53)</f>
        <v>30772969</v>
      </c>
      <c r="E54" s="80">
        <f>SUM(E49:E53)</f>
        <v>0</v>
      </c>
      <c r="F54" s="80">
        <f>SUM(F49:F53)</f>
        <v>30772969</v>
      </c>
    </row>
    <row r="55" spans="1:6">
      <c r="A55" s="7">
        <f t="shared" si="0"/>
        <v>49</v>
      </c>
      <c r="B55" s="7"/>
      <c r="C55" s="8"/>
      <c r="D55" s="75"/>
      <c r="E55" s="75"/>
      <c r="F55" s="75"/>
    </row>
    <row r="56" spans="1:6">
      <c r="A56" s="7">
        <f t="shared" si="0"/>
        <v>50</v>
      </c>
      <c r="B56" s="7"/>
      <c r="C56" s="8" t="s">
        <v>216</v>
      </c>
      <c r="D56" s="75">
        <v>4493793</v>
      </c>
      <c r="E56" s="75">
        <v>0</v>
      </c>
      <c r="F56" s="75">
        <f>D56+E56</f>
        <v>4493793</v>
      </c>
    </row>
    <row r="57" spans="1:6">
      <c r="A57" s="7">
        <f t="shared" si="0"/>
        <v>51</v>
      </c>
      <c r="B57" s="7"/>
      <c r="C57" s="8"/>
      <c r="D57" s="75"/>
      <c r="E57" s="75"/>
      <c r="F57" s="75"/>
    </row>
    <row r="58" spans="1:6">
      <c r="A58" s="7">
        <f t="shared" si="0"/>
        <v>52</v>
      </c>
      <c r="B58" s="7"/>
      <c r="C58" s="8" t="s">
        <v>217</v>
      </c>
      <c r="D58" s="75">
        <v>0</v>
      </c>
      <c r="E58" s="75">
        <v>0</v>
      </c>
      <c r="F58" s="75">
        <f t="shared" ref="F58:F63" si="6">D58+E58</f>
        <v>0</v>
      </c>
    </row>
    <row r="59" spans="1:6">
      <c r="A59" s="7">
        <f t="shared" si="0"/>
        <v>53</v>
      </c>
      <c r="B59" s="7"/>
      <c r="C59" s="8" t="s">
        <v>218</v>
      </c>
      <c r="D59" s="75">
        <v>3807527</v>
      </c>
      <c r="E59" s="75">
        <v>0</v>
      </c>
      <c r="F59" s="75">
        <f t="shared" si="6"/>
        <v>3807527</v>
      </c>
    </row>
    <row r="60" spans="1:6">
      <c r="A60" s="7">
        <f t="shared" si="0"/>
        <v>54</v>
      </c>
      <c r="B60" s="7"/>
      <c r="C60" s="8" t="s">
        <v>219</v>
      </c>
      <c r="D60" s="75">
        <v>2386026</v>
      </c>
      <c r="E60" s="75">
        <v>0</v>
      </c>
      <c r="F60" s="75">
        <f t="shared" si="6"/>
        <v>2386026</v>
      </c>
    </row>
    <row r="61" spans="1:6">
      <c r="A61" s="7">
        <f t="shared" si="0"/>
        <v>55</v>
      </c>
      <c r="B61" s="7"/>
      <c r="C61" s="8" t="s">
        <v>262</v>
      </c>
      <c r="D61" s="75">
        <v>1417244</v>
      </c>
      <c r="E61" s="75">
        <v>0</v>
      </c>
      <c r="F61" s="75">
        <f t="shared" si="6"/>
        <v>1417244</v>
      </c>
    </row>
    <row r="62" spans="1:6">
      <c r="A62" s="7">
        <f t="shared" si="0"/>
        <v>56</v>
      </c>
      <c r="B62" s="7"/>
      <c r="C62" s="8" t="s">
        <v>263</v>
      </c>
      <c r="D62" s="75">
        <v>0</v>
      </c>
      <c r="E62" s="75">
        <v>0</v>
      </c>
      <c r="F62" s="75">
        <f t="shared" si="6"/>
        <v>0</v>
      </c>
    </row>
    <row r="63" spans="1:6">
      <c r="A63" s="7">
        <f t="shared" si="0"/>
        <v>57</v>
      </c>
      <c r="B63" s="7"/>
      <c r="C63" s="8" t="s">
        <v>220</v>
      </c>
      <c r="D63" s="75">
        <v>710667</v>
      </c>
      <c r="E63" s="75">
        <v>0</v>
      </c>
      <c r="F63" s="75">
        <f t="shared" si="6"/>
        <v>710667</v>
      </c>
    </row>
    <row r="64" spans="1:6">
      <c r="A64" s="7">
        <f t="shared" si="0"/>
        <v>58</v>
      </c>
      <c r="B64" s="7"/>
      <c r="C64" s="10" t="s">
        <v>221</v>
      </c>
      <c r="D64" s="80">
        <f>SUM(D58:D63)</f>
        <v>8321464</v>
      </c>
      <c r="E64" s="80">
        <f>SUM(E58:E63)</f>
        <v>0</v>
      </c>
      <c r="F64" s="80">
        <f>SUM(F58:F63)</f>
        <v>8321464</v>
      </c>
    </row>
    <row r="65" spans="1:8">
      <c r="A65" s="7">
        <f t="shared" si="0"/>
        <v>59</v>
      </c>
      <c r="B65" s="7"/>
      <c r="C65" s="8"/>
      <c r="D65" s="75"/>
      <c r="E65" s="75"/>
      <c r="F65" s="75"/>
    </row>
    <row r="66" spans="1:8">
      <c r="A66" s="7">
        <f t="shared" si="0"/>
        <v>60</v>
      </c>
      <c r="B66" s="7"/>
      <c r="C66" s="8" t="s">
        <v>222</v>
      </c>
      <c r="D66" s="75">
        <v>0</v>
      </c>
      <c r="E66" s="75">
        <v>0</v>
      </c>
      <c r="F66" s="75">
        <f>D66+E66</f>
        <v>0</v>
      </c>
    </row>
    <row r="67" spans="1:8">
      <c r="A67" s="7">
        <f t="shared" si="0"/>
        <v>61</v>
      </c>
      <c r="B67" s="7"/>
      <c r="C67" s="8" t="s">
        <v>223</v>
      </c>
      <c r="D67" s="75">
        <v>335376</v>
      </c>
      <c r="E67" s="75">
        <v>0</v>
      </c>
      <c r="F67" s="75">
        <f>D67+E67</f>
        <v>335376</v>
      </c>
    </row>
    <row r="68" spans="1:8" ht="15" thickBot="1">
      <c r="A68" s="7">
        <f t="shared" si="0"/>
        <v>62</v>
      </c>
      <c r="B68" s="7"/>
      <c r="C68" s="13" t="s">
        <v>224</v>
      </c>
      <c r="D68" s="83">
        <f>D67+D66+D64+D56+D54+D47</f>
        <v>83028628</v>
      </c>
      <c r="E68" s="83">
        <f>E67+E66+E64+E56+E54+E47</f>
        <v>0</v>
      </c>
      <c r="F68" s="83">
        <f>F67+F66+F64+F56+F54+F47</f>
        <v>83028628</v>
      </c>
      <c r="H68" s="327"/>
    </row>
    <row r="69" spans="1:8" ht="15" thickTop="1">
      <c r="A69" s="7"/>
      <c r="B69" s="7"/>
      <c r="C69" s="8"/>
      <c r="D69" s="75"/>
      <c r="E69" s="75"/>
      <c r="F69" s="75"/>
    </row>
    <row r="70" spans="1:8">
      <c r="A70" s="7"/>
      <c r="B70" s="7"/>
      <c r="C70" s="8"/>
      <c r="D70" s="23"/>
      <c r="E70" s="75"/>
      <c r="F70" s="75"/>
    </row>
    <row r="71" spans="1:8">
      <c r="A71" s="7"/>
      <c r="B71" s="7"/>
      <c r="C71" s="8"/>
      <c r="D71" s="23"/>
      <c r="E71" s="75"/>
      <c r="F71" s="75"/>
    </row>
    <row r="72" spans="1:8">
      <c r="A72" s="7"/>
      <c r="B72" s="7"/>
      <c r="C72" s="8"/>
      <c r="D72" s="23"/>
      <c r="E72" s="75"/>
      <c r="F72" s="75"/>
    </row>
    <row r="73" spans="1:8">
      <c r="A73" s="7"/>
      <c r="B73" s="7"/>
      <c r="C73" s="8"/>
      <c r="D73" s="23"/>
      <c r="E73" s="75"/>
      <c r="F73" s="75"/>
    </row>
    <row r="74" spans="1:8">
      <c r="C74" s="8"/>
      <c r="D74" s="23"/>
      <c r="E74" s="75"/>
      <c r="F74" s="75"/>
    </row>
  </sheetData>
  <mergeCells count="2">
    <mergeCell ref="A1:F1"/>
    <mergeCell ref="A2:F2"/>
  </mergeCells>
  <printOptions horizontalCentered="1"/>
  <pageMargins left="1" right="0.75" top="0.75" bottom="0.75" header="0.3" footer="0.3"/>
  <pageSetup scale="69" orientation="portrait" r:id="rId1"/>
  <headerFooter>
    <oddFooter>&amp;RRevised Exhibit  JW-2
Page &amp;P of &amp;N</oddFooter>
  </headerFooter>
  <ignoredErrors>
    <ignoredError sqref="F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AH151"/>
  <sheetViews>
    <sheetView defaultGridColor="0" view="pageBreakPreview" topLeftCell="A17" colorId="22" zoomScale="60" zoomScaleNormal="75" workbookViewId="0">
      <selection activeCell="I61" sqref="I61"/>
    </sheetView>
  </sheetViews>
  <sheetFormatPr defaultColWidth="12.5546875" defaultRowHeight="13.8"/>
  <cols>
    <col min="1" max="1" width="6.109375" style="52" customWidth="1"/>
    <col min="2" max="2" width="33.109375" style="50" customWidth="1"/>
    <col min="3" max="3" width="12.33203125" style="50" customWidth="1"/>
    <col min="4" max="4" width="15.5546875" style="50" customWidth="1"/>
    <col min="5" max="5" width="13" style="50" bestFit="1" customWidth="1"/>
    <col min="6" max="6" width="14.33203125" style="50" customWidth="1"/>
    <col min="7" max="7" width="11.88671875" style="50" bestFit="1" customWidth="1"/>
    <col min="8" max="8" width="11.44140625" style="50" bestFit="1" customWidth="1"/>
    <col min="9" max="9" width="14.33203125" style="50" customWidth="1"/>
    <col min="10" max="10" width="12.88671875" style="50" bestFit="1" customWidth="1"/>
    <col min="11" max="11" width="9.6640625" style="50" bestFit="1" customWidth="1"/>
    <col min="12" max="12" width="10.6640625" style="50" customWidth="1"/>
    <col min="13" max="13" width="11.109375" style="50" customWidth="1"/>
    <col min="14" max="14" width="10" style="50" customWidth="1"/>
    <col min="15" max="15" width="11.88671875" style="50" customWidth="1"/>
    <col min="16" max="16" width="13.33203125" style="50" customWidth="1"/>
    <col min="17" max="17" width="12" style="50" hidden="1" customWidth="1"/>
    <col min="18" max="18" width="14.44140625" style="50" hidden="1" customWidth="1"/>
    <col min="19" max="19" width="11.44140625" style="50" hidden="1" customWidth="1"/>
    <col min="20" max="20" width="2.33203125" style="50" hidden="1" customWidth="1"/>
    <col min="21" max="21" width="11.88671875" style="50" bestFit="1" customWidth="1"/>
    <col min="22" max="22" width="3.5546875" style="50" customWidth="1"/>
    <col min="23" max="23" width="15.5546875" style="50" bestFit="1" customWidth="1"/>
    <col min="24" max="24" width="12.6640625" style="50" bestFit="1" customWidth="1"/>
    <col min="25" max="16384" width="12.5546875" style="50"/>
  </cols>
  <sheetData>
    <row r="1" spans="1:34">
      <c r="A1" s="51"/>
      <c r="B1" s="65" t="str">
        <f>RevReq!A1</f>
        <v>LICKING VALLEY R.E.C.C.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8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4">
      <c r="A2" s="51"/>
      <c r="B2" s="65" t="s">
        <v>176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8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</row>
    <row r="3" spans="1:34" s="52" customForma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</row>
    <row r="4" spans="1:34">
      <c r="A4" s="51"/>
      <c r="B4" s="48" t="s">
        <v>255</v>
      </c>
      <c r="C4" s="51">
        <v>1.01</v>
      </c>
      <c r="D4" s="51">
        <v>1.02</v>
      </c>
      <c r="E4" s="51">
        <v>1.03</v>
      </c>
      <c r="F4" s="51">
        <v>1.04</v>
      </c>
      <c r="G4" s="51">
        <v>1.05</v>
      </c>
      <c r="H4" s="51">
        <v>1.06</v>
      </c>
      <c r="I4" s="51">
        <v>1.07</v>
      </c>
      <c r="J4" s="51">
        <v>1.08</v>
      </c>
      <c r="K4" s="51">
        <v>1.0900000000000001</v>
      </c>
      <c r="L4" s="53">
        <v>1.1000000000000001</v>
      </c>
      <c r="M4" s="53">
        <v>1.1100000000000001</v>
      </c>
      <c r="N4" s="53">
        <v>1.1200000000000001</v>
      </c>
      <c r="O4" s="53">
        <v>1.1299999999999999</v>
      </c>
      <c r="P4" s="51">
        <v>1.1399999999999999</v>
      </c>
      <c r="Q4" s="51">
        <v>1.1499999999999999</v>
      </c>
      <c r="R4" s="51">
        <v>1.1599999999999999</v>
      </c>
      <c r="S4" s="51">
        <v>1.17</v>
      </c>
      <c r="T4" s="51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</row>
    <row r="5" spans="1:34" ht="9" customHeight="1">
      <c r="A5" s="51"/>
      <c r="B5" s="49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4"/>
      <c r="R5" s="54"/>
      <c r="S5" s="51"/>
      <c r="T5" s="51"/>
      <c r="U5" s="51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</row>
    <row r="6" spans="1:34" s="56" customFormat="1" ht="44.25" customHeight="1">
      <c r="A6" s="55"/>
      <c r="B6" s="104" t="s">
        <v>256</v>
      </c>
      <c r="C6" s="55" t="str">
        <f>'Adj List'!C7</f>
        <v>Fuel Adjustment Clause</v>
      </c>
      <c r="D6" s="55" t="str">
        <f>'Adj List'!C8</f>
        <v>Environmental Surcharge</v>
      </c>
      <c r="E6" s="55" t="str">
        <f>'Adj List'!C9</f>
        <v>Rate Case Expenses</v>
      </c>
      <c r="F6" s="55" t="str">
        <f>'Adj List'!C10</f>
        <v>Year-End Customer Normalization</v>
      </c>
      <c r="G6" s="55" t="str">
        <f>'Adj List'!C11</f>
        <v>GTCC</v>
      </c>
      <c r="H6" s="55" t="str">
        <f>'Adj List'!C12</f>
        <v>Health Insurance Premiums</v>
      </c>
      <c r="I6" s="55" t="str">
        <f>'Adj List'!C13</f>
        <v>Depreciation Expense Normalization</v>
      </c>
      <c r="J6" s="55" t="str">
        <f>'Adj List'!C14</f>
        <v>Donations, Advertising &amp; Dues</v>
      </c>
      <c r="K6" s="55" t="str">
        <f>'Adj List'!C15</f>
        <v>Directors Expense</v>
      </c>
      <c r="L6" s="55" t="str">
        <f>'Adj List'!C16</f>
        <v>Life Insurance Premiums</v>
      </c>
      <c r="M6" s="55" t="str">
        <f>'Adj List'!C17</f>
        <v>Interest Expense</v>
      </c>
      <c r="N6" s="55" t="str">
        <f>'Adj List'!C18</f>
        <v>Wages &amp; Salaries</v>
      </c>
      <c r="O6" s="55" t="str">
        <f>'Adj List'!C19</f>
        <v>Payroll Taxes</v>
      </c>
      <c r="P6" s="55" t="str">
        <f>'Adj List'!C20</f>
        <v>Professional Services</v>
      </c>
      <c r="Q6" s="55"/>
      <c r="R6" s="55"/>
      <c r="S6" s="55"/>
      <c r="T6" s="55"/>
      <c r="U6" s="55" t="s">
        <v>14</v>
      </c>
      <c r="V6" s="55"/>
      <c r="W6" s="55" t="s">
        <v>253</v>
      </c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</row>
    <row r="7" spans="1:34">
      <c r="A7" s="51">
        <v>1</v>
      </c>
      <c r="B7" s="4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49"/>
      <c r="W7" s="49"/>
      <c r="X7" s="49"/>
      <c r="Y7" s="39"/>
      <c r="Z7" s="39"/>
      <c r="AA7" s="39"/>
      <c r="AB7" s="39"/>
      <c r="AC7" s="39"/>
      <c r="AD7" s="39"/>
      <c r="AE7" s="39"/>
      <c r="AF7" s="39"/>
      <c r="AG7" s="39"/>
      <c r="AH7" s="49"/>
    </row>
    <row r="8" spans="1:34">
      <c r="A8" s="51">
        <f t="shared" ref="A8:A42" si="0">(A7+1)</f>
        <v>2</v>
      </c>
      <c r="B8" s="57" t="s">
        <v>97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49"/>
      <c r="W8" s="49"/>
      <c r="X8" s="49"/>
      <c r="Y8" s="39"/>
      <c r="Z8" s="39"/>
      <c r="AA8" s="39"/>
      <c r="AB8" s="39"/>
      <c r="AC8" s="39"/>
      <c r="AD8" s="39"/>
      <c r="AE8" s="39"/>
      <c r="AF8" s="39"/>
      <c r="AG8" s="39"/>
      <c r="AH8" s="49"/>
    </row>
    <row r="9" spans="1:34">
      <c r="A9" s="51">
        <f t="shared" si="0"/>
        <v>3</v>
      </c>
      <c r="B9" s="49" t="s">
        <v>106</v>
      </c>
      <c r="C9" s="39"/>
      <c r="D9" s="39"/>
      <c r="E9" s="39"/>
      <c r="F9" s="39">
        <f>'Adj List'!D10</f>
        <v>3355072.8607940977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>
        <f>SUM(C9:T9)</f>
        <v>3355072.8607940977</v>
      </c>
      <c r="V9" s="49"/>
      <c r="W9" s="49"/>
      <c r="X9" s="49"/>
      <c r="Y9" s="39"/>
      <c r="Z9" s="39"/>
      <c r="AA9" s="39"/>
      <c r="AB9" s="39"/>
      <c r="AC9" s="39"/>
      <c r="AD9" s="39"/>
      <c r="AE9" s="39"/>
      <c r="AF9" s="39"/>
      <c r="AG9" s="39"/>
      <c r="AH9" s="49"/>
    </row>
    <row r="10" spans="1:34">
      <c r="A10" s="51">
        <f t="shared" si="0"/>
        <v>4</v>
      </c>
      <c r="B10" s="49" t="s">
        <v>107</v>
      </c>
      <c r="C10" s="39">
        <f>'Adj List'!D7</f>
        <v>-2996611.08</v>
      </c>
      <c r="D10" s="39">
        <f>'Adj List'!D8</f>
        <v>-3233287.46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>
        <f t="shared" ref="U10:U47" si="1">SUM(C10:T10)</f>
        <v>-6229898.54</v>
      </c>
      <c r="V10" s="49"/>
      <c r="W10" s="58"/>
      <c r="X10" s="58"/>
      <c r="Y10" s="39"/>
      <c r="Z10" s="39"/>
      <c r="AA10" s="39"/>
      <c r="AB10" s="39"/>
      <c r="AC10" s="39"/>
      <c r="AD10" s="39"/>
      <c r="AE10" s="39"/>
      <c r="AF10" s="39"/>
      <c r="AG10" s="39"/>
      <c r="AH10" s="49"/>
    </row>
    <row r="11" spans="1:34">
      <c r="A11" s="51">
        <f t="shared" si="0"/>
        <v>5</v>
      </c>
      <c r="B11" s="49" t="s">
        <v>108</v>
      </c>
      <c r="C11" s="39"/>
      <c r="D11" s="39"/>
      <c r="E11" s="39"/>
      <c r="F11" s="39"/>
      <c r="G11" s="39"/>
      <c r="H11" s="39">
        <f>'Adj List'!D12</f>
        <v>0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59">
        <f t="shared" si="1"/>
        <v>0</v>
      </c>
      <c r="V11" s="49"/>
      <c r="W11" s="49"/>
      <c r="X11" s="49"/>
      <c r="Y11" s="39"/>
      <c r="Z11" s="39"/>
      <c r="AA11" s="39"/>
      <c r="AB11" s="39"/>
      <c r="AC11" s="39"/>
      <c r="AD11" s="39"/>
      <c r="AE11" s="39"/>
      <c r="AF11" s="39"/>
      <c r="AG11" s="39"/>
      <c r="AH11" s="49"/>
    </row>
    <row r="12" spans="1:34">
      <c r="A12" s="51">
        <f t="shared" si="0"/>
        <v>6</v>
      </c>
      <c r="B12" s="60" t="s">
        <v>100</v>
      </c>
      <c r="C12" s="61">
        <f t="shared" ref="C12:S12" si="2">SUM(C7:C11)</f>
        <v>-2996611.08</v>
      </c>
      <c r="D12" s="61">
        <f t="shared" si="2"/>
        <v>-3233287.46</v>
      </c>
      <c r="E12" s="61">
        <f t="shared" si="2"/>
        <v>0</v>
      </c>
      <c r="F12" s="61">
        <f t="shared" si="2"/>
        <v>3355072.8607940977</v>
      </c>
      <c r="G12" s="61">
        <f t="shared" si="2"/>
        <v>0</v>
      </c>
      <c r="H12" s="61">
        <f t="shared" si="2"/>
        <v>0</v>
      </c>
      <c r="I12" s="61">
        <f t="shared" si="2"/>
        <v>0</v>
      </c>
      <c r="J12" s="61">
        <f t="shared" si="2"/>
        <v>0</v>
      </c>
      <c r="K12" s="61">
        <f t="shared" si="2"/>
        <v>0</v>
      </c>
      <c r="L12" s="61">
        <f t="shared" si="2"/>
        <v>0</v>
      </c>
      <c r="M12" s="61">
        <f t="shared" si="2"/>
        <v>0</v>
      </c>
      <c r="N12" s="61">
        <f t="shared" si="2"/>
        <v>0</v>
      </c>
      <c r="O12" s="61">
        <f t="shared" si="2"/>
        <v>0</v>
      </c>
      <c r="P12" s="61">
        <f t="shared" si="2"/>
        <v>0</v>
      </c>
      <c r="Q12" s="61">
        <f t="shared" si="2"/>
        <v>0</v>
      </c>
      <c r="R12" s="61">
        <f t="shared" si="2"/>
        <v>0</v>
      </c>
      <c r="S12" s="61">
        <f t="shared" si="2"/>
        <v>0</v>
      </c>
      <c r="T12" s="61"/>
      <c r="U12" s="61">
        <f t="shared" si="1"/>
        <v>-2874825.6792059024</v>
      </c>
      <c r="V12" s="49"/>
      <c r="W12" s="39">
        <f>U12-'Adj List'!D23</f>
        <v>0</v>
      </c>
      <c r="X12" s="49"/>
      <c r="Y12" s="39"/>
      <c r="Z12" s="39"/>
      <c r="AA12" s="39"/>
      <c r="AB12" s="39"/>
      <c r="AC12" s="39"/>
      <c r="AD12" s="39"/>
      <c r="AE12" s="39"/>
      <c r="AF12" s="39"/>
      <c r="AG12" s="39"/>
      <c r="AH12" s="49"/>
    </row>
    <row r="13" spans="1:34">
      <c r="A13" s="51">
        <f t="shared" si="0"/>
        <v>7</v>
      </c>
      <c r="B13" s="49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49"/>
      <c r="W13" s="49"/>
      <c r="X13" s="49"/>
      <c r="Y13" s="39"/>
      <c r="Z13" s="39"/>
      <c r="AA13" s="39"/>
      <c r="AB13" s="39"/>
      <c r="AC13" s="39"/>
      <c r="AD13" s="39"/>
      <c r="AE13" s="39"/>
      <c r="AF13" s="39"/>
      <c r="AG13" s="39"/>
      <c r="AH13" s="49"/>
    </row>
    <row r="14" spans="1:34">
      <c r="A14" s="51">
        <f t="shared" si="0"/>
        <v>8</v>
      </c>
      <c r="B14" s="57" t="s">
        <v>78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9"/>
      <c r="W14" s="49"/>
      <c r="X14" s="49"/>
      <c r="Y14" s="39"/>
      <c r="Z14" s="39"/>
      <c r="AA14" s="39"/>
      <c r="AB14" s="39"/>
      <c r="AC14" s="39"/>
      <c r="AD14" s="39"/>
      <c r="AE14" s="39"/>
      <c r="AF14" s="39"/>
      <c r="AG14" s="39"/>
      <c r="AH14" s="49"/>
    </row>
    <row r="15" spans="1:34">
      <c r="A15" s="51">
        <f t="shared" si="0"/>
        <v>9</v>
      </c>
      <c r="B15" s="49" t="s">
        <v>79</v>
      </c>
      <c r="C15" s="39"/>
      <c r="D15" s="39"/>
      <c r="E15" s="39"/>
      <c r="F15" s="39">
        <f>'Adj List'!E10</f>
        <v>3097238.9457101217</v>
      </c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>
        <f t="shared" si="1"/>
        <v>3097238.9457101217</v>
      </c>
      <c r="V15" s="49"/>
      <c r="W15" s="49"/>
      <c r="X15" s="49"/>
      <c r="Y15" s="39"/>
      <c r="Z15" s="39"/>
      <c r="AA15" s="39"/>
      <c r="AB15" s="39"/>
      <c r="AC15" s="39"/>
      <c r="AD15" s="39"/>
      <c r="AE15" s="39"/>
      <c r="AF15" s="39"/>
      <c r="AG15" s="39"/>
      <c r="AH15" s="49"/>
    </row>
    <row r="16" spans="1:34">
      <c r="A16" s="51">
        <f t="shared" si="0"/>
        <v>10</v>
      </c>
      <c r="B16" s="4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>
        <f t="shared" si="1"/>
        <v>0</v>
      </c>
      <c r="V16" s="49"/>
      <c r="W16" s="49"/>
      <c r="X16" s="49"/>
      <c r="Y16" s="39"/>
      <c r="Z16" s="39"/>
      <c r="AA16" s="39"/>
      <c r="AB16" s="39"/>
      <c r="AC16" s="39"/>
      <c r="AD16" s="39"/>
      <c r="AE16" s="39"/>
      <c r="AF16" s="39"/>
      <c r="AG16" s="39"/>
      <c r="AH16" s="49"/>
    </row>
    <row r="17" spans="1:34">
      <c r="A17" s="51">
        <f t="shared" si="0"/>
        <v>11</v>
      </c>
      <c r="B17" s="49" t="s">
        <v>98</v>
      </c>
      <c r="C17" s="39">
        <f>'Adj List'!E7</f>
        <v>-2766319</v>
      </c>
      <c r="D17" s="39">
        <f>'Adj List'!E8</f>
        <v>-3062968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>
        <f t="shared" si="1"/>
        <v>-5829287</v>
      </c>
      <c r="V17" s="49"/>
      <c r="W17" s="49"/>
      <c r="X17" s="49"/>
      <c r="Y17" s="39"/>
      <c r="Z17" s="39"/>
      <c r="AA17" s="39"/>
      <c r="AB17" s="39"/>
      <c r="AC17" s="39"/>
      <c r="AD17" s="39"/>
      <c r="AE17" s="39"/>
      <c r="AF17" s="39"/>
      <c r="AG17" s="39"/>
      <c r="AH17" s="49"/>
    </row>
    <row r="18" spans="1:34">
      <c r="A18" s="51">
        <f t="shared" si="0"/>
        <v>12</v>
      </c>
      <c r="B18" s="49" t="s">
        <v>109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>
        <f t="shared" si="1"/>
        <v>0</v>
      </c>
      <c r="V18" s="49"/>
      <c r="W18" s="49"/>
      <c r="X18" s="49"/>
      <c r="Y18" s="39"/>
      <c r="Z18" s="39"/>
      <c r="AA18" s="39"/>
      <c r="AB18" s="39"/>
      <c r="AC18" s="39"/>
      <c r="AD18" s="39"/>
      <c r="AE18" s="39"/>
      <c r="AF18" s="39"/>
      <c r="AG18" s="39"/>
      <c r="AH18" s="49"/>
    </row>
    <row r="19" spans="1:34">
      <c r="A19" s="51">
        <f t="shared" si="0"/>
        <v>13</v>
      </c>
      <c r="B19" s="49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>
        <f t="shared" si="1"/>
        <v>0</v>
      </c>
      <c r="V19" s="49"/>
      <c r="W19" s="49"/>
      <c r="X19" s="49"/>
      <c r="Y19" s="39"/>
      <c r="Z19" s="39"/>
      <c r="AA19" s="39"/>
      <c r="AB19" s="39"/>
      <c r="AC19" s="39"/>
      <c r="AD19" s="39"/>
      <c r="AE19" s="39"/>
      <c r="AF19" s="39"/>
      <c r="AG19" s="39"/>
      <c r="AH19" s="49"/>
    </row>
    <row r="20" spans="1:34">
      <c r="A20" s="51">
        <f t="shared" si="0"/>
        <v>14</v>
      </c>
      <c r="B20" s="49" t="s">
        <v>111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>
        <f t="shared" si="1"/>
        <v>0</v>
      </c>
      <c r="V20" s="49"/>
      <c r="W20" s="49"/>
      <c r="X20" s="49"/>
      <c r="Y20" s="39"/>
      <c r="Z20" s="39"/>
      <c r="AA20" s="39"/>
      <c r="AB20" s="39"/>
      <c r="AC20" s="39"/>
      <c r="AD20" s="39"/>
      <c r="AE20" s="39"/>
      <c r="AF20" s="39"/>
      <c r="AG20" s="39"/>
      <c r="AH20" s="49"/>
    </row>
    <row r="21" spans="1:34">
      <c r="A21" s="51">
        <f t="shared" si="0"/>
        <v>15</v>
      </c>
      <c r="B21" s="49" t="s">
        <v>83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>
        <f t="shared" si="1"/>
        <v>0</v>
      </c>
      <c r="V21" s="49"/>
      <c r="W21" s="49"/>
      <c r="X21" s="49"/>
      <c r="Y21" s="39"/>
      <c r="Z21" s="39"/>
      <c r="AA21" s="39"/>
      <c r="AB21" s="39"/>
      <c r="AC21" s="39"/>
      <c r="AD21" s="39"/>
      <c r="AE21" s="39"/>
      <c r="AF21" s="39"/>
      <c r="AG21" s="39"/>
      <c r="AH21" s="49"/>
    </row>
    <row r="22" spans="1:34">
      <c r="A22" s="51">
        <f t="shared" si="0"/>
        <v>16</v>
      </c>
      <c r="B22" s="49" t="s">
        <v>112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>
        <f t="shared" si="1"/>
        <v>0</v>
      </c>
      <c r="V22" s="49"/>
      <c r="W22" s="49"/>
      <c r="X22" s="49"/>
      <c r="Y22" s="39"/>
      <c r="Z22" s="39"/>
      <c r="AA22" s="39"/>
      <c r="AB22" s="39"/>
      <c r="AC22" s="39"/>
      <c r="AD22" s="39"/>
      <c r="AE22" s="39"/>
      <c r="AF22" s="39"/>
      <c r="AG22" s="39"/>
      <c r="AH22" s="49"/>
    </row>
    <row r="23" spans="1:34">
      <c r="A23" s="51">
        <f t="shared" si="0"/>
        <v>17</v>
      </c>
      <c r="B23" s="49" t="s">
        <v>113</v>
      </c>
      <c r="C23" s="39"/>
      <c r="D23" s="39"/>
      <c r="E23" s="39">
        <f>'Adj List'!E9</f>
        <v>53333.33</v>
      </c>
      <c r="F23" s="39"/>
      <c r="G23" s="39"/>
      <c r="H23" s="39">
        <f>'Adj List'!E12</f>
        <v>-178890.10990000004</v>
      </c>
      <c r="I23" s="39"/>
      <c r="J23" s="39">
        <f>'Adj List'!E14</f>
        <v>-212372.79</v>
      </c>
      <c r="K23" s="39">
        <f>'Adj List'!E15</f>
        <v>-24086.799999999996</v>
      </c>
      <c r="L23" s="39"/>
      <c r="M23" s="39"/>
      <c r="N23" s="39">
        <f>'Adj List'!E18</f>
        <v>49770.470364575129</v>
      </c>
      <c r="O23" s="39">
        <f>'Adj List'!E19</f>
        <v>28988.228161768689</v>
      </c>
      <c r="P23" s="39">
        <f>'Adj List'!E20</f>
        <v>-16798.75</v>
      </c>
      <c r="Q23" s="39"/>
      <c r="R23" s="39"/>
      <c r="S23" s="39"/>
      <c r="T23" s="39"/>
      <c r="U23" s="39">
        <f t="shared" si="1"/>
        <v>-300056.42137365619</v>
      </c>
      <c r="V23" s="49"/>
      <c r="W23" s="49"/>
      <c r="X23" s="49"/>
      <c r="Y23" s="39"/>
      <c r="Z23" s="39"/>
      <c r="AA23" s="39"/>
      <c r="AB23" s="39"/>
      <c r="AC23" s="39"/>
      <c r="AD23" s="39"/>
      <c r="AE23" s="39"/>
      <c r="AF23" s="39"/>
      <c r="AG23" s="39"/>
      <c r="AH23" s="49"/>
    </row>
    <row r="24" spans="1:34">
      <c r="A24" s="51">
        <f t="shared" si="0"/>
        <v>18</v>
      </c>
      <c r="B24" s="60" t="s">
        <v>102</v>
      </c>
      <c r="C24" s="61">
        <f t="shared" ref="C24:S24" si="3">SUM(C15:C23)</f>
        <v>-2766319</v>
      </c>
      <c r="D24" s="61">
        <f t="shared" si="3"/>
        <v>-3062968</v>
      </c>
      <c r="E24" s="61">
        <f t="shared" si="3"/>
        <v>53333.33</v>
      </c>
      <c r="F24" s="61">
        <f t="shared" si="3"/>
        <v>3097238.9457101217</v>
      </c>
      <c r="G24" s="61">
        <f t="shared" si="3"/>
        <v>0</v>
      </c>
      <c r="H24" s="61">
        <f t="shared" si="3"/>
        <v>-178890.10990000004</v>
      </c>
      <c r="I24" s="61">
        <f t="shared" si="3"/>
        <v>0</v>
      </c>
      <c r="J24" s="61">
        <f t="shared" si="3"/>
        <v>-212372.79</v>
      </c>
      <c r="K24" s="61">
        <f t="shared" si="3"/>
        <v>-24086.799999999996</v>
      </c>
      <c r="L24" s="61">
        <f t="shared" si="3"/>
        <v>0</v>
      </c>
      <c r="M24" s="61">
        <f t="shared" si="3"/>
        <v>0</v>
      </c>
      <c r="N24" s="61">
        <f t="shared" si="3"/>
        <v>49770.470364575129</v>
      </c>
      <c r="O24" s="61">
        <f t="shared" si="3"/>
        <v>28988.228161768689</v>
      </c>
      <c r="P24" s="61">
        <f t="shared" si="3"/>
        <v>-16798.75</v>
      </c>
      <c r="Q24" s="61">
        <f t="shared" si="3"/>
        <v>0</v>
      </c>
      <c r="R24" s="61">
        <f t="shared" si="3"/>
        <v>0</v>
      </c>
      <c r="S24" s="61">
        <f t="shared" si="3"/>
        <v>0</v>
      </c>
      <c r="T24" s="61">
        <f>SUM(T15:T23)</f>
        <v>0</v>
      </c>
      <c r="U24" s="61">
        <f t="shared" si="1"/>
        <v>-3032104.4756635344</v>
      </c>
      <c r="V24" s="49"/>
      <c r="W24" s="39"/>
      <c r="X24" s="49"/>
      <c r="Y24" s="39"/>
      <c r="Z24" s="39"/>
      <c r="AA24" s="39"/>
      <c r="AB24" s="39"/>
      <c r="AC24" s="39"/>
      <c r="AD24" s="39"/>
      <c r="AE24" s="39"/>
      <c r="AF24" s="39"/>
      <c r="AG24" s="39"/>
      <c r="AH24" s="49"/>
    </row>
    <row r="25" spans="1:34">
      <c r="A25" s="51">
        <f t="shared" si="0"/>
        <v>19</v>
      </c>
      <c r="B25" s="49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49"/>
      <c r="W25" s="49"/>
      <c r="X25" s="49"/>
      <c r="Y25" s="39"/>
      <c r="Z25" s="39"/>
      <c r="AA25" s="39"/>
      <c r="AB25" s="39"/>
      <c r="AC25" s="39"/>
      <c r="AD25" s="39"/>
      <c r="AE25" s="39"/>
      <c r="AF25" s="39"/>
      <c r="AG25" s="39"/>
      <c r="AH25" s="49"/>
    </row>
    <row r="26" spans="1:34">
      <c r="A26" s="51">
        <f t="shared" si="0"/>
        <v>20</v>
      </c>
      <c r="B26" s="49" t="s">
        <v>29</v>
      </c>
      <c r="C26" s="39"/>
      <c r="D26" s="39"/>
      <c r="E26" s="39"/>
      <c r="F26" s="39"/>
      <c r="G26" s="39"/>
      <c r="H26" s="39"/>
      <c r="I26" s="39">
        <f>'Adj List'!E13</f>
        <v>239443.28000000014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>
        <f t="shared" si="1"/>
        <v>239443.28000000014</v>
      </c>
      <c r="V26" s="49"/>
      <c r="W26" s="49"/>
      <c r="X26" s="49"/>
      <c r="Y26" s="39"/>
      <c r="Z26" s="39"/>
      <c r="AA26" s="39"/>
      <c r="AB26" s="39"/>
      <c r="AC26" s="39"/>
      <c r="AD26" s="39"/>
      <c r="AE26" s="39"/>
      <c r="AF26" s="39"/>
      <c r="AG26" s="39"/>
      <c r="AH26" s="49"/>
    </row>
    <row r="27" spans="1:34">
      <c r="A27" s="51">
        <f t="shared" si="0"/>
        <v>21</v>
      </c>
      <c r="B27" s="49" t="s">
        <v>88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>
        <f t="shared" si="1"/>
        <v>0</v>
      </c>
      <c r="V27" s="49"/>
      <c r="W27" s="49"/>
      <c r="X27" s="49"/>
      <c r="Y27" s="39"/>
      <c r="Z27" s="39"/>
      <c r="AA27" s="39"/>
      <c r="AB27" s="39"/>
      <c r="AC27" s="39"/>
      <c r="AD27" s="39"/>
      <c r="AE27" s="39"/>
      <c r="AF27" s="39"/>
      <c r="AG27" s="39"/>
      <c r="AH27" s="49"/>
    </row>
    <row r="28" spans="1:34">
      <c r="A28" s="51">
        <f t="shared" si="0"/>
        <v>22</v>
      </c>
      <c r="B28" s="49" t="s">
        <v>104</v>
      </c>
      <c r="C28" s="39"/>
      <c r="D28" s="39"/>
      <c r="E28" s="39"/>
      <c r="F28" s="39"/>
      <c r="G28" s="39"/>
      <c r="H28" s="39"/>
      <c r="I28" s="39"/>
      <c r="J28" s="39"/>
      <c r="K28" s="39"/>
      <c r="L28" s="39">
        <f>'Adj List'!E16</f>
        <v>-19716.595630686516</v>
      </c>
      <c r="M28" s="39">
        <f>'Adj List'!E17</f>
        <v>21646.605807500033</v>
      </c>
      <c r="N28" s="39"/>
      <c r="O28" s="39"/>
      <c r="P28" s="39"/>
      <c r="Q28" s="39"/>
      <c r="R28" s="39"/>
      <c r="S28" s="39"/>
      <c r="T28" s="39"/>
      <c r="U28" s="39">
        <f t="shared" si="1"/>
        <v>1930.0101768135173</v>
      </c>
      <c r="V28" s="49"/>
      <c r="W28" s="49"/>
      <c r="X28" s="49"/>
      <c r="Y28" s="39"/>
      <c r="Z28" s="39"/>
      <c r="AA28" s="39"/>
      <c r="AB28" s="39"/>
      <c r="AC28" s="39"/>
      <c r="AD28" s="39"/>
      <c r="AE28" s="39"/>
      <c r="AF28" s="39"/>
      <c r="AG28" s="39"/>
      <c r="AH28" s="49"/>
    </row>
    <row r="29" spans="1:34">
      <c r="A29" s="51">
        <f>(A28+1)</f>
        <v>23</v>
      </c>
      <c r="B29" s="49" t="s">
        <v>105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>
        <f t="shared" si="1"/>
        <v>0</v>
      </c>
      <c r="V29" s="49"/>
      <c r="W29" s="49"/>
      <c r="X29" s="49"/>
      <c r="Y29" s="39"/>
      <c r="Z29" s="39"/>
      <c r="AA29" s="39"/>
      <c r="AB29" s="39"/>
      <c r="AC29" s="39"/>
      <c r="AD29" s="39"/>
      <c r="AE29" s="39"/>
      <c r="AF29" s="39"/>
      <c r="AG29" s="39"/>
      <c r="AH29" s="49"/>
    </row>
    <row r="30" spans="1:34">
      <c r="A30" s="51">
        <f>(A29+1)</f>
        <v>24</v>
      </c>
      <c r="B30" s="49" t="s">
        <v>90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>
        <f t="shared" si="1"/>
        <v>0</v>
      </c>
      <c r="V30" s="49"/>
      <c r="W30" s="49"/>
      <c r="X30" s="49"/>
      <c r="Y30" s="39"/>
      <c r="Z30" s="39"/>
      <c r="AA30" s="39"/>
      <c r="AB30" s="39"/>
      <c r="AC30" s="39"/>
      <c r="AD30" s="39"/>
      <c r="AE30" s="39"/>
      <c r="AF30" s="39"/>
      <c r="AG30" s="39"/>
      <c r="AH30" s="49"/>
    </row>
    <row r="31" spans="1:34">
      <c r="A31" s="51">
        <f t="shared" si="0"/>
        <v>25</v>
      </c>
      <c r="B31" s="60" t="s">
        <v>34</v>
      </c>
      <c r="C31" s="61">
        <f t="shared" ref="C31:S31" si="4">SUM(C24:C30)</f>
        <v>-2766319</v>
      </c>
      <c r="D31" s="61">
        <f t="shared" si="4"/>
        <v>-3062968</v>
      </c>
      <c r="E31" s="61">
        <f t="shared" si="4"/>
        <v>53333.33</v>
      </c>
      <c r="F31" s="61">
        <f t="shared" si="4"/>
        <v>3097238.9457101217</v>
      </c>
      <c r="G31" s="61">
        <f t="shared" si="4"/>
        <v>0</v>
      </c>
      <c r="H31" s="61">
        <f t="shared" si="4"/>
        <v>-178890.10990000004</v>
      </c>
      <c r="I31" s="61">
        <f t="shared" si="4"/>
        <v>239443.28000000014</v>
      </c>
      <c r="J31" s="61">
        <f t="shared" si="4"/>
        <v>-212372.79</v>
      </c>
      <c r="K31" s="61">
        <f t="shared" si="4"/>
        <v>-24086.799999999996</v>
      </c>
      <c r="L31" s="61">
        <f t="shared" si="4"/>
        <v>-19716.595630686516</v>
      </c>
      <c r="M31" s="61">
        <f t="shared" si="4"/>
        <v>21646.605807500033</v>
      </c>
      <c r="N31" s="61">
        <f t="shared" si="4"/>
        <v>49770.470364575129</v>
      </c>
      <c r="O31" s="61">
        <f t="shared" si="4"/>
        <v>28988.228161768689</v>
      </c>
      <c r="P31" s="61">
        <f t="shared" si="4"/>
        <v>-16798.75</v>
      </c>
      <c r="Q31" s="61">
        <f t="shared" si="4"/>
        <v>0</v>
      </c>
      <c r="R31" s="61">
        <f t="shared" si="4"/>
        <v>0</v>
      </c>
      <c r="S31" s="61">
        <f t="shared" si="4"/>
        <v>0</v>
      </c>
      <c r="T31" s="61">
        <f>SUM(T24:T30)</f>
        <v>0</v>
      </c>
      <c r="U31" s="61">
        <f t="shared" si="1"/>
        <v>-2790731.1854867209</v>
      </c>
      <c r="V31" s="49"/>
      <c r="W31" s="39">
        <f>U31-'Adj List'!E23</f>
        <v>0</v>
      </c>
      <c r="X31" s="49"/>
      <c r="Y31" s="39"/>
      <c r="Z31" s="39"/>
      <c r="AA31" s="39"/>
      <c r="AB31" s="39"/>
      <c r="AC31" s="39"/>
      <c r="AD31" s="39"/>
      <c r="AE31" s="39"/>
      <c r="AF31" s="39"/>
      <c r="AG31" s="39"/>
      <c r="AH31" s="49"/>
    </row>
    <row r="32" spans="1:34">
      <c r="A32" s="51">
        <f t="shared" si="0"/>
        <v>26</v>
      </c>
      <c r="B32" s="49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49"/>
      <c r="W32" s="49"/>
      <c r="X32" s="49"/>
      <c r="Y32" s="39"/>
      <c r="Z32" s="39"/>
      <c r="AA32" s="39"/>
      <c r="AB32" s="39"/>
      <c r="AC32" s="39"/>
      <c r="AD32" s="39"/>
      <c r="AE32" s="39"/>
      <c r="AF32" s="39"/>
      <c r="AG32" s="39"/>
      <c r="AH32" s="49"/>
    </row>
    <row r="33" spans="1:34">
      <c r="A33" s="51">
        <f t="shared" si="0"/>
        <v>27</v>
      </c>
      <c r="B33" s="49" t="s">
        <v>91</v>
      </c>
      <c r="C33" s="39">
        <f t="shared" ref="C33:S33" si="5">(+C12-C31)</f>
        <v>-230292.08000000007</v>
      </c>
      <c r="D33" s="39">
        <f t="shared" si="5"/>
        <v>-170319.45999999996</v>
      </c>
      <c r="E33" s="39">
        <f t="shared" si="5"/>
        <v>-53333.33</v>
      </c>
      <c r="F33" s="39">
        <f t="shared" si="5"/>
        <v>257833.915083976</v>
      </c>
      <c r="G33" s="39">
        <f t="shared" si="5"/>
        <v>0</v>
      </c>
      <c r="H33" s="39">
        <f t="shared" si="5"/>
        <v>178890.10990000004</v>
      </c>
      <c r="I33" s="39">
        <f t="shared" si="5"/>
        <v>-239443.28000000014</v>
      </c>
      <c r="J33" s="39">
        <f t="shared" si="5"/>
        <v>212372.79</v>
      </c>
      <c r="K33" s="39">
        <f t="shared" si="5"/>
        <v>24086.799999999996</v>
      </c>
      <c r="L33" s="39">
        <f t="shared" si="5"/>
        <v>19716.595630686516</v>
      </c>
      <c r="M33" s="39">
        <f t="shared" si="5"/>
        <v>-21646.605807500033</v>
      </c>
      <c r="N33" s="39">
        <f t="shared" si="5"/>
        <v>-49770.470364575129</v>
      </c>
      <c r="O33" s="39">
        <f t="shared" si="5"/>
        <v>-28988.228161768689</v>
      </c>
      <c r="P33" s="39">
        <f t="shared" si="5"/>
        <v>16798.75</v>
      </c>
      <c r="Q33" s="39">
        <f t="shared" si="5"/>
        <v>0</v>
      </c>
      <c r="R33" s="39">
        <f t="shared" si="5"/>
        <v>0</v>
      </c>
      <c r="S33" s="39">
        <f t="shared" si="5"/>
        <v>0</v>
      </c>
      <c r="T33" s="39">
        <f>(+T12-T31)</f>
        <v>0</v>
      </c>
      <c r="U33" s="39">
        <f t="shared" si="1"/>
        <v>-84094.493719181482</v>
      </c>
      <c r="V33" s="49"/>
      <c r="W33" s="49"/>
      <c r="X33" s="49"/>
      <c r="Y33" s="39"/>
      <c r="Z33" s="39"/>
      <c r="AA33" s="39"/>
      <c r="AB33" s="39"/>
      <c r="AC33" s="39"/>
      <c r="AD33" s="39"/>
      <c r="AE33" s="39"/>
      <c r="AF33" s="39"/>
      <c r="AG33" s="39"/>
      <c r="AH33" s="49"/>
    </row>
    <row r="34" spans="1:34">
      <c r="A34" s="51">
        <f t="shared" si="0"/>
        <v>28</v>
      </c>
      <c r="B34" s="49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49"/>
      <c r="W34" s="49"/>
      <c r="X34" s="49"/>
      <c r="Y34" s="39"/>
      <c r="Z34" s="39"/>
      <c r="AA34" s="39"/>
      <c r="AB34" s="39"/>
      <c r="AC34" s="39"/>
      <c r="AD34" s="39"/>
      <c r="AE34" s="39"/>
      <c r="AF34" s="39"/>
      <c r="AG34" s="39"/>
      <c r="AH34" s="49"/>
    </row>
    <row r="35" spans="1:34">
      <c r="A35" s="51">
        <f t="shared" si="0"/>
        <v>29</v>
      </c>
      <c r="B35" s="49" t="s">
        <v>35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>
        <f t="shared" si="1"/>
        <v>0</v>
      </c>
      <c r="V35" s="49"/>
      <c r="W35" s="49"/>
      <c r="X35" s="49"/>
      <c r="Y35" s="39"/>
      <c r="Z35" s="39"/>
      <c r="AA35" s="39"/>
      <c r="AB35" s="39"/>
      <c r="AC35" s="39"/>
      <c r="AD35" s="39"/>
      <c r="AE35" s="39"/>
      <c r="AF35" s="39"/>
      <c r="AG35" s="39"/>
      <c r="AH35" s="49"/>
    </row>
    <row r="36" spans="1:34">
      <c r="A36" s="51" t="s">
        <v>228</v>
      </c>
      <c r="B36" s="49" t="s">
        <v>229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49"/>
      <c r="W36" s="49"/>
      <c r="X36" s="49"/>
      <c r="Y36" s="39"/>
      <c r="Z36" s="39"/>
      <c r="AA36" s="39"/>
      <c r="AB36" s="39"/>
      <c r="AC36" s="39"/>
      <c r="AD36" s="39"/>
      <c r="AE36" s="39"/>
      <c r="AF36" s="39"/>
      <c r="AG36" s="39"/>
      <c r="AH36" s="49"/>
    </row>
    <row r="37" spans="1:34">
      <c r="A37" s="51">
        <f>(A35+1)</f>
        <v>30</v>
      </c>
      <c r="B37" s="49" t="s">
        <v>36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>
        <f t="shared" si="1"/>
        <v>0</v>
      </c>
      <c r="V37" s="49"/>
      <c r="W37" s="49"/>
      <c r="X37" s="49"/>
      <c r="Y37" s="39"/>
      <c r="Z37" s="39"/>
      <c r="AA37" s="39"/>
      <c r="AB37" s="39"/>
      <c r="AC37" s="39"/>
      <c r="AD37" s="39"/>
      <c r="AE37" s="39"/>
      <c r="AF37" s="39"/>
      <c r="AG37" s="39"/>
      <c r="AH37" s="49"/>
    </row>
    <row r="38" spans="1:34">
      <c r="A38" s="51">
        <f t="shared" si="0"/>
        <v>31</v>
      </c>
      <c r="B38" s="49" t="s">
        <v>32</v>
      </c>
      <c r="C38" s="39"/>
      <c r="D38" s="39"/>
      <c r="E38" s="39"/>
      <c r="F38" s="39"/>
      <c r="G38" s="39">
        <f>'Adj List'!F11</f>
        <v>-402409</v>
      </c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>
        <f t="shared" si="1"/>
        <v>-402409</v>
      </c>
      <c r="V38" s="49"/>
      <c r="W38" s="49"/>
      <c r="X38" s="49"/>
      <c r="Y38" s="39"/>
      <c r="Z38" s="39"/>
      <c r="AA38" s="39"/>
      <c r="AB38" s="39"/>
      <c r="AC38" s="39"/>
      <c r="AD38" s="39"/>
      <c r="AE38" s="39"/>
      <c r="AF38" s="39"/>
      <c r="AG38" s="39"/>
      <c r="AH38" s="49"/>
    </row>
    <row r="39" spans="1:34">
      <c r="A39" s="51">
        <f t="shared" si="0"/>
        <v>32</v>
      </c>
      <c r="B39" s="49" t="s">
        <v>92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>
        <f t="shared" si="1"/>
        <v>0</v>
      </c>
      <c r="V39" s="49"/>
      <c r="W39" s="49"/>
      <c r="X39" s="49"/>
      <c r="Y39" s="39"/>
      <c r="Z39" s="39"/>
      <c r="AA39" s="39"/>
      <c r="AB39" s="39"/>
      <c r="AC39" s="39"/>
      <c r="AD39" s="39"/>
      <c r="AE39" s="39"/>
      <c r="AF39" s="39"/>
      <c r="AG39" s="39"/>
      <c r="AH39" s="49"/>
    </row>
    <row r="40" spans="1:34">
      <c r="A40" s="51">
        <f t="shared" si="0"/>
        <v>33</v>
      </c>
      <c r="B40" s="60" t="s">
        <v>103</v>
      </c>
      <c r="C40" s="61">
        <f t="shared" ref="C40:S40" si="6">SUM(C35:C39)</f>
        <v>0</v>
      </c>
      <c r="D40" s="61">
        <f t="shared" si="6"/>
        <v>0</v>
      </c>
      <c r="E40" s="61">
        <f t="shared" si="6"/>
        <v>0</v>
      </c>
      <c r="F40" s="61">
        <f t="shared" si="6"/>
        <v>0</v>
      </c>
      <c r="G40" s="61">
        <f t="shared" si="6"/>
        <v>-402409</v>
      </c>
      <c r="H40" s="61">
        <f t="shared" si="6"/>
        <v>0</v>
      </c>
      <c r="I40" s="61">
        <f t="shared" si="6"/>
        <v>0</v>
      </c>
      <c r="J40" s="61">
        <f t="shared" si="6"/>
        <v>0</v>
      </c>
      <c r="K40" s="61">
        <f t="shared" si="6"/>
        <v>0</v>
      </c>
      <c r="L40" s="61">
        <f t="shared" si="6"/>
        <v>0</v>
      </c>
      <c r="M40" s="61">
        <f t="shared" si="6"/>
        <v>0</v>
      </c>
      <c r="N40" s="61">
        <f t="shared" si="6"/>
        <v>0</v>
      </c>
      <c r="O40" s="61">
        <f t="shared" si="6"/>
        <v>0</v>
      </c>
      <c r="P40" s="61">
        <f t="shared" si="6"/>
        <v>0</v>
      </c>
      <c r="Q40" s="61">
        <f t="shared" si="6"/>
        <v>0</v>
      </c>
      <c r="R40" s="61">
        <f t="shared" si="6"/>
        <v>0</v>
      </c>
      <c r="S40" s="61">
        <f t="shared" si="6"/>
        <v>0</v>
      </c>
      <c r="T40" s="61">
        <f>SUM(T35:T39)</f>
        <v>0</v>
      </c>
      <c r="U40" s="61">
        <f t="shared" si="1"/>
        <v>-402409</v>
      </c>
      <c r="V40" s="49"/>
      <c r="W40" s="39">
        <f>U40-'Adj List'!F23</f>
        <v>0</v>
      </c>
      <c r="X40" s="49"/>
      <c r="Y40" s="39"/>
      <c r="Z40" s="39"/>
      <c r="AA40" s="39"/>
      <c r="AB40" s="39"/>
      <c r="AC40" s="39"/>
      <c r="AD40" s="39"/>
      <c r="AE40" s="39"/>
      <c r="AF40" s="39"/>
      <c r="AG40" s="39"/>
      <c r="AH40" s="49"/>
    </row>
    <row r="41" spans="1:34">
      <c r="A41" s="51">
        <f t="shared" si="0"/>
        <v>34</v>
      </c>
      <c r="B41" s="4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49"/>
      <c r="W41" s="49"/>
      <c r="X41" s="49"/>
      <c r="Y41" s="39"/>
      <c r="Z41" s="39"/>
      <c r="AA41" s="39"/>
      <c r="AB41" s="39"/>
      <c r="AC41" s="39"/>
      <c r="AD41" s="39"/>
      <c r="AE41" s="39"/>
      <c r="AF41" s="39"/>
      <c r="AG41" s="39"/>
      <c r="AH41" s="49"/>
    </row>
    <row r="42" spans="1:34" ht="14.4" thickBot="1">
      <c r="A42" s="51">
        <f t="shared" si="0"/>
        <v>35</v>
      </c>
      <c r="B42" s="63" t="s">
        <v>93</v>
      </c>
      <c r="C42" s="64">
        <f t="shared" ref="C42:S42" si="7">+C33+C40</f>
        <v>-230292.08000000007</v>
      </c>
      <c r="D42" s="64">
        <f t="shared" si="7"/>
        <v>-170319.45999999996</v>
      </c>
      <c r="E42" s="64">
        <f t="shared" si="7"/>
        <v>-53333.33</v>
      </c>
      <c r="F42" s="64">
        <f t="shared" si="7"/>
        <v>257833.915083976</v>
      </c>
      <c r="G42" s="64">
        <f t="shared" si="7"/>
        <v>-402409</v>
      </c>
      <c r="H42" s="64">
        <f t="shared" si="7"/>
        <v>178890.10990000004</v>
      </c>
      <c r="I42" s="64">
        <f t="shared" si="7"/>
        <v>-239443.28000000014</v>
      </c>
      <c r="J42" s="64">
        <f t="shared" si="7"/>
        <v>212372.79</v>
      </c>
      <c r="K42" s="64">
        <f t="shared" si="7"/>
        <v>24086.799999999996</v>
      </c>
      <c r="L42" s="64">
        <f t="shared" si="7"/>
        <v>19716.595630686516</v>
      </c>
      <c r="M42" s="64">
        <f t="shared" si="7"/>
        <v>-21646.605807500033</v>
      </c>
      <c r="N42" s="64">
        <f t="shared" si="7"/>
        <v>-49770.470364575129</v>
      </c>
      <c r="O42" s="64">
        <f t="shared" si="7"/>
        <v>-28988.228161768689</v>
      </c>
      <c r="P42" s="64">
        <f t="shared" si="7"/>
        <v>16798.75</v>
      </c>
      <c r="Q42" s="64">
        <f t="shared" si="7"/>
        <v>0</v>
      </c>
      <c r="R42" s="64">
        <f t="shared" si="7"/>
        <v>0</v>
      </c>
      <c r="S42" s="64">
        <f t="shared" si="7"/>
        <v>0</v>
      </c>
      <c r="T42" s="64">
        <f>+T33+T40</f>
        <v>0</v>
      </c>
      <c r="U42" s="64">
        <f t="shared" si="1"/>
        <v>-486503.49371918157</v>
      </c>
      <c r="V42" s="49"/>
      <c r="W42" s="39">
        <f>U42-'Adj List'!G23</f>
        <v>0</v>
      </c>
      <c r="X42" s="49"/>
      <c r="Y42" s="39"/>
      <c r="Z42" s="39"/>
      <c r="AA42" s="39"/>
      <c r="AB42" s="39"/>
      <c r="AC42" s="39"/>
      <c r="AD42" s="39"/>
      <c r="AE42" s="39"/>
      <c r="AF42" s="39"/>
      <c r="AG42" s="39"/>
      <c r="AH42" s="49"/>
    </row>
    <row r="43" spans="1:34" ht="18" customHeight="1" thickTop="1">
      <c r="A43" s="51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</row>
    <row r="44" spans="1:34" ht="18" customHeight="1">
      <c r="A44" s="51"/>
      <c r="B44" s="49" t="s">
        <v>118</v>
      </c>
      <c r="C44" s="39">
        <f>C12</f>
        <v>-2996611.08</v>
      </c>
      <c r="D44" s="39">
        <f t="shared" ref="D44:S44" si="8">D12</f>
        <v>-3233287.46</v>
      </c>
      <c r="E44" s="39">
        <f t="shared" si="8"/>
        <v>0</v>
      </c>
      <c r="F44" s="39">
        <f t="shared" si="8"/>
        <v>3355072.8607940977</v>
      </c>
      <c r="G44" s="39">
        <f t="shared" si="8"/>
        <v>0</v>
      </c>
      <c r="H44" s="39">
        <f t="shared" si="8"/>
        <v>0</v>
      </c>
      <c r="I44" s="39">
        <f t="shared" si="8"/>
        <v>0</v>
      </c>
      <c r="J44" s="39">
        <f t="shared" si="8"/>
        <v>0</v>
      </c>
      <c r="K44" s="39">
        <f t="shared" si="8"/>
        <v>0</v>
      </c>
      <c r="L44" s="39">
        <f t="shared" si="8"/>
        <v>0</v>
      </c>
      <c r="M44" s="39">
        <f t="shared" si="8"/>
        <v>0</v>
      </c>
      <c r="N44" s="39">
        <f t="shared" si="8"/>
        <v>0</v>
      </c>
      <c r="O44" s="39">
        <f t="shared" si="8"/>
        <v>0</v>
      </c>
      <c r="P44" s="39">
        <f t="shared" si="8"/>
        <v>0</v>
      </c>
      <c r="Q44" s="39">
        <f t="shared" si="8"/>
        <v>0</v>
      </c>
      <c r="R44" s="39">
        <f t="shared" si="8"/>
        <v>0</v>
      </c>
      <c r="S44" s="39">
        <f t="shared" si="8"/>
        <v>0</v>
      </c>
      <c r="T44" s="39">
        <f>T12</f>
        <v>0</v>
      </c>
      <c r="U44" s="39">
        <f t="shared" si="1"/>
        <v>-2874825.6792059024</v>
      </c>
      <c r="V44" s="49"/>
      <c r="W44" s="39">
        <f>U44-'Adj List'!D23</f>
        <v>0</v>
      </c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</row>
    <row r="45" spans="1:34" ht="18" customHeight="1">
      <c r="A45" s="51"/>
      <c r="B45" s="49" t="s">
        <v>117</v>
      </c>
      <c r="C45" s="39">
        <f>C31</f>
        <v>-2766319</v>
      </c>
      <c r="D45" s="39">
        <f t="shared" ref="D45:M45" si="9">D31</f>
        <v>-3062968</v>
      </c>
      <c r="E45" s="39">
        <f t="shared" si="9"/>
        <v>53333.33</v>
      </c>
      <c r="F45" s="39">
        <f t="shared" si="9"/>
        <v>3097238.9457101217</v>
      </c>
      <c r="G45" s="39">
        <f t="shared" si="9"/>
        <v>0</v>
      </c>
      <c r="H45" s="39">
        <f t="shared" si="9"/>
        <v>-178890.10990000004</v>
      </c>
      <c r="I45" s="39">
        <f t="shared" si="9"/>
        <v>239443.28000000014</v>
      </c>
      <c r="J45" s="39">
        <f t="shared" si="9"/>
        <v>-212372.79</v>
      </c>
      <c r="K45" s="39">
        <f t="shared" si="9"/>
        <v>-24086.799999999996</v>
      </c>
      <c r="L45" s="39">
        <f t="shared" si="9"/>
        <v>-19716.595630686516</v>
      </c>
      <c r="M45" s="39">
        <f t="shared" si="9"/>
        <v>21646.605807500033</v>
      </c>
      <c r="N45" s="39">
        <f t="shared" ref="N45:S45" si="10">N31-N40</f>
        <v>49770.470364575129</v>
      </c>
      <c r="O45" s="39">
        <f t="shared" si="10"/>
        <v>28988.228161768689</v>
      </c>
      <c r="P45" s="39">
        <f t="shared" si="10"/>
        <v>-16798.75</v>
      </c>
      <c r="Q45" s="39">
        <f t="shared" si="10"/>
        <v>0</v>
      </c>
      <c r="R45" s="39">
        <f t="shared" si="10"/>
        <v>0</v>
      </c>
      <c r="S45" s="39">
        <f t="shared" si="10"/>
        <v>0</v>
      </c>
      <c r="T45" s="39">
        <f>T31-T40</f>
        <v>0</v>
      </c>
      <c r="U45" s="39">
        <f t="shared" si="1"/>
        <v>-2790731.1854867209</v>
      </c>
      <c r="V45" s="49"/>
      <c r="W45" s="39">
        <f>U45-'Adj List'!E23</f>
        <v>0</v>
      </c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</row>
    <row r="46" spans="1:34" ht="18" customHeight="1">
      <c r="A46" s="51"/>
      <c r="B46" s="49" t="s">
        <v>254</v>
      </c>
      <c r="C46" s="39">
        <f>C40</f>
        <v>0</v>
      </c>
      <c r="D46" s="39">
        <f t="shared" ref="D46:M46" si="11">D40</f>
        <v>0</v>
      </c>
      <c r="E46" s="39">
        <f t="shared" si="11"/>
        <v>0</v>
      </c>
      <c r="F46" s="39">
        <f t="shared" si="11"/>
        <v>0</v>
      </c>
      <c r="G46" s="39">
        <f t="shared" si="11"/>
        <v>-402409</v>
      </c>
      <c r="H46" s="39">
        <f t="shared" si="11"/>
        <v>0</v>
      </c>
      <c r="I46" s="39">
        <f t="shared" si="11"/>
        <v>0</v>
      </c>
      <c r="J46" s="39">
        <f t="shared" si="11"/>
        <v>0</v>
      </c>
      <c r="K46" s="39">
        <f t="shared" si="11"/>
        <v>0</v>
      </c>
      <c r="L46" s="39">
        <f t="shared" si="11"/>
        <v>0</v>
      </c>
      <c r="M46" s="39">
        <f t="shared" si="11"/>
        <v>0</v>
      </c>
      <c r="N46" s="39"/>
      <c r="O46" s="39"/>
      <c r="P46" s="39"/>
      <c r="Q46" s="39"/>
      <c r="R46" s="39"/>
      <c r="S46" s="39"/>
      <c r="T46" s="39"/>
      <c r="U46" s="39">
        <f t="shared" si="1"/>
        <v>-402409</v>
      </c>
      <c r="V46" s="49"/>
      <c r="W46" s="39">
        <f>U46-'Adj List'!F23</f>
        <v>0</v>
      </c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</row>
    <row r="47" spans="1:34" ht="18" customHeight="1">
      <c r="A47" s="51"/>
      <c r="B47" s="49" t="s">
        <v>119</v>
      </c>
      <c r="C47" s="39">
        <f>C44-C45+C46</f>
        <v>-230292.08000000007</v>
      </c>
      <c r="D47" s="39">
        <f t="shared" ref="D47:M47" si="12">D44-D45+D46</f>
        <v>-170319.45999999996</v>
      </c>
      <c r="E47" s="39">
        <f t="shared" si="12"/>
        <v>-53333.33</v>
      </c>
      <c r="F47" s="39">
        <f t="shared" si="12"/>
        <v>257833.915083976</v>
      </c>
      <c r="G47" s="39">
        <f t="shared" si="12"/>
        <v>-402409</v>
      </c>
      <c r="H47" s="39">
        <f t="shared" si="12"/>
        <v>178890.10990000004</v>
      </c>
      <c r="I47" s="39">
        <f t="shared" si="12"/>
        <v>-239443.28000000014</v>
      </c>
      <c r="J47" s="39">
        <f t="shared" si="12"/>
        <v>212372.79</v>
      </c>
      <c r="K47" s="39">
        <f t="shared" si="12"/>
        <v>24086.799999999996</v>
      </c>
      <c r="L47" s="39">
        <f t="shared" si="12"/>
        <v>19716.595630686516</v>
      </c>
      <c r="M47" s="39">
        <f t="shared" si="12"/>
        <v>-21646.605807500033</v>
      </c>
      <c r="N47" s="39">
        <f t="shared" ref="N47:T47" si="13">N44-N45</f>
        <v>-49770.470364575129</v>
      </c>
      <c r="O47" s="39">
        <f t="shared" si="13"/>
        <v>-28988.228161768689</v>
      </c>
      <c r="P47" s="39">
        <f t="shared" si="13"/>
        <v>16798.75</v>
      </c>
      <c r="Q47" s="39">
        <f t="shared" si="13"/>
        <v>0</v>
      </c>
      <c r="R47" s="39">
        <f t="shared" si="13"/>
        <v>0</v>
      </c>
      <c r="S47" s="39">
        <f t="shared" si="13"/>
        <v>0</v>
      </c>
      <c r="T47" s="39">
        <f t="shared" si="13"/>
        <v>0</v>
      </c>
      <c r="U47" s="39">
        <f t="shared" si="1"/>
        <v>-486503.49371918157</v>
      </c>
      <c r="V47" s="49"/>
      <c r="W47" s="39">
        <f>U47-'Adj List'!G23</f>
        <v>0</v>
      </c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</row>
    <row r="48" spans="1:34" ht="18" customHeight="1">
      <c r="A48" s="51"/>
      <c r="B48" s="49" t="s">
        <v>120</v>
      </c>
      <c r="C48" s="39">
        <f t="shared" ref="C48:U48" si="14">C47-C42</f>
        <v>0</v>
      </c>
      <c r="D48" s="39">
        <f t="shared" si="14"/>
        <v>0</v>
      </c>
      <c r="E48" s="39">
        <f t="shared" si="14"/>
        <v>0</v>
      </c>
      <c r="F48" s="39">
        <f t="shared" si="14"/>
        <v>0</v>
      </c>
      <c r="G48" s="39">
        <f t="shared" si="14"/>
        <v>0</v>
      </c>
      <c r="H48" s="39">
        <f t="shared" si="14"/>
        <v>0</v>
      </c>
      <c r="I48" s="39">
        <f t="shared" si="14"/>
        <v>0</v>
      </c>
      <c r="J48" s="39">
        <f t="shared" si="14"/>
        <v>0</v>
      </c>
      <c r="K48" s="39">
        <f t="shared" si="14"/>
        <v>0</v>
      </c>
      <c r="L48" s="39">
        <f t="shared" si="14"/>
        <v>0</v>
      </c>
      <c r="M48" s="39">
        <f t="shared" si="14"/>
        <v>0</v>
      </c>
      <c r="N48" s="39">
        <f t="shared" si="14"/>
        <v>0</v>
      </c>
      <c r="O48" s="39">
        <f t="shared" si="14"/>
        <v>0</v>
      </c>
      <c r="P48" s="39">
        <f t="shared" si="14"/>
        <v>0</v>
      </c>
      <c r="Q48" s="39">
        <f t="shared" si="14"/>
        <v>0</v>
      </c>
      <c r="R48" s="39">
        <f t="shared" si="14"/>
        <v>0</v>
      </c>
      <c r="S48" s="39">
        <f t="shared" si="14"/>
        <v>0</v>
      </c>
      <c r="T48" s="39">
        <f t="shared" si="14"/>
        <v>0</v>
      </c>
      <c r="U48" s="39">
        <f t="shared" si="14"/>
        <v>0</v>
      </c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</row>
    <row r="49" spans="1:34" ht="18" customHeight="1">
      <c r="A49" s="51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</row>
    <row r="50" spans="1:34" ht="18" customHeight="1">
      <c r="A50" s="51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</row>
    <row r="51" spans="1:34">
      <c r="A51" s="51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</row>
    <row r="52" spans="1:34">
      <c r="A52" s="51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</row>
    <row r="53" spans="1:34">
      <c r="A53" s="51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</row>
    <row r="54" spans="1:34">
      <c r="A54" s="51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</row>
    <row r="55" spans="1:34">
      <c r="A55" s="51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</row>
    <row r="56" spans="1:34">
      <c r="A56" s="51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</row>
    <row r="57" spans="1:34">
      <c r="A57" s="51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</row>
    <row r="58" spans="1:34">
      <c r="A58" s="51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</row>
    <row r="59" spans="1:34">
      <c r="A59" s="51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</row>
    <row r="60" spans="1:34">
      <c r="A60" s="51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</row>
    <row r="61" spans="1:34">
      <c r="A61" s="51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</row>
    <row r="62" spans="1:34">
      <c r="A62" s="51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</row>
    <row r="63" spans="1:34">
      <c r="A63" s="51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</row>
    <row r="64" spans="1:34">
      <c r="A64" s="51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</row>
    <row r="65" spans="1:34">
      <c r="A65" s="51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</row>
    <row r="66" spans="1:34">
      <c r="A66" s="51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</row>
    <row r="67" spans="1:34">
      <c r="A67" s="51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</row>
    <row r="68" spans="1:34">
      <c r="A68" s="51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</row>
    <row r="69" spans="1:34">
      <c r="A69" s="51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</row>
    <row r="70" spans="1:34">
      <c r="A70" s="51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</row>
    <row r="71" spans="1:34">
      <c r="A71" s="51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</row>
    <row r="72" spans="1:34">
      <c r="A72" s="51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</row>
    <row r="73" spans="1:34">
      <c r="A73" s="51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</row>
    <row r="74" spans="1:34">
      <c r="A74" s="51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</row>
    <row r="75" spans="1:34">
      <c r="A75" s="51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</row>
    <row r="76" spans="1:34">
      <c r="A76" s="51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</row>
    <row r="77" spans="1:34">
      <c r="A77" s="51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</row>
    <row r="78" spans="1:34">
      <c r="A78" s="51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</row>
    <row r="79" spans="1:34">
      <c r="A79" s="51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</row>
    <row r="80" spans="1:34">
      <c r="A80" s="51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</row>
    <row r="81" spans="1:34">
      <c r="A81" s="51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</row>
    <row r="82" spans="1:34">
      <c r="A82" s="51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</row>
    <row r="83" spans="1:34">
      <c r="A83" s="51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</row>
    <row r="84" spans="1:34">
      <c r="A84" s="51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</row>
    <row r="85" spans="1:34">
      <c r="A85" s="51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</row>
    <row r="86" spans="1:34">
      <c r="A86" s="51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</row>
    <row r="87" spans="1:34">
      <c r="A87" s="51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</row>
    <row r="88" spans="1:34">
      <c r="A88" s="51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</row>
    <row r="89" spans="1:34">
      <c r="A89" s="51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</row>
    <row r="90" spans="1:34">
      <c r="A90" s="51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</row>
    <row r="91" spans="1:34">
      <c r="A91" s="51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</row>
    <row r="92" spans="1:34">
      <c r="A92" s="51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</row>
    <row r="93" spans="1:34">
      <c r="A93" s="51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</row>
    <row r="94" spans="1:34">
      <c r="A94" s="51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</row>
    <row r="95" spans="1:34">
      <c r="A95" s="51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</row>
    <row r="96" spans="1:34">
      <c r="A96" s="51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</row>
    <row r="97" spans="1:34">
      <c r="A97" s="51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</row>
    <row r="98" spans="1:34">
      <c r="A98" s="51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</row>
    <row r="99" spans="1:34">
      <c r="A99" s="51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</row>
    <row r="100" spans="1:34">
      <c r="A100" s="51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</row>
    <row r="101" spans="1:34">
      <c r="A101" s="51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</row>
    <row r="102" spans="1:34"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</row>
    <row r="103" spans="1:34"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</row>
    <row r="104" spans="1:34"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</row>
    <row r="105" spans="1:34"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</row>
    <row r="106" spans="1:34"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</row>
    <row r="107" spans="1:34"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</row>
    <row r="108" spans="1:34"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</row>
    <row r="109" spans="1:34"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</row>
    <row r="110" spans="1:34"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</row>
    <row r="111" spans="1:34"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</row>
    <row r="112" spans="1:34"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</row>
    <row r="113" spans="2:28"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</row>
    <row r="114" spans="2:28"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</row>
    <row r="115" spans="2:28"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</row>
    <row r="116" spans="2:28"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</row>
    <row r="117" spans="2:28"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</row>
    <row r="118" spans="2:28"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</row>
    <row r="119" spans="2:28"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</row>
    <row r="120" spans="2:28"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</row>
    <row r="121" spans="2:28"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</row>
    <row r="122" spans="2:28"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</row>
    <row r="123" spans="2:28"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</row>
    <row r="124" spans="2:28"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</row>
    <row r="125" spans="2:28"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</row>
    <row r="126" spans="2:28"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</row>
    <row r="127" spans="2:28"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</row>
    <row r="128" spans="2:28"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</row>
    <row r="129" spans="2:28"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</row>
    <row r="130" spans="2:28"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</row>
    <row r="131" spans="2:28"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</row>
    <row r="132" spans="2:28"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</row>
    <row r="133" spans="2:28"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</row>
    <row r="134" spans="2:28"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</row>
    <row r="135" spans="2:28"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</row>
    <row r="136" spans="2:28"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</row>
    <row r="137" spans="2:28"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</row>
    <row r="138" spans="2:28"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</row>
    <row r="139" spans="2:28"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</row>
    <row r="140" spans="2:28"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</row>
    <row r="141" spans="2:28"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</row>
    <row r="142" spans="2:28"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</row>
    <row r="143" spans="2:28"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</row>
    <row r="144" spans="2:28"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</row>
    <row r="145" spans="2:28"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</row>
    <row r="146" spans="2:28"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</row>
    <row r="147" spans="2:28">
      <c r="V147" s="49"/>
      <c r="W147" s="49"/>
      <c r="X147" s="49"/>
      <c r="Y147" s="49"/>
      <c r="Z147" s="49"/>
      <c r="AA147" s="49"/>
      <c r="AB147" s="49"/>
    </row>
    <row r="148" spans="2:28">
      <c r="V148" s="49"/>
      <c r="W148" s="49"/>
      <c r="X148" s="49"/>
      <c r="Y148" s="49"/>
      <c r="Z148" s="49"/>
      <c r="AA148" s="49"/>
      <c r="AB148" s="49"/>
    </row>
    <row r="149" spans="2:28">
      <c r="V149" s="49"/>
      <c r="W149" s="49"/>
      <c r="X149" s="49"/>
      <c r="Y149" s="49"/>
      <c r="Z149" s="49"/>
      <c r="AA149" s="49"/>
      <c r="AB149" s="49"/>
    </row>
    <row r="150" spans="2:28">
      <c r="V150" s="49"/>
      <c r="W150" s="49"/>
      <c r="X150" s="49"/>
      <c r="Y150" s="49"/>
      <c r="Z150" s="49"/>
      <c r="AA150" s="49"/>
      <c r="AB150" s="49"/>
    </row>
    <row r="151" spans="2:28">
      <c r="V151" s="49"/>
      <c r="W151" s="49"/>
      <c r="X151" s="49"/>
      <c r="Y151" s="49"/>
      <c r="Z151" s="49"/>
      <c r="AA151" s="49"/>
      <c r="AB151" s="49"/>
    </row>
  </sheetData>
  <conditionalFormatting sqref="C48:U48">
    <cfRule type="cellIs" dxfId="11" priority="1" operator="notEqual">
      <formula>0</formula>
    </cfRule>
    <cfRule type="cellIs" dxfId="10" priority="2" operator="equal">
      <formula>0</formula>
    </cfRule>
  </conditionalFormatting>
  <conditionalFormatting sqref="W12">
    <cfRule type="cellIs" dxfId="9" priority="11" operator="notEqual">
      <formula>0</formula>
    </cfRule>
    <cfRule type="cellIs" dxfId="8" priority="12" operator="equal">
      <formula>0</formula>
    </cfRule>
  </conditionalFormatting>
  <conditionalFormatting sqref="W31">
    <cfRule type="cellIs" dxfId="7" priority="9" operator="notEqual">
      <formula>0</formula>
    </cfRule>
    <cfRule type="cellIs" dxfId="6" priority="10" operator="equal">
      <formula>0</formula>
    </cfRule>
  </conditionalFormatting>
  <conditionalFormatting sqref="W40">
    <cfRule type="cellIs" dxfId="5" priority="7" operator="notEqual">
      <formula>0</formula>
    </cfRule>
    <cfRule type="cellIs" dxfId="4" priority="8" operator="equal">
      <formula>0</formula>
    </cfRule>
  </conditionalFormatting>
  <conditionalFormatting sqref="W42">
    <cfRule type="cellIs" dxfId="3" priority="5" operator="notEqual">
      <formula>0</formula>
    </cfRule>
    <cfRule type="cellIs" dxfId="2" priority="6" operator="equal">
      <formula>0</formula>
    </cfRule>
  </conditionalFormatting>
  <conditionalFormatting sqref="W44:W47">
    <cfRule type="cellIs" dxfId="1" priority="3" operator="notEqual">
      <formula>0</formula>
    </cfRule>
    <cfRule type="cellIs" dxfId="0" priority="4" operator="equal">
      <formula>0</formula>
    </cfRule>
  </conditionalFormatting>
  <printOptions horizontalCentered="1"/>
  <pageMargins left="0.25" right="0.25" top="0.75" bottom="0.75" header="0.3" footer="0.3"/>
  <pageSetup scale="59" orientation="landscape" r:id="rId1"/>
  <headerFooter>
    <oddFooter>&amp;RRevised Exhibit  JW-2
Page &amp;P of &amp;N</oddFooter>
  </headerFooter>
  <ignoredErrors>
    <ignoredError sqref="C31:U37 C48:U48 C38:F38 H38:U38 C39:U44 N45:U45 N47:U4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0">
    <pageSetUpPr fitToPage="1"/>
  </sheetPr>
  <dimension ref="A1:O34"/>
  <sheetViews>
    <sheetView view="pageBreakPreview" topLeftCell="A12" zoomScaleNormal="75" zoomScaleSheetLayoutView="100" workbookViewId="0">
      <selection activeCell="I61" sqref="I61"/>
    </sheetView>
  </sheetViews>
  <sheetFormatPr defaultColWidth="9.109375" defaultRowHeight="13.2"/>
  <cols>
    <col min="1" max="1" width="5.88671875" style="2" customWidth="1"/>
    <col min="2" max="2" width="2.33203125" style="2" customWidth="1"/>
    <col min="3" max="3" width="11.6640625" style="2" customWidth="1"/>
    <col min="4" max="4" width="10.88671875" style="2" customWidth="1"/>
    <col min="5" max="5" width="5.88671875" style="2" customWidth="1"/>
    <col min="6" max="6" width="15.33203125" style="2" customWidth="1"/>
    <col min="7" max="7" width="3.33203125" style="2" customWidth="1"/>
    <col min="8" max="8" width="15.6640625" style="2" customWidth="1"/>
    <col min="9" max="10" width="9.109375" style="2"/>
    <col min="11" max="11" width="12.5546875" style="2" customWidth="1"/>
    <col min="12" max="16384" width="9.109375" style="2"/>
  </cols>
  <sheetData>
    <row r="1" spans="1:15">
      <c r="G1" s="129"/>
      <c r="H1" s="129" t="s">
        <v>27</v>
      </c>
    </row>
    <row r="2" spans="1:15" ht="20.25" customHeight="1">
      <c r="G2" s="129"/>
      <c r="H2" s="129"/>
    </row>
    <row r="3" spans="1:15">
      <c r="G3" s="129"/>
      <c r="H3" s="129"/>
    </row>
    <row r="4" spans="1:15">
      <c r="A4" s="283" t="str">
        <f>RevReq!A1</f>
        <v>LICKING VALLEY R.E.C.C.</v>
      </c>
      <c r="B4" s="283"/>
      <c r="C4" s="283"/>
      <c r="D4" s="283"/>
      <c r="E4" s="283"/>
      <c r="F4" s="283"/>
      <c r="G4" s="283"/>
      <c r="H4" s="283"/>
      <c r="J4" s="168"/>
      <c r="K4" s="168"/>
      <c r="L4" s="168"/>
      <c r="M4" s="168"/>
      <c r="N4" s="168"/>
      <c r="O4" s="168"/>
    </row>
    <row r="5" spans="1:15">
      <c r="A5" s="283" t="str">
        <f>RevReq!A3</f>
        <v>For the 12 Months Ended December 31, 2023</v>
      </c>
      <c r="B5" s="283"/>
      <c r="C5" s="283"/>
      <c r="D5" s="283"/>
      <c r="E5" s="283"/>
      <c r="F5" s="283"/>
      <c r="G5" s="283"/>
      <c r="H5" s="283"/>
    </row>
    <row r="7" spans="1:15" s="130" customFormat="1" ht="15" customHeight="1">
      <c r="A7" s="282" t="s">
        <v>171</v>
      </c>
      <c r="B7" s="282"/>
      <c r="C7" s="282"/>
      <c r="D7" s="282"/>
      <c r="E7" s="282"/>
      <c r="F7" s="282"/>
      <c r="G7" s="282"/>
      <c r="H7" s="282"/>
    </row>
    <row r="9" spans="1:15">
      <c r="A9" s="1" t="s">
        <v>0</v>
      </c>
      <c r="C9" s="1" t="s">
        <v>16</v>
      </c>
      <c r="D9" s="1" t="s">
        <v>17</v>
      </c>
      <c r="E9" s="1"/>
      <c r="F9" s="1" t="s">
        <v>23</v>
      </c>
      <c r="G9" s="1"/>
      <c r="H9" s="1" t="s">
        <v>24</v>
      </c>
    </row>
    <row r="10" spans="1:15">
      <c r="A10" s="27" t="s">
        <v>21</v>
      </c>
      <c r="C10" s="131" t="s">
        <v>18</v>
      </c>
      <c r="D10" s="131" t="s">
        <v>20</v>
      </c>
      <c r="E10" s="1"/>
      <c r="F10" s="131" t="s">
        <v>19</v>
      </c>
      <c r="G10" s="131"/>
      <c r="H10" s="131" t="s">
        <v>25</v>
      </c>
    </row>
    <row r="11" spans="1:15">
      <c r="A11" s="1"/>
    </row>
    <row r="12" spans="1:15">
      <c r="A12" s="1"/>
    </row>
    <row r="13" spans="1:15">
      <c r="A13" s="1">
        <v>1</v>
      </c>
      <c r="C13" s="1">
        <v>2023</v>
      </c>
      <c r="D13" s="1" t="s">
        <v>6</v>
      </c>
      <c r="E13" s="119"/>
      <c r="F13" s="119">
        <v>262257.08</v>
      </c>
      <c r="G13" s="119"/>
      <c r="H13" s="119">
        <v>564350</v>
      </c>
      <c r="K13" s="126"/>
    </row>
    <row r="14" spans="1:15">
      <c r="A14" s="1">
        <v>2</v>
      </c>
      <c r="C14" s="1">
        <f>C13</f>
        <v>2023</v>
      </c>
      <c r="D14" s="1" t="s">
        <v>7</v>
      </c>
      <c r="E14" s="119"/>
      <c r="F14" s="119">
        <v>347634.75</v>
      </c>
      <c r="G14" s="119"/>
      <c r="H14" s="119">
        <v>236638</v>
      </c>
      <c r="K14" s="126"/>
    </row>
    <row r="15" spans="1:15">
      <c r="A15" s="1">
        <v>3</v>
      </c>
      <c r="C15" s="1">
        <f t="shared" ref="C15:C24" si="0">C14</f>
        <v>2023</v>
      </c>
      <c r="D15" s="1" t="s">
        <v>8</v>
      </c>
      <c r="E15" s="119"/>
      <c r="F15" s="119">
        <v>270645.93</v>
      </c>
      <c r="G15" s="119"/>
      <c r="H15" s="119">
        <v>193167</v>
      </c>
      <c r="K15" s="126"/>
    </row>
    <row r="16" spans="1:15">
      <c r="A16" s="1">
        <v>4</v>
      </c>
      <c r="C16" s="1">
        <f t="shared" si="0"/>
        <v>2023</v>
      </c>
      <c r="D16" s="1" t="s">
        <v>9</v>
      </c>
      <c r="E16" s="119"/>
      <c r="F16" s="119">
        <v>228153.52000000005</v>
      </c>
      <c r="G16" s="119"/>
      <c r="H16" s="119">
        <v>158860</v>
      </c>
      <c r="K16" s="126"/>
    </row>
    <row r="17" spans="1:11">
      <c r="A17" s="1">
        <v>5</v>
      </c>
      <c r="C17" s="1">
        <f t="shared" si="0"/>
        <v>2023</v>
      </c>
      <c r="D17" s="1" t="s">
        <v>10</v>
      </c>
      <c r="E17" s="119"/>
      <c r="F17" s="119">
        <v>151845.41999999998</v>
      </c>
      <c r="G17" s="119"/>
      <c r="H17" s="119">
        <v>182251</v>
      </c>
      <c r="K17" s="126"/>
    </row>
    <row r="18" spans="1:11">
      <c r="A18" s="1">
        <v>6</v>
      </c>
      <c r="C18" s="1">
        <f t="shared" si="0"/>
        <v>2023</v>
      </c>
      <c r="D18" s="1" t="s">
        <v>11</v>
      </c>
      <c r="E18" s="119"/>
      <c r="F18" s="119">
        <v>293920.15999999997</v>
      </c>
      <c r="G18" s="119"/>
      <c r="H18" s="119">
        <v>78105</v>
      </c>
      <c r="K18" s="126"/>
    </row>
    <row r="19" spans="1:11">
      <c r="A19" s="1">
        <v>7</v>
      </c>
      <c r="C19" s="1">
        <f t="shared" si="0"/>
        <v>2023</v>
      </c>
      <c r="D19" s="1" t="s">
        <v>12</v>
      </c>
      <c r="E19" s="119"/>
      <c r="F19" s="119">
        <v>102036.1</v>
      </c>
      <c r="G19" s="119"/>
      <c r="H19" s="119">
        <v>149474</v>
      </c>
      <c r="K19" s="126"/>
    </row>
    <row r="20" spans="1:11">
      <c r="A20" s="1">
        <v>8</v>
      </c>
      <c r="C20" s="1">
        <f t="shared" si="0"/>
        <v>2023</v>
      </c>
      <c r="D20" s="1" t="s">
        <v>13</v>
      </c>
      <c r="E20" s="119"/>
      <c r="F20" s="119">
        <v>110490.46</v>
      </c>
      <c r="G20" s="119"/>
      <c r="H20" s="119">
        <v>231439</v>
      </c>
      <c r="K20" s="126"/>
    </row>
    <row r="21" spans="1:11">
      <c r="A21" s="1">
        <v>9</v>
      </c>
      <c r="C21" s="1">
        <f t="shared" si="0"/>
        <v>2023</v>
      </c>
      <c r="D21" s="1" t="s">
        <v>2</v>
      </c>
      <c r="E21" s="119"/>
      <c r="F21" s="119">
        <v>218561.11</v>
      </c>
      <c r="G21" s="119"/>
      <c r="H21" s="119">
        <v>234911</v>
      </c>
      <c r="K21" s="126"/>
    </row>
    <row r="22" spans="1:11">
      <c r="A22" s="1">
        <v>10</v>
      </c>
      <c r="C22" s="1">
        <f t="shared" si="0"/>
        <v>2023</v>
      </c>
      <c r="D22" s="1" t="s">
        <v>3</v>
      </c>
      <c r="E22" s="119"/>
      <c r="F22" s="119">
        <v>288993.55000000005</v>
      </c>
      <c r="G22" s="119"/>
      <c r="H22" s="119">
        <v>282184</v>
      </c>
      <c r="K22" s="126"/>
    </row>
    <row r="23" spans="1:11">
      <c r="A23" s="1">
        <v>11</v>
      </c>
      <c r="C23" s="1">
        <f t="shared" si="0"/>
        <v>2023</v>
      </c>
      <c r="D23" s="1" t="s">
        <v>4</v>
      </c>
      <c r="E23" s="119"/>
      <c r="F23" s="119">
        <v>383868.7</v>
      </c>
      <c r="G23" s="119"/>
      <c r="H23" s="119">
        <v>238827</v>
      </c>
      <c r="K23" s="126"/>
    </row>
    <row r="24" spans="1:11">
      <c r="A24" s="1">
        <v>12</v>
      </c>
      <c r="C24" s="1">
        <f t="shared" si="0"/>
        <v>2023</v>
      </c>
      <c r="D24" s="1" t="s">
        <v>5</v>
      </c>
      <c r="E24" s="119"/>
      <c r="F24" s="119">
        <v>338204.3</v>
      </c>
      <c r="G24" s="119"/>
      <c r="H24" s="119">
        <v>216113</v>
      </c>
      <c r="K24" s="126"/>
    </row>
    <row r="25" spans="1:11">
      <c r="A25" s="1">
        <v>13</v>
      </c>
      <c r="C25" s="32"/>
      <c r="D25" s="4" t="s">
        <v>14</v>
      </c>
      <c r="E25" s="163"/>
      <c r="F25" s="163">
        <f>SUM(F13:F24)</f>
        <v>2996611.08</v>
      </c>
      <c r="G25" s="163"/>
      <c r="H25" s="163">
        <f>SUM(H13:H24)</f>
        <v>2766319</v>
      </c>
    </row>
    <row r="26" spans="1:11">
      <c r="A26" s="1">
        <v>14</v>
      </c>
      <c r="E26" s="117"/>
      <c r="F26" s="117"/>
      <c r="G26" s="117"/>
    </row>
    <row r="27" spans="1:11">
      <c r="A27" s="1">
        <v>15</v>
      </c>
      <c r="C27" s="2" t="s">
        <v>37</v>
      </c>
      <c r="E27" s="117"/>
      <c r="F27" s="107">
        <f>F25</f>
        <v>2996611.08</v>
      </c>
      <c r="G27" s="107"/>
      <c r="H27" s="107">
        <f>H25</f>
        <v>2766319</v>
      </c>
    </row>
    <row r="28" spans="1:11">
      <c r="A28" s="1">
        <v>16</v>
      </c>
      <c r="E28" s="117"/>
      <c r="F28" s="117"/>
      <c r="G28" s="117"/>
    </row>
    <row r="29" spans="1:11">
      <c r="A29" s="1">
        <v>17</v>
      </c>
      <c r="C29" s="2" t="s">
        <v>38</v>
      </c>
      <c r="E29" s="119"/>
      <c r="F29" s="119">
        <v>0</v>
      </c>
      <c r="G29" s="119"/>
      <c r="H29" s="119">
        <v>0</v>
      </c>
    </row>
    <row r="30" spans="1:11">
      <c r="A30" s="1">
        <v>18</v>
      </c>
    </row>
    <row r="31" spans="1:11" ht="13.8" thickBot="1">
      <c r="A31" s="1">
        <v>19</v>
      </c>
      <c r="C31" s="3" t="s">
        <v>15</v>
      </c>
      <c r="D31" s="3"/>
      <c r="E31" s="164"/>
      <c r="F31" s="308">
        <f>ROUND(F29-F27,2)</f>
        <v>-2996611.08</v>
      </c>
      <c r="G31" s="309"/>
      <c r="H31" s="308">
        <f>ROUND(H29-H27,2)</f>
        <v>-2766319</v>
      </c>
    </row>
    <row r="32" spans="1:11" ht="13.8" thickTop="1"/>
    <row r="34" spans="3:8" ht="30" customHeight="1">
      <c r="C34" s="284" t="s">
        <v>39</v>
      </c>
      <c r="D34" s="284"/>
      <c r="E34" s="284"/>
      <c r="F34" s="284"/>
      <c r="G34" s="284"/>
      <c r="H34" s="284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D10:H11 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1">
    <pageSetUpPr fitToPage="1"/>
  </sheetPr>
  <dimension ref="A1:K34"/>
  <sheetViews>
    <sheetView view="pageBreakPreview" topLeftCell="A15" zoomScaleNormal="75" zoomScaleSheetLayoutView="100" workbookViewId="0">
      <selection activeCell="I61" sqref="I61"/>
    </sheetView>
  </sheetViews>
  <sheetFormatPr defaultColWidth="9.109375" defaultRowHeight="13.2"/>
  <cols>
    <col min="1" max="1" width="5.88671875" style="2" customWidth="1"/>
    <col min="2" max="2" width="2.33203125" style="2" customWidth="1"/>
    <col min="3" max="3" width="11.6640625" style="2" customWidth="1"/>
    <col min="4" max="4" width="10.88671875" style="2" customWidth="1"/>
    <col min="5" max="5" width="5.88671875" style="2" customWidth="1"/>
    <col min="6" max="6" width="15.33203125" style="2" customWidth="1"/>
    <col min="7" max="7" width="3.33203125" style="2" customWidth="1"/>
    <col min="8" max="8" width="14.44140625" style="2" customWidth="1"/>
    <col min="9" max="10" width="9.109375" style="2"/>
    <col min="11" max="11" width="9.88671875" style="2" bestFit="1" customWidth="1"/>
    <col min="12" max="16384" width="9.109375" style="2"/>
  </cols>
  <sheetData>
    <row r="1" spans="1:11">
      <c r="G1" s="129"/>
      <c r="H1" s="129" t="s">
        <v>26</v>
      </c>
    </row>
    <row r="2" spans="1:11" ht="20.25" customHeight="1">
      <c r="G2" s="129"/>
      <c r="H2" s="129"/>
    </row>
    <row r="3" spans="1:11">
      <c r="G3" s="129"/>
      <c r="H3" s="129"/>
    </row>
    <row r="4" spans="1:11">
      <c r="A4" s="283" t="str">
        <f>RevReq!A1</f>
        <v>LICKING VALLEY R.E.C.C.</v>
      </c>
      <c r="B4" s="283"/>
      <c r="C4" s="283"/>
      <c r="D4" s="283"/>
      <c r="E4" s="283"/>
      <c r="F4" s="283"/>
      <c r="G4" s="283"/>
      <c r="H4" s="283"/>
    </row>
    <row r="5" spans="1:11">
      <c r="A5" s="283" t="str">
        <f>RevReq!A3</f>
        <v>For the 12 Months Ended December 31, 2023</v>
      </c>
      <c r="B5" s="283"/>
      <c r="C5" s="283"/>
      <c r="D5" s="283"/>
      <c r="E5" s="283"/>
      <c r="F5" s="283"/>
      <c r="G5" s="283"/>
      <c r="H5" s="283"/>
    </row>
    <row r="7" spans="1:11" s="130" customFormat="1" ht="15" customHeight="1">
      <c r="A7" s="282" t="s">
        <v>125</v>
      </c>
      <c r="B7" s="282"/>
      <c r="C7" s="282"/>
      <c r="D7" s="282"/>
      <c r="E7" s="282"/>
      <c r="F7" s="282"/>
      <c r="G7" s="282"/>
      <c r="H7" s="282"/>
    </row>
    <row r="9" spans="1:11">
      <c r="A9" s="1" t="s">
        <v>0</v>
      </c>
      <c r="C9" s="1" t="s">
        <v>16</v>
      </c>
      <c r="D9" s="1" t="s">
        <v>17</v>
      </c>
      <c r="E9" s="1"/>
      <c r="F9" s="1" t="s">
        <v>23</v>
      </c>
      <c r="G9" s="1"/>
      <c r="H9" s="1" t="s">
        <v>24</v>
      </c>
    </row>
    <row r="10" spans="1:11">
      <c r="A10" s="27" t="s">
        <v>21</v>
      </c>
      <c r="C10" s="131" t="s">
        <v>18</v>
      </c>
      <c r="D10" s="131" t="s">
        <v>20</v>
      </c>
      <c r="E10" s="1"/>
      <c r="F10" s="131" t="s">
        <v>19</v>
      </c>
      <c r="G10" s="131"/>
      <c r="H10" s="131" t="s">
        <v>25</v>
      </c>
    </row>
    <row r="11" spans="1:11">
      <c r="A11" s="1"/>
    </row>
    <row r="12" spans="1:11">
      <c r="A12" s="1"/>
    </row>
    <row r="13" spans="1:11">
      <c r="A13" s="1">
        <v>1</v>
      </c>
      <c r="C13" s="1">
        <v>2023</v>
      </c>
      <c r="D13" s="1" t="s">
        <v>6</v>
      </c>
      <c r="E13" s="119"/>
      <c r="F13" s="119">
        <v>270421.56</v>
      </c>
      <c r="G13" s="119"/>
      <c r="H13" s="119">
        <v>294536</v>
      </c>
      <c r="K13" s="126"/>
    </row>
    <row r="14" spans="1:11">
      <c r="A14" s="1">
        <v>2</v>
      </c>
      <c r="C14" s="1">
        <f>C13</f>
        <v>2023</v>
      </c>
      <c r="D14" s="1" t="s">
        <v>7</v>
      </c>
      <c r="E14" s="119"/>
      <c r="F14" s="119">
        <v>144820.17999999996</v>
      </c>
      <c r="G14" s="119"/>
      <c r="H14" s="119">
        <v>150508</v>
      </c>
      <c r="K14" s="126"/>
    </row>
    <row r="15" spans="1:11">
      <c r="A15" s="1">
        <v>3</v>
      </c>
      <c r="C15" s="1">
        <f t="shared" ref="C15:C24" si="0">C14</f>
        <v>2023</v>
      </c>
      <c r="D15" s="1" t="s">
        <v>8</v>
      </c>
      <c r="E15" s="119"/>
      <c r="F15" s="119">
        <v>198161.52000000002</v>
      </c>
      <c r="G15" s="119"/>
      <c r="H15" s="119">
        <v>192449</v>
      </c>
      <c r="K15" s="126"/>
    </row>
    <row r="16" spans="1:11">
      <c r="A16" s="1">
        <v>4</v>
      </c>
      <c r="C16" s="1">
        <f t="shared" si="0"/>
        <v>2023</v>
      </c>
      <c r="D16" s="1" t="s">
        <v>9</v>
      </c>
      <c r="E16" s="119"/>
      <c r="F16" s="119">
        <v>217554.25000000003</v>
      </c>
      <c r="G16" s="119"/>
      <c r="H16" s="119">
        <v>198026</v>
      </c>
      <c r="K16" s="126"/>
    </row>
    <row r="17" spans="1:11">
      <c r="A17" s="1">
        <v>5</v>
      </c>
      <c r="C17" s="1">
        <f t="shared" si="0"/>
        <v>2023</v>
      </c>
      <c r="D17" s="1" t="s">
        <v>10</v>
      </c>
      <c r="E17" s="119"/>
      <c r="F17" s="119">
        <v>205928.41999999998</v>
      </c>
      <c r="G17" s="119"/>
      <c r="H17" s="119">
        <v>192675</v>
      </c>
      <c r="K17" s="126"/>
    </row>
    <row r="18" spans="1:11">
      <c r="A18" s="1">
        <v>6</v>
      </c>
      <c r="C18" s="1">
        <f t="shared" si="0"/>
        <v>2023</v>
      </c>
      <c r="D18" s="1" t="s">
        <v>11</v>
      </c>
      <c r="E18" s="119"/>
      <c r="F18" s="119">
        <v>279272.86</v>
      </c>
      <c r="G18" s="119"/>
      <c r="H18" s="119">
        <v>219895</v>
      </c>
      <c r="K18" s="126"/>
    </row>
    <row r="19" spans="1:11">
      <c r="A19" s="1">
        <v>7</v>
      </c>
      <c r="C19" s="1">
        <f t="shared" si="0"/>
        <v>2023</v>
      </c>
      <c r="D19" s="1" t="s">
        <v>12</v>
      </c>
      <c r="E19" s="119"/>
      <c r="F19" s="119">
        <v>301988.98</v>
      </c>
      <c r="G19" s="119"/>
      <c r="H19" s="119">
        <v>301162</v>
      </c>
      <c r="K19" s="126"/>
    </row>
    <row r="20" spans="1:11">
      <c r="A20" s="1">
        <v>8</v>
      </c>
      <c r="C20" s="1">
        <f t="shared" si="0"/>
        <v>2023</v>
      </c>
      <c r="D20" s="1" t="s">
        <v>13</v>
      </c>
      <c r="E20" s="119"/>
      <c r="F20" s="119">
        <v>283142.51</v>
      </c>
      <c r="G20" s="119"/>
      <c r="H20" s="119">
        <v>305694</v>
      </c>
      <c r="K20" s="126"/>
    </row>
    <row r="21" spans="1:11">
      <c r="A21" s="1">
        <v>9</v>
      </c>
      <c r="C21" s="1">
        <f t="shared" si="0"/>
        <v>2023</v>
      </c>
      <c r="D21" s="1" t="s">
        <v>2</v>
      </c>
      <c r="E21" s="119"/>
      <c r="F21" s="119">
        <v>232325.94</v>
      </c>
      <c r="G21" s="119"/>
      <c r="H21" s="119">
        <v>241147</v>
      </c>
      <c r="K21" s="126"/>
    </row>
    <row r="22" spans="1:11">
      <c r="A22" s="1">
        <v>10</v>
      </c>
      <c r="C22" s="1">
        <f t="shared" si="0"/>
        <v>2023</v>
      </c>
      <c r="D22" s="1" t="s">
        <v>3</v>
      </c>
      <c r="E22" s="119"/>
      <c r="F22" s="119">
        <v>273660.17000000004</v>
      </c>
      <c r="G22" s="119"/>
      <c r="H22" s="119">
        <v>242948</v>
      </c>
      <c r="K22" s="126"/>
    </row>
    <row r="23" spans="1:11">
      <c r="A23" s="1">
        <v>11</v>
      </c>
      <c r="C23" s="1">
        <f t="shared" si="0"/>
        <v>2023</v>
      </c>
      <c r="D23" s="1" t="s">
        <v>4</v>
      </c>
      <c r="E23" s="119"/>
      <c r="F23" s="119">
        <v>381990.13999999996</v>
      </c>
      <c r="G23" s="119"/>
      <c r="H23" s="119">
        <v>346985</v>
      </c>
      <c r="K23" s="126"/>
    </row>
    <row r="24" spans="1:11">
      <c r="A24" s="1">
        <v>12</v>
      </c>
      <c r="C24" s="1">
        <f t="shared" si="0"/>
        <v>2023</v>
      </c>
      <c r="D24" s="1" t="s">
        <v>5</v>
      </c>
      <c r="E24" s="119"/>
      <c r="F24" s="119">
        <v>444020.93</v>
      </c>
      <c r="G24" s="119"/>
      <c r="H24" s="119">
        <v>376943</v>
      </c>
      <c r="K24" s="126"/>
    </row>
    <row r="25" spans="1:11">
      <c r="A25" s="1">
        <v>13</v>
      </c>
      <c r="C25" s="32"/>
      <c r="D25" s="4" t="s">
        <v>14</v>
      </c>
      <c r="E25" s="163"/>
      <c r="F25" s="163">
        <f>SUM(F13:F24)</f>
        <v>3233287.4600000004</v>
      </c>
      <c r="G25" s="163"/>
      <c r="H25" s="163">
        <f>SUM(H13:H24)</f>
        <v>3062968</v>
      </c>
      <c r="K25" s="126"/>
    </row>
    <row r="26" spans="1:11">
      <c r="A26" s="1">
        <v>14</v>
      </c>
      <c r="E26" s="117"/>
      <c r="F26" s="117"/>
      <c r="G26" s="117"/>
    </row>
    <row r="27" spans="1:11">
      <c r="A27" s="1">
        <v>15</v>
      </c>
      <c r="C27" s="2" t="s">
        <v>37</v>
      </c>
      <c r="E27" s="117"/>
      <c r="F27" s="107">
        <f>F25</f>
        <v>3233287.4600000004</v>
      </c>
      <c r="G27" s="107"/>
      <c r="H27" s="107">
        <f>H25</f>
        <v>3062968</v>
      </c>
    </row>
    <row r="28" spans="1:11">
      <c r="A28" s="1">
        <v>16</v>
      </c>
      <c r="E28" s="117"/>
      <c r="F28" s="107"/>
      <c r="G28" s="107"/>
    </row>
    <row r="29" spans="1:11">
      <c r="A29" s="1">
        <v>17</v>
      </c>
      <c r="C29" s="2" t="s">
        <v>38</v>
      </c>
      <c r="E29" s="119"/>
      <c r="F29" s="119">
        <v>0</v>
      </c>
      <c r="G29" s="119"/>
      <c r="H29" s="119">
        <v>0</v>
      </c>
    </row>
    <row r="30" spans="1:11">
      <c r="A30" s="1">
        <v>18</v>
      </c>
    </row>
    <row r="31" spans="1:11" ht="13.8" thickBot="1">
      <c r="A31" s="1">
        <v>19</v>
      </c>
      <c r="C31" s="3" t="s">
        <v>15</v>
      </c>
      <c r="D31" s="3"/>
      <c r="E31" s="164"/>
      <c r="F31" s="308">
        <f>ROUND(F29-F27,2)</f>
        <v>-3233287.46</v>
      </c>
      <c r="G31" s="309"/>
      <c r="H31" s="308">
        <f>ROUND(H29-H27,2)</f>
        <v>-3062968</v>
      </c>
    </row>
    <row r="32" spans="1:11" ht="13.8" thickTop="1"/>
    <row r="34" spans="3:8" ht="29.25" customHeight="1">
      <c r="C34" s="284" t="s">
        <v>40</v>
      </c>
      <c r="D34" s="284"/>
      <c r="E34" s="284"/>
      <c r="F34" s="284"/>
      <c r="G34" s="284"/>
      <c r="H34" s="284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C10:H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pageSetUpPr fitToPage="1"/>
  </sheetPr>
  <dimension ref="A1:E26"/>
  <sheetViews>
    <sheetView view="pageBreakPreview" topLeftCell="A6" zoomScaleNormal="75" zoomScaleSheetLayoutView="100" workbookViewId="0">
      <selection activeCell="I61" sqref="I61"/>
    </sheetView>
  </sheetViews>
  <sheetFormatPr defaultColWidth="9.109375" defaultRowHeight="13.2"/>
  <cols>
    <col min="1" max="1" width="5.88671875" style="2" customWidth="1"/>
    <col min="2" max="2" width="2.33203125" style="2" customWidth="1"/>
    <col min="3" max="3" width="37.6640625" style="2" bestFit="1" customWidth="1"/>
    <col min="4" max="4" width="2.44140625" style="2" customWidth="1"/>
    <col min="5" max="5" width="15.6640625" style="2" customWidth="1"/>
    <col min="6" max="16384" width="9.109375" style="2"/>
  </cols>
  <sheetData>
    <row r="1" spans="1:5">
      <c r="E1" s="129" t="s">
        <v>123</v>
      </c>
    </row>
    <row r="2" spans="1:5" ht="20.25" customHeight="1">
      <c r="E2" s="129"/>
    </row>
    <row r="3" spans="1:5">
      <c r="A3" s="283" t="str">
        <f>RevReq!A1</f>
        <v>LICKING VALLEY R.E.C.C.</v>
      </c>
      <c r="B3" s="283"/>
      <c r="C3" s="283"/>
      <c r="D3" s="283"/>
      <c r="E3" s="283"/>
    </row>
    <row r="4" spans="1:5">
      <c r="A4" s="283" t="str">
        <f>RevReq!A3</f>
        <v>For the 12 Months Ended December 31, 2023</v>
      </c>
      <c r="B4" s="283"/>
      <c r="C4" s="283"/>
      <c r="D4" s="283"/>
      <c r="E4" s="283"/>
    </row>
    <row r="6" spans="1:5" s="130" customFormat="1" ht="15" customHeight="1">
      <c r="A6" s="282" t="s">
        <v>31</v>
      </c>
      <c r="B6" s="282"/>
      <c r="C6" s="282"/>
      <c r="D6" s="282"/>
      <c r="E6" s="282"/>
    </row>
    <row r="8" spans="1:5">
      <c r="A8" s="1" t="s">
        <v>0</v>
      </c>
      <c r="C8" s="1" t="s">
        <v>41</v>
      </c>
      <c r="D8" s="1"/>
      <c r="E8" s="1" t="s">
        <v>24</v>
      </c>
    </row>
    <row r="9" spans="1:5">
      <c r="A9" s="27" t="s">
        <v>21</v>
      </c>
      <c r="C9" s="131" t="s">
        <v>18</v>
      </c>
      <c r="D9" s="131"/>
      <c r="E9" s="131" t="s">
        <v>20</v>
      </c>
    </row>
    <row r="10" spans="1:5">
      <c r="A10" s="1"/>
    </row>
    <row r="11" spans="1:5">
      <c r="A11" s="1">
        <v>1</v>
      </c>
      <c r="C11" s="132" t="s">
        <v>396</v>
      </c>
      <c r="E11" s="301">
        <v>115000</v>
      </c>
    </row>
    <row r="12" spans="1:5">
      <c r="A12" s="1">
        <f>A11+1</f>
        <v>2</v>
      </c>
      <c r="C12" s="132" t="s">
        <v>114</v>
      </c>
      <c r="E12" s="301">
        <v>45000</v>
      </c>
    </row>
    <row r="13" spans="1:5">
      <c r="A13" s="1">
        <f t="shared" ref="A13:A23" si="0">A12+1</f>
        <v>3</v>
      </c>
      <c r="C13" s="32" t="s">
        <v>22</v>
      </c>
      <c r="D13" s="4"/>
      <c r="E13" s="161">
        <f>SUM(E11:E12)</f>
        <v>160000</v>
      </c>
    </row>
    <row r="14" spans="1:5">
      <c r="A14" s="1">
        <f t="shared" si="0"/>
        <v>4</v>
      </c>
    </row>
    <row r="15" spans="1:5">
      <c r="A15" s="1">
        <f t="shared" si="0"/>
        <v>5</v>
      </c>
      <c r="C15" s="2" t="s">
        <v>43</v>
      </c>
      <c r="E15" s="107">
        <f>E13</f>
        <v>160000</v>
      </c>
    </row>
    <row r="16" spans="1:5">
      <c r="A16" s="1">
        <f t="shared" si="0"/>
        <v>6</v>
      </c>
      <c r="C16" s="2" t="s">
        <v>44</v>
      </c>
      <c r="E16" s="107">
        <v>3</v>
      </c>
    </row>
    <row r="17" spans="1:5">
      <c r="A17" s="1">
        <f t="shared" si="0"/>
        <v>7</v>
      </c>
      <c r="C17" s="2" t="s">
        <v>46</v>
      </c>
      <c r="E17" s="107">
        <f>E15/E16</f>
        <v>53333.333333333336</v>
      </c>
    </row>
    <row r="18" spans="1:5">
      <c r="A18" s="1">
        <f t="shared" si="0"/>
        <v>8</v>
      </c>
      <c r="E18" s="107"/>
    </row>
    <row r="19" spans="1:5">
      <c r="A19" s="1">
        <f t="shared" si="0"/>
        <v>9</v>
      </c>
      <c r="C19" s="2" t="s">
        <v>37</v>
      </c>
      <c r="E19" s="107">
        <v>0</v>
      </c>
    </row>
    <row r="20" spans="1:5">
      <c r="A20" s="1">
        <f t="shared" si="0"/>
        <v>10</v>
      </c>
    </row>
    <row r="21" spans="1:5">
      <c r="A21" s="1">
        <f t="shared" si="0"/>
        <v>11</v>
      </c>
      <c r="C21" s="2" t="s">
        <v>38</v>
      </c>
      <c r="E21" s="119">
        <f>E17</f>
        <v>53333.333333333336</v>
      </c>
    </row>
    <row r="22" spans="1:5">
      <c r="A22" s="1">
        <f t="shared" si="0"/>
        <v>12</v>
      </c>
    </row>
    <row r="23" spans="1:5" ht="13.8" thickBot="1">
      <c r="A23" s="1">
        <f t="shared" si="0"/>
        <v>13</v>
      </c>
      <c r="C23" s="3" t="s">
        <v>15</v>
      </c>
      <c r="D23" s="3"/>
      <c r="E23" s="308">
        <f>ROUND(E21-E19,2)</f>
        <v>53333.33</v>
      </c>
    </row>
    <row r="24" spans="1:5" ht="13.8" thickTop="1"/>
    <row r="26" spans="1:5" ht="30" customHeight="1">
      <c r="C26" s="284" t="s">
        <v>47</v>
      </c>
      <c r="D26" s="284"/>
      <c r="E26" s="284"/>
    </row>
  </sheetData>
  <mergeCells count="4">
    <mergeCell ref="C26:E26"/>
    <mergeCell ref="A3:E3"/>
    <mergeCell ref="A4:E4"/>
    <mergeCell ref="A6:E6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C9:E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2"/>
  <dimension ref="A1:S59"/>
  <sheetViews>
    <sheetView view="pageBreakPreview" topLeftCell="A32" zoomScaleNormal="75" zoomScaleSheetLayoutView="100" workbookViewId="0">
      <selection activeCell="I61" sqref="I61"/>
    </sheetView>
  </sheetViews>
  <sheetFormatPr defaultColWidth="9.109375" defaultRowHeight="13.2"/>
  <cols>
    <col min="1" max="1" width="5.88671875" style="2" customWidth="1"/>
    <col min="2" max="2" width="2.33203125" style="2" customWidth="1"/>
    <col min="3" max="3" width="13.33203125" style="2" customWidth="1"/>
    <col min="4" max="4" width="10.88671875" style="2" customWidth="1"/>
    <col min="5" max="5" width="4.109375" style="2" customWidth="1"/>
    <col min="6" max="6" width="12.5546875" style="2" bestFit="1" customWidth="1"/>
    <col min="7" max="7" width="13.33203125" style="2" bestFit="1" customWidth="1"/>
    <col min="8" max="8" width="15.5546875" style="2" bestFit="1" customWidth="1"/>
    <col min="9" max="9" width="15.44140625" style="2" customWidth="1"/>
    <col min="10" max="10" width="13.6640625" style="2" customWidth="1"/>
    <col min="11" max="15" width="9.109375" style="2"/>
    <col min="16" max="16" width="11.6640625" style="2" bestFit="1" customWidth="1"/>
    <col min="17" max="18" width="9.109375" style="2"/>
    <col min="19" max="19" width="11.6640625" style="2" bestFit="1" customWidth="1"/>
    <col min="20" max="16384" width="9.109375" style="2"/>
  </cols>
  <sheetData>
    <row r="1" spans="1:10">
      <c r="J1" s="129" t="s">
        <v>122</v>
      </c>
    </row>
    <row r="2" spans="1:10" ht="20.25" customHeight="1">
      <c r="J2" s="129"/>
    </row>
    <row r="3" spans="1:10">
      <c r="G3" s="129"/>
    </row>
    <row r="4" spans="1:10">
      <c r="A4" s="283" t="str">
        <f>RevReq!A1</f>
        <v>LICKING VALLEY R.E.C.C.</v>
      </c>
      <c r="B4" s="283"/>
      <c r="C4" s="283"/>
      <c r="D4" s="283"/>
      <c r="E4" s="283"/>
      <c r="F4" s="283"/>
      <c r="G4" s="283"/>
      <c r="H4" s="283"/>
      <c r="I4" s="283"/>
      <c r="J4" s="283"/>
    </row>
    <row r="5" spans="1:10">
      <c r="A5" s="283" t="str">
        <f>RevReq!A3</f>
        <v>For the 12 Months Ended December 31, 2023</v>
      </c>
      <c r="B5" s="283"/>
      <c r="C5" s="283"/>
      <c r="D5" s="283"/>
      <c r="E5" s="283"/>
      <c r="F5" s="283"/>
      <c r="G5" s="283"/>
      <c r="H5" s="283"/>
      <c r="I5" s="283"/>
      <c r="J5" s="283"/>
    </row>
    <row r="7" spans="1:10" s="130" customFormat="1" ht="15" customHeight="1">
      <c r="A7" s="282" t="s">
        <v>50</v>
      </c>
      <c r="B7" s="282"/>
      <c r="C7" s="282"/>
      <c r="D7" s="282"/>
      <c r="E7" s="282"/>
      <c r="F7" s="282"/>
      <c r="G7" s="282"/>
      <c r="H7" s="282"/>
      <c r="I7" s="282"/>
      <c r="J7" s="282"/>
    </row>
    <row r="9" spans="1:10" ht="26.4">
      <c r="A9" s="1" t="s">
        <v>0</v>
      </c>
      <c r="C9" s="1" t="s">
        <v>16</v>
      </c>
      <c r="D9" s="1" t="s">
        <v>17</v>
      </c>
      <c r="E9" s="1"/>
      <c r="F9" s="26" t="s">
        <v>269</v>
      </c>
      <c r="G9" s="26" t="s">
        <v>270</v>
      </c>
      <c r="H9" s="26" t="s">
        <v>271</v>
      </c>
      <c r="I9" s="26" t="s">
        <v>411</v>
      </c>
      <c r="J9" s="1" t="s">
        <v>45</v>
      </c>
    </row>
    <row r="10" spans="1:10">
      <c r="A10" s="27" t="s">
        <v>21</v>
      </c>
      <c r="C10" s="131" t="s">
        <v>18</v>
      </c>
      <c r="D10" s="131" t="s">
        <v>20</v>
      </c>
      <c r="E10" s="1"/>
      <c r="F10" s="131" t="s">
        <v>19</v>
      </c>
      <c r="G10" s="131" t="s">
        <v>25</v>
      </c>
      <c r="H10" s="131" t="s">
        <v>51</v>
      </c>
      <c r="I10" s="131" t="s">
        <v>52</v>
      </c>
      <c r="J10" s="131" t="s">
        <v>53</v>
      </c>
    </row>
    <row r="11" spans="1:10">
      <c r="A11" s="1"/>
    </row>
    <row r="12" spans="1:10">
      <c r="A12" s="1"/>
    </row>
    <row r="13" spans="1:10">
      <c r="A13" s="1">
        <v>1</v>
      </c>
      <c r="C13" s="1">
        <v>2023</v>
      </c>
      <c r="D13" s="1" t="s">
        <v>6</v>
      </c>
      <c r="E13" s="119"/>
      <c r="F13" s="165">
        <v>16464</v>
      </c>
      <c r="G13" s="165">
        <v>865</v>
      </c>
      <c r="H13" s="165">
        <v>217</v>
      </c>
      <c r="I13" s="165">
        <v>0</v>
      </c>
      <c r="J13" s="113"/>
    </row>
    <row r="14" spans="1:10">
      <c r="A14" s="1">
        <v>2</v>
      </c>
      <c r="C14" s="1">
        <v>2023</v>
      </c>
      <c r="D14" s="1" t="s">
        <v>7</v>
      </c>
      <c r="E14" s="119"/>
      <c r="F14" s="165">
        <v>16469</v>
      </c>
      <c r="G14" s="165">
        <v>864</v>
      </c>
      <c r="H14" s="165">
        <v>217</v>
      </c>
      <c r="I14" s="165">
        <v>0</v>
      </c>
      <c r="J14" s="114"/>
    </row>
    <row r="15" spans="1:10">
      <c r="A15" s="1">
        <v>3</v>
      </c>
      <c r="C15" s="1">
        <v>2023</v>
      </c>
      <c r="D15" s="1" t="s">
        <v>8</v>
      </c>
      <c r="E15" s="119"/>
      <c r="F15" s="165">
        <v>16478</v>
      </c>
      <c r="G15" s="165">
        <v>868</v>
      </c>
      <c r="H15" s="165">
        <v>217</v>
      </c>
      <c r="I15" s="165">
        <v>0</v>
      </c>
      <c r="J15" s="114"/>
    </row>
    <row r="16" spans="1:10">
      <c r="A16" s="1">
        <v>4</v>
      </c>
      <c r="C16" s="1">
        <v>2023</v>
      </c>
      <c r="D16" s="1" t="s">
        <v>9</v>
      </c>
      <c r="E16" s="119"/>
      <c r="F16" s="165">
        <v>16482</v>
      </c>
      <c r="G16" s="165">
        <v>864</v>
      </c>
      <c r="H16" s="165">
        <v>219</v>
      </c>
      <c r="I16" s="165">
        <v>0</v>
      </c>
      <c r="J16" s="114"/>
    </row>
    <row r="17" spans="1:10">
      <c r="A17" s="1">
        <v>5</v>
      </c>
      <c r="C17" s="1">
        <v>2023</v>
      </c>
      <c r="D17" s="1" t="s">
        <v>10</v>
      </c>
      <c r="E17" s="119"/>
      <c r="F17" s="165">
        <v>16493</v>
      </c>
      <c r="G17" s="165">
        <v>866</v>
      </c>
      <c r="H17" s="165">
        <v>218</v>
      </c>
      <c r="I17" s="165">
        <v>0</v>
      </c>
      <c r="J17" s="114"/>
    </row>
    <row r="18" spans="1:10">
      <c r="A18" s="1">
        <v>6</v>
      </c>
      <c r="C18" s="1">
        <v>2023</v>
      </c>
      <c r="D18" s="1" t="s">
        <v>11</v>
      </c>
      <c r="E18" s="119"/>
      <c r="F18" s="165">
        <v>16531</v>
      </c>
      <c r="G18" s="165">
        <v>869</v>
      </c>
      <c r="H18" s="165">
        <v>218</v>
      </c>
      <c r="I18" s="165">
        <v>0</v>
      </c>
      <c r="J18" s="114"/>
    </row>
    <row r="19" spans="1:10">
      <c r="A19" s="1">
        <v>7</v>
      </c>
      <c r="C19" s="1">
        <v>2023</v>
      </c>
      <c r="D19" s="1" t="s">
        <v>12</v>
      </c>
      <c r="E19" s="119"/>
      <c r="F19" s="165">
        <v>16539</v>
      </c>
      <c r="G19" s="165">
        <v>870</v>
      </c>
      <c r="H19" s="165">
        <v>217</v>
      </c>
      <c r="I19" s="165">
        <v>0</v>
      </c>
      <c r="J19" s="114"/>
    </row>
    <row r="20" spans="1:10">
      <c r="A20" s="1">
        <v>8</v>
      </c>
      <c r="C20" s="1">
        <v>2023</v>
      </c>
      <c r="D20" s="1" t="s">
        <v>13</v>
      </c>
      <c r="E20" s="119"/>
      <c r="F20" s="165">
        <v>16580</v>
      </c>
      <c r="G20" s="165">
        <v>873</v>
      </c>
      <c r="H20" s="165">
        <v>216</v>
      </c>
      <c r="I20" s="165">
        <v>0</v>
      </c>
      <c r="J20" s="114"/>
    </row>
    <row r="21" spans="1:10">
      <c r="A21" s="1">
        <v>9</v>
      </c>
      <c r="C21" s="1">
        <v>2023</v>
      </c>
      <c r="D21" s="1" t="s">
        <v>2</v>
      </c>
      <c r="E21" s="119"/>
      <c r="F21" s="165">
        <v>16619</v>
      </c>
      <c r="G21" s="165">
        <v>874</v>
      </c>
      <c r="H21" s="165">
        <v>216</v>
      </c>
      <c r="I21" s="165">
        <v>1</v>
      </c>
      <c r="J21" s="114"/>
    </row>
    <row r="22" spans="1:10">
      <c r="A22" s="1">
        <v>10</v>
      </c>
      <c r="C22" s="1">
        <v>2023</v>
      </c>
      <c r="D22" s="1" t="s">
        <v>3</v>
      </c>
      <c r="E22" s="119"/>
      <c r="F22" s="165">
        <v>16627</v>
      </c>
      <c r="G22" s="165">
        <v>872</v>
      </c>
      <c r="H22" s="165">
        <v>216</v>
      </c>
      <c r="I22" s="165">
        <v>1</v>
      </c>
      <c r="J22" s="114"/>
    </row>
    <row r="23" spans="1:10">
      <c r="A23" s="1">
        <v>11</v>
      </c>
      <c r="C23" s="1">
        <v>2023</v>
      </c>
      <c r="D23" s="1" t="s">
        <v>4</v>
      </c>
      <c r="E23" s="119"/>
      <c r="F23" s="165">
        <v>16659</v>
      </c>
      <c r="G23" s="165">
        <v>871</v>
      </c>
      <c r="H23" s="165">
        <v>216</v>
      </c>
      <c r="I23" s="165">
        <v>1</v>
      </c>
      <c r="J23" s="114"/>
    </row>
    <row r="24" spans="1:10">
      <c r="A24" s="1">
        <v>12</v>
      </c>
      <c r="C24" s="1">
        <v>2023</v>
      </c>
      <c r="D24" s="1" t="s">
        <v>5</v>
      </c>
      <c r="E24" s="119"/>
      <c r="F24" s="165">
        <v>16649</v>
      </c>
      <c r="G24" s="165">
        <v>871</v>
      </c>
      <c r="H24" s="165">
        <v>215</v>
      </c>
      <c r="I24" s="165">
        <v>1</v>
      </c>
      <c r="J24" s="114"/>
    </row>
    <row r="25" spans="1:10">
      <c r="A25" s="1">
        <v>13</v>
      </c>
      <c r="C25" s="4" t="s">
        <v>55</v>
      </c>
      <c r="D25" s="32"/>
      <c r="E25" s="117"/>
      <c r="F25" s="115">
        <f>ROUND(AVERAGE(F13:F24),0)</f>
        <v>16549</v>
      </c>
      <c r="G25" s="115">
        <f>ROUND(AVERAGE(G13:G24),0)</f>
        <v>869</v>
      </c>
      <c r="H25" s="115">
        <f>ROUND(AVERAGE(H13:H24),0)</f>
        <v>217</v>
      </c>
      <c r="I25" s="269">
        <f>ROUND(AVERAGE(I13:I24),4)</f>
        <v>0.33329999999999999</v>
      </c>
      <c r="J25" s="114"/>
    </row>
    <row r="26" spans="1:10">
      <c r="A26" s="1">
        <v>14</v>
      </c>
    </row>
    <row r="27" spans="1:10">
      <c r="A27" s="1">
        <v>15</v>
      </c>
      <c r="C27" s="21" t="s">
        <v>70</v>
      </c>
      <c r="E27" s="117"/>
      <c r="F27" s="116">
        <f>F24-F25</f>
        <v>100</v>
      </c>
      <c r="G27" s="116">
        <f>G24-G25</f>
        <v>2</v>
      </c>
      <c r="H27" s="116">
        <f>H24-H25</f>
        <v>-2</v>
      </c>
      <c r="I27" s="277">
        <f>I24-I25</f>
        <v>0.66670000000000007</v>
      </c>
      <c r="J27" s="114"/>
    </row>
    <row r="28" spans="1:10">
      <c r="A28" s="1">
        <v>16</v>
      </c>
      <c r="D28" s="1"/>
      <c r="E28" s="117"/>
      <c r="F28" s="117"/>
      <c r="G28" s="117"/>
    </row>
    <row r="29" spans="1:10">
      <c r="A29" s="1">
        <v>17</v>
      </c>
      <c r="C29" s="2" t="s">
        <v>56</v>
      </c>
      <c r="D29" s="1"/>
      <c r="E29" s="117"/>
      <c r="F29" s="116">
        <v>186684568</v>
      </c>
      <c r="G29" s="116">
        <v>9453416</v>
      </c>
      <c r="H29" s="116">
        <v>31491833</v>
      </c>
      <c r="I29" s="116">
        <v>31284000</v>
      </c>
      <c r="J29" s="114"/>
    </row>
    <row r="30" spans="1:10">
      <c r="A30" s="1">
        <v>18</v>
      </c>
      <c r="C30" s="2" t="s">
        <v>57</v>
      </c>
      <c r="D30" s="1"/>
      <c r="E30" s="117"/>
      <c r="F30" s="116">
        <f>F29/F25</f>
        <v>11280.715934497553</v>
      </c>
      <c r="G30" s="116">
        <f>G29/G25</f>
        <v>10878.499424626007</v>
      </c>
      <c r="H30" s="116">
        <f>H29/H25</f>
        <v>145123.65437788019</v>
      </c>
      <c r="I30" s="116">
        <f>I29/I25</f>
        <v>93861386.138613865</v>
      </c>
      <c r="J30" s="114"/>
    </row>
    <row r="31" spans="1:10">
      <c r="A31" s="1">
        <v>19</v>
      </c>
      <c r="C31" s="2" t="s">
        <v>58</v>
      </c>
      <c r="D31" s="1"/>
      <c r="E31" s="117"/>
      <c r="F31" s="116">
        <f>F30*F27</f>
        <v>1128071.5934497553</v>
      </c>
      <c r="G31" s="116">
        <f>G30*G27</f>
        <v>21756.998849252013</v>
      </c>
      <c r="H31" s="116">
        <f>H30*H27</f>
        <v>-290247.30875576037</v>
      </c>
      <c r="I31" s="116">
        <f>I30*I27</f>
        <v>62577386.138613872</v>
      </c>
      <c r="J31" s="118">
        <f>SUM(F31:I31)</f>
        <v>63436967.422157116</v>
      </c>
    </row>
    <row r="32" spans="1:10">
      <c r="A32" s="1">
        <v>20</v>
      </c>
      <c r="D32" s="1"/>
      <c r="E32" s="117"/>
      <c r="F32" s="117"/>
      <c r="G32" s="117"/>
    </row>
    <row r="33" spans="1:19">
      <c r="A33" s="1">
        <v>21</v>
      </c>
      <c r="C33" s="84" t="s">
        <v>62</v>
      </c>
      <c r="D33" s="1"/>
      <c r="E33" s="117"/>
      <c r="F33" s="117"/>
      <c r="G33" s="117"/>
    </row>
    <row r="34" spans="1:19">
      <c r="A34" s="1">
        <v>22</v>
      </c>
      <c r="C34" s="2" t="s">
        <v>59</v>
      </c>
      <c r="D34" s="1"/>
      <c r="E34" s="117"/>
      <c r="F34" s="117">
        <v>19059809.471556</v>
      </c>
      <c r="G34" s="117">
        <v>1060398.1013600002</v>
      </c>
      <c r="H34" s="119">
        <v>3155506.4896510001</v>
      </c>
      <c r="I34" s="119">
        <v>1633026.72</v>
      </c>
      <c r="J34" s="114"/>
    </row>
    <row r="35" spans="1:19">
      <c r="A35" s="1">
        <v>23</v>
      </c>
      <c r="C35" s="2" t="s">
        <v>60</v>
      </c>
      <c r="D35" s="1"/>
      <c r="E35" s="117"/>
      <c r="F35" s="120">
        <f>F34/F29</f>
        <v>0.10209633113089454</v>
      </c>
      <c r="G35" s="120">
        <f>G34/G29</f>
        <v>0.11217089159728083</v>
      </c>
      <c r="H35" s="120">
        <f>H34/H29</f>
        <v>0.10020078823773136</v>
      </c>
      <c r="I35" s="120">
        <f>I34/I29</f>
        <v>5.2200061373225928E-2</v>
      </c>
      <c r="J35" s="114"/>
    </row>
    <row r="36" spans="1:19">
      <c r="A36" s="1">
        <v>24</v>
      </c>
      <c r="C36" s="2" t="s">
        <v>61</v>
      </c>
      <c r="D36" s="1"/>
      <c r="E36" s="117"/>
      <c r="F36" s="117">
        <f>F35*F31</f>
        <v>115171.97094420207</v>
      </c>
      <c r="G36" s="117">
        <f>G35*G31</f>
        <v>2440.5019594016112</v>
      </c>
      <c r="H36" s="117">
        <f>H35*H31</f>
        <v>-29083.009121207375</v>
      </c>
      <c r="I36" s="117">
        <f>I35*I31</f>
        <v>3266543.3970117015</v>
      </c>
      <c r="J36" s="118">
        <f>SUM(F36:I36)</f>
        <v>3355072.8607940977</v>
      </c>
    </row>
    <row r="37" spans="1:19">
      <c r="A37" s="1">
        <v>25</v>
      </c>
      <c r="D37" s="1"/>
      <c r="E37" s="117"/>
      <c r="F37" s="117"/>
      <c r="G37" s="117"/>
      <c r="H37" s="117"/>
      <c r="I37" s="117"/>
    </row>
    <row r="38" spans="1:19">
      <c r="A38" s="1">
        <v>26</v>
      </c>
      <c r="C38" s="84" t="s">
        <v>63</v>
      </c>
      <c r="D38" s="1"/>
      <c r="E38" s="117"/>
      <c r="F38" s="270" t="s">
        <v>412</v>
      </c>
      <c r="G38" s="270" t="s">
        <v>412</v>
      </c>
      <c r="H38" s="270" t="s">
        <v>412</v>
      </c>
      <c r="I38" s="270" t="s">
        <v>413</v>
      </c>
    </row>
    <row r="39" spans="1:19">
      <c r="A39" s="1">
        <v>27</v>
      </c>
      <c r="C39" s="2" t="s">
        <v>72</v>
      </c>
      <c r="D39" s="1"/>
      <c r="E39" s="117"/>
      <c r="F39" s="121">
        <f>G56/G57</f>
        <v>6.3771173434072251E-2</v>
      </c>
      <c r="G39" s="121">
        <f>F39</f>
        <v>6.3771173434072251E-2</v>
      </c>
      <c r="H39" s="121">
        <f>G39</f>
        <v>6.3771173434072251E-2</v>
      </c>
      <c r="I39" s="121">
        <f>H56/H57</f>
        <v>4.8618560574859998E-2</v>
      </c>
      <c r="J39" s="114"/>
    </row>
    <row r="40" spans="1:19">
      <c r="A40" s="1">
        <v>28</v>
      </c>
      <c r="C40" s="2" t="s">
        <v>64</v>
      </c>
      <c r="D40" s="1"/>
      <c r="E40" s="117"/>
      <c r="F40" s="117">
        <f>F39*F31</f>
        <v>71938.449231934588</v>
      </c>
      <c r="G40" s="117">
        <f>G39*G31</f>
        <v>1387.4693470205605</v>
      </c>
      <c r="H40" s="117">
        <f>H39*H31</f>
        <v>-18509.411465436311</v>
      </c>
      <c r="I40" s="117">
        <f>I39*I31</f>
        <v>3042422.438596603</v>
      </c>
      <c r="J40" s="122">
        <f>SUM(F40:I40)</f>
        <v>3097238.9457101217</v>
      </c>
    </row>
    <row r="41" spans="1:19" ht="13.8" thickBot="1">
      <c r="A41" s="1">
        <v>29</v>
      </c>
      <c r="C41" s="124"/>
      <c r="D41" s="22"/>
      <c r="E41" s="123"/>
      <c r="F41" s="123"/>
      <c r="G41" s="123"/>
      <c r="H41" s="123"/>
      <c r="I41" s="123"/>
      <c r="J41" s="124"/>
    </row>
    <row r="42" spans="1:19" ht="13.8" thickTop="1">
      <c r="A42" s="1">
        <v>30</v>
      </c>
      <c r="D42" s="1"/>
      <c r="E42" s="117"/>
    </row>
    <row r="43" spans="1:19">
      <c r="A43" s="1">
        <v>31</v>
      </c>
      <c r="E43" s="117"/>
      <c r="F43" s="125" t="s">
        <v>33</v>
      </c>
      <c r="G43" s="125" t="s">
        <v>24</v>
      </c>
      <c r="I43" s="126"/>
      <c r="J43" s="125" t="s">
        <v>73</v>
      </c>
    </row>
    <row r="44" spans="1:19">
      <c r="A44" s="1">
        <v>32</v>
      </c>
      <c r="C44" s="2" t="s">
        <v>37</v>
      </c>
      <c r="E44" s="117"/>
      <c r="F44" s="107">
        <v>0</v>
      </c>
      <c r="G44" s="107">
        <v>0</v>
      </c>
      <c r="J44" s="126">
        <f>F44-G44</f>
        <v>0</v>
      </c>
    </row>
    <row r="45" spans="1:19">
      <c r="A45" s="1">
        <v>33</v>
      </c>
      <c r="E45" s="117"/>
      <c r="F45" s="117"/>
    </row>
    <row r="46" spans="1:19">
      <c r="A46" s="1">
        <v>34</v>
      </c>
      <c r="C46" s="2" t="s">
        <v>38</v>
      </c>
      <c r="E46" s="119"/>
      <c r="F46" s="119">
        <f>J36</f>
        <v>3355072.8607940977</v>
      </c>
      <c r="G46" s="119">
        <f>J40</f>
        <v>3097238.9457101217</v>
      </c>
      <c r="J46" s="126">
        <f>F46-G46</f>
        <v>257833.915083976</v>
      </c>
      <c r="P46" s="165"/>
      <c r="S46" s="126"/>
    </row>
    <row r="47" spans="1:19">
      <c r="A47" s="1">
        <v>35</v>
      </c>
    </row>
    <row r="48" spans="1:19" ht="13.8" thickBot="1">
      <c r="A48" s="1">
        <v>36</v>
      </c>
      <c r="C48" s="3" t="s">
        <v>15</v>
      </c>
      <c r="D48" s="3"/>
      <c r="E48" s="164"/>
      <c r="F48" s="308">
        <f>ROUND(F46-F44,2)</f>
        <v>3355072.86</v>
      </c>
      <c r="G48" s="308">
        <f>ROUND(G46-G44,2)</f>
        <v>3097238.95</v>
      </c>
      <c r="J48" s="127">
        <f>ROUND(J46-J44,2)</f>
        <v>257833.92</v>
      </c>
    </row>
    <row r="49" spans="1:16" ht="13.8" thickTop="1">
      <c r="A49" s="1">
        <v>37</v>
      </c>
      <c r="P49" s="126"/>
    </row>
    <row r="50" spans="1:16">
      <c r="A50" s="1">
        <v>38</v>
      </c>
      <c r="G50" s="128" t="s">
        <v>238</v>
      </c>
      <c r="H50" s="271"/>
    </row>
    <row r="51" spans="1:16">
      <c r="A51" s="1">
        <v>39</v>
      </c>
      <c r="C51" s="144" t="s">
        <v>71</v>
      </c>
      <c r="G51" s="71" t="s">
        <v>412</v>
      </c>
      <c r="H51" s="71" t="s">
        <v>413</v>
      </c>
    </row>
    <row r="52" spans="1:16">
      <c r="A52" s="1">
        <v>40</v>
      </c>
      <c r="C52" s="2" t="s">
        <v>65</v>
      </c>
      <c r="D52" s="1"/>
      <c r="E52" s="117"/>
      <c r="G52" s="117">
        <f>22432334-H52</f>
        <v>20635575</v>
      </c>
      <c r="H52" s="119">
        <v>1796759</v>
      </c>
    </row>
    <row r="53" spans="1:16">
      <c r="A53" s="1">
        <v>41</v>
      </c>
      <c r="C53" s="2" t="s">
        <v>67</v>
      </c>
      <c r="D53" s="1"/>
      <c r="E53" s="117"/>
      <c r="G53" s="117">
        <f>-2766319-H53</f>
        <v>-2490044</v>
      </c>
      <c r="H53" s="119">
        <v>-276275</v>
      </c>
    </row>
    <row r="54" spans="1:16">
      <c r="A54" s="1">
        <v>42</v>
      </c>
      <c r="C54" s="2" t="s">
        <v>66</v>
      </c>
      <c r="D54" s="1"/>
      <c r="E54" s="117"/>
      <c r="G54" s="117">
        <f>-3062968-H54</f>
        <v>-2810149</v>
      </c>
      <c r="H54" s="119">
        <v>-252819</v>
      </c>
    </row>
    <row r="55" spans="1:16">
      <c r="A55" s="1">
        <v>43</v>
      </c>
      <c r="C55" s="2" t="s">
        <v>414</v>
      </c>
      <c r="D55" s="1"/>
      <c r="E55" s="117"/>
      <c r="G55" s="117">
        <v>2023</v>
      </c>
      <c r="H55" s="119">
        <f>-(-253406)</f>
        <v>253406</v>
      </c>
    </row>
    <row r="56" spans="1:16">
      <c r="A56" s="1">
        <v>44</v>
      </c>
      <c r="C56" s="2" t="s">
        <v>68</v>
      </c>
      <c r="D56" s="1"/>
      <c r="E56" s="117"/>
      <c r="G56" s="117">
        <f>SUM(G52:G55)</f>
        <v>15337405</v>
      </c>
      <c r="H56" s="117">
        <f>SUM(H52:H55)</f>
        <v>1521071</v>
      </c>
    </row>
    <row r="57" spans="1:16">
      <c r="A57" s="1">
        <v>45</v>
      </c>
      <c r="C57" s="2" t="s">
        <v>69</v>
      </c>
      <c r="D57" s="1"/>
      <c r="E57" s="117"/>
      <c r="G57" s="116">
        <f>271792674-H57</f>
        <v>240506865</v>
      </c>
      <c r="H57" s="119">
        <v>31285809</v>
      </c>
    </row>
    <row r="59" spans="1:16" ht="27" customHeight="1">
      <c r="C59" s="284" t="s">
        <v>174</v>
      </c>
      <c r="D59" s="284"/>
      <c r="E59" s="284"/>
      <c r="F59" s="284"/>
      <c r="G59" s="284"/>
      <c r="H59" s="284"/>
      <c r="I59" s="268"/>
      <c r="J59" s="29"/>
    </row>
  </sheetData>
  <mergeCells count="4">
    <mergeCell ref="A4:J4"/>
    <mergeCell ref="A5:J5"/>
    <mergeCell ref="A7:J7"/>
    <mergeCell ref="C59:H59"/>
  </mergeCells>
  <phoneticPr fontId="24" type="noConversion"/>
  <printOptions horizontalCentered="1"/>
  <pageMargins left="0.25" right="0.25" top="0.75" bottom="0.75" header="0.5" footer="0.25"/>
  <pageSetup scale="75" orientation="portrait" r:id="rId1"/>
  <headerFooter alignWithMargins="0">
    <oddFooter>&amp;RRevised Exhibit JW-2
Page &amp;P of &amp;N</oddFooter>
  </headerFooter>
  <ignoredErrors>
    <ignoredError sqref="C10:H10 I10:J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/>
  <dimension ref="A1:F21"/>
  <sheetViews>
    <sheetView view="pageBreakPreview" zoomScaleNormal="75" zoomScaleSheetLayoutView="100" workbookViewId="0">
      <selection activeCell="I61" sqref="I61"/>
    </sheetView>
  </sheetViews>
  <sheetFormatPr defaultColWidth="9.109375" defaultRowHeight="13.2"/>
  <cols>
    <col min="1" max="1" width="5.88671875" style="2" customWidth="1"/>
    <col min="2" max="2" width="2.33203125" style="2" customWidth="1"/>
    <col min="3" max="3" width="37.6640625" style="2" bestFit="1" customWidth="1"/>
    <col min="4" max="4" width="9.44140625" style="2" customWidth="1"/>
    <col min="5" max="5" width="2.44140625" style="2" customWidth="1"/>
    <col min="6" max="6" width="15.6640625" style="2" customWidth="1"/>
    <col min="7" max="16384" width="9.109375" style="2"/>
  </cols>
  <sheetData>
    <row r="1" spans="1:6">
      <c r="D1" s="129"/>
      <c r="F1" s="129" t="s">
        <v>121</v>
      </c>
    </row>
    <row r="2" spans="1:6" ht="20.25" customHeight="1">
      <c r="D2" s="129"/>
      <c r="F2" s="129"/>
    </row>
    <row r="3" spans="1:6">
      <c r="A3" s="283" t="str">
        <f>RevReq!A1</f>
        <v>LICKING VALLEY R.E.C.C.</v>
      </c>
      <c r="B3" s="283"/>
      <c r="C3" s="283"/>
      <c r="D3" s="283"/>
      <c r="E3" s="283"/>
      <c r="F3" s="283"/>
    </row>
    <row r="4" spans="1:6">
      <c r="A4" s="283" t="str">
        <f>RevReq!A3</f>
        <v>For the 12 Months Ended December 31, 2023</v>
      </c>
      <c r="B4" s="283"/>
      <c r="C4" s="283"/>
      <c r="D4" s="283"/>
      <c r="E4" s="283"/>
      <c r="F4" s="283"/>
    </row>
    <row r="6" spans="1:6" s="130" customFormat="1" ht="15" customHeight="1">
      <c r="A6" s="282" t="s">
        <v>32</v>
      </c>
      <c r="B6" s="282"/>
      <c r="C6" s="282"/>
      <c r="D6" s="282"/>
      <c r="E6" s="282"/>
      <c r="F6" s="282"/>
    </row>
    <row r="8" spans="1:6">
      <c r="A8" s="1" t="s">
        <v>0</v>
      </c>
      <c r="C8" s="1" t="s">
        <v>41</v>
      </c>
      <c r="D8" s="1" t="s">
        <v>42</v>
      </c>
      <c r="E8" s="1"/>
      <c r="F8" s="1" t="s">
        <v>24</v>
      </c>
    </row>
    <row r="9" spans="1:6">
      <c r="A9" s="27" t="s">
        <v>21</v>
      </c>
      <c r="C9" s="131" t="s">
        <v>18</v>
      </c>
      <c r="D9" s="131" t="s">
        <v>20</v>
      </c>
      <c r="E9" s="131"/>
      <c r="F9" s="131" t="s">
        <v>19</v>
      </c>
    </row>
    <row r="10" spans="1:6">
      <c r="A10" s="1"/>
    </row>
    <row r="11" spans="1:6">
      <c r="A11" s="1"/>
    </row>
    <row r="12" spans="1:6">
      <c r="A12" s="1">
        <v>1</v>
      </c>
      <c r="C12" s="132" t="s">
        <v>49</v>
      </c>
      <c r="D12" s="133">
        <v>424</v>
      </c>
      <c r="E12" s="1"/>
      <c r="F12" s="107">
        <f>RevReq!C36</f>
        <v>402409</v>
      </c>
    </row>
    <row r="13" spans="1:6">
      <c r="A13" s="1">
        <v>2</v>
      </c>
      <c r="F13" s="107"/>
    </row>
    <row r="14" spans="1:6">
      <c r="A14" s="1">
        <v>3</v>
      </c>
      <c r="C14" s="2" t="s">
        <v>37</v>
      </c>
      <c r="F14" s="107">
        <f>F12</f>
        <v>402409</v>
      </c>
    </row>
    <row r="15" spans="1:6">
      <c r="A15" s="1">
        <v>4</v>
      </c>
    </row>
    <row r="16" spans="1:6">
      <c r="A16" s="1">
        <v>5</v>
      </c>
      <c r="C16" s="2" t="s">
        <v>38</v>
      </c>
      <c r="F16" s="119">
        <v>0</v>
      </c>
    </row>
    <row r="17" spans="1:6">
      <c r="A17" s="1">
        <v>6</v>
      </c>
    </row>
    <row r="18" spans="1:6" ht="13.8" thickBot="1">
      <c r="A18" s="1">
        <v>7</v>
      </c>
      <c r="C18" s="3" t="s">
        <v>15</v>
      </c>
      <c r="D18" s="3"/>
      <c r="E18" s="3"/>
      <c r="F18" s="308">
        <f>ROUND(F16-F14,2)</f>
        <v>-402409</v>
      </c>
    </row>
    <row r="19" spans="1:6" ht="13.8" thickTop="1"/>
    <row r="21" spans="1:6" ht="30" customHeight="1">
      <c r="C21" s="284" t="s">
        <v>48</v>
      </c>
      <c r="D21" s="284"/>
      <c r="E21" s="284"/>
      <c r="F21" s="284"/>
    </row>
  </sheetData>
  <mergeCells count="4">
    <mergeCell ref="A3:F3"/>
    <mergeCell ref="A4:F4"/>
    <mergeCell ref="A6:F6"/>
    <mergeCell ref="C21:F21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C9:D9 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23</vt:i4>
      </vt:variant>
    </vt:vector>
  </HeadingPairs>
  <TitlesOfParts>
    <vt:vector size="41" baseType="lpstr">
      <vt:lpstr>RevReq</vt:lpstr>
      <vt:lpstr>Adj List</vt:lpstr>
      <vt:lpstr>Adj BS</vt:lpstr>
      <vt:lpstr>Adj IS</vt:lpstr>
      <vt:lpstr>1.01 FAC</vt:lpstr>
      <vt:lpstr>1.02 ES</vt:lpstr>
      <vt:lpstr>1.03 RC</vt:lpstr>
      <vt:lpstr>1.04 CUST</vt:lpstr>
      <vt:lpstr>1.05 GTCC</vt:lpstr>
      <vt:lpstr>1.06 Health</vt:lpstr>
      <vt:lpstr>1.07 Depr</vt:lpstr>
      <vt:lpstr>1.08 AdsDonat</vt:lpstr>
      <vt:lpstr>1.09 Dir</vt:lpstr>
      <vt:lpstr>1.10 Life Insur</vt:lpstr>
      <vt:lpstr>1.11 Int</vt:lpstr>
      <vt:lpstr>1.12 Wages</vt:lpstr>
      <vt:lpstr>1.13 PayrTx</vt:lpstr>
      <vt:lpstr>1.14 Prof</vt:lpstr>
      <vt:lpstr>'1.01 FAC'!Print_Area</vt:lpstr>
      <vt:lpstr>'1.02 ES'!Print_Area</vt:lpstr>
      <vt:lpstr>'1.03 RC'!Print_Area</vt:lpstr>
      <vt:lpstr>'1.04 CUST'!Print_Area</vt:lpstr>
      <vt:lpstr>'1.05 GTCC'!Print_Area</vt:lpstr>
      <vt:lpstr>'1.06 Health'!Print_Area</vt:lpstr>
      <vt:lpstr>'1.07 Depr'!Print_Area</vt:lpstr>
      <vt:lpstr>'1.08 AdsDonat'!Print_Area</vt:lpstr>
      <vt:lpstr>'1.09 Dir'!Print_Area</vt:lpstr>
      <vt:lpstr>'1.10 Life Insur'!Print_Area</vt:lpstr>
      <vt:lpstr>'1.11 Int'!Print_Area</vt:lpstr>
      <vt:lpstr>'1.12 Wages'!Print_Area</vt:lpstr>
      <vt:lpstr>'1.13 PayrTx'!Print_Area</vt:lpstr>
      <vt:lpstr>'1.14 Prof'!Print_Area</vt:lpstr>
      <vt:lpstr>'Adj BS'!Print_Area</vt:lpstr>
      <vt:lpstr>'Adj IS'!Print_Area</vt:lpstr>
      <vt:lpstr>'Adj List'!Print_Area</vt:lpstr>
      <vt:lpstr>RevReq!Print_Area</vt:lpstr>
      <vt:lpstr>'1.04 CUST'!Print_Titles</vt:lpstr>
      <vt:lpstr>'1.08 AdsDonat'!Print_Titles</vt:lpstr>
      <vt:lpstr>'1.10 Life Insur'!Print_Titles</vt:lpstr>
      <vt:lpstr>'1.12 Wages'!Print_Titles</vt:lpstr>
      <vt:lpstr>'1.13 PayrTx'!Print_Titles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2024-07-30T19:56:40Z</cp:lastPrinted>
  <dcterms:created xsi:type="dcterms:W3CDTF">2012-11-02T18:45:21Z</dcterms:created>
  <dcterms:modified xsi:type="dcterms:W3CDTF">2024-07-30T19:57:01Z</dcterms:modified>
</cp:coreProperties>
</file>