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ft12909696-my.sharepoint.com/personal/ariel_miller_clearwatercky_com/Documents/South Logan Water Association/Responses to RFI 1/"/>
    </mc:Choice>
  </mc:AlternateContent>
  <xr:revisionPtr revIDLastSave="0" documentId="8_{2B4CC0E0-07ED-4C37-A476-D61BF9DAC2FC}" xr6:coauthVersionLast="47" xr6:coauthVersionMax="47" xr10:uidLastSave="{00000000-0000-0000-0000-000000000000}"/>
  <bookViews>
    <workbookView xWindow="38280" yWindow="-1380" windowWidth="38640" windowHeight="21120" tabRatio="641" xr2:uid="{00000000-000D-0000-FFFF-FFFF00000000}"/>
  </bookViews>
  <sheets>
    <sheet name="SAO" sheetId="6" r:id="rId1"/>
    <sheet name="Debt Service" sheetId="50" r:id="rId2"/>
    <sheet name="Depreciation" sheetId="51" r:id="rId3"/>
    <sheet name="Capital" sheetId="56" r:id="rId4"/>
    <sheet name="Purchased Water" sheetId="54" r:id="rId5"/>
    <sheet name="Rates" sheetId="2" r:id="rId6"/>
    <sheet name="Bills" sheetId="42" r:id="rId7"/>
    <sheet name="ExBA" sheetId="52" r:id="rId8"/>
    <sheet name="PrBA" sheetId="58" r:id="rId9"/>
  </sheets>
  <definedNames>
    <definedName name="AHV">#REF!</definedName>
    <definedName name="_xlnm.Print_Area" localSheetId="6">Bills!$B$1:$I$16</definedName>
    <definedName name="_xlnm.Print_Area" localSheetId="1">'Debt Service'!$A$1:$O$25</definedName>
    <definedName name="_xlnm.Print_Area" localSheetId="2">Depreciation!$A$1:$L$47</definedName>
    <definedName name="_xlnm.Print_Area" localSheetId="7">ExBA!$A$1:$L$35</definedName>
    <definedName name="_xlnm.Print_Area" localSheetId="8">PrBA!$A$1:$H$31</definedName>
    <definedName name="_xlnm.Print_Area" localSheetId="5">Rates!$B$1:$I$26</definedName>
    <definedName name="_xlnm.Print_Area" localSheetId="0">SAO!$A$1:$G$44</definedName>
    <definedName name="_xlnm.Print_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2" l="1"/>
  <c r="E8" i="42"/>
  <c r="D120" i="58"/>
  <c r="D121" i="58"/>
  <c r="D119" i="58"/>
  <c r="C120" i="58"/>
  <c r="C121" i="58"/>
  <c r="C119" i="58"/>
  <c r="D102" i="58"/>
  <c r="C102" i="58"/>
  <c r="D80" i="58"/>
  <c r="D81" i="58"/>
  <c r="D82" i="58"/>
  <c r="D83" i="58"/>
  <c r="D79" i="58"/>
  <c r="C80" i="58"/>
  <c r="C81" i="58"/>
  <c r="C82" i="58"/>
  <c r="C83" i="58"/>
  <c r="C79" i="58"/>
  <c r="D61" i="58"/>
  <c r="D62" i="58"/>
  <c r="D63" i="58"/>
  <c r="D64" i="58"/>
  <c r="D60" i="58"/>
  <c r="C61" i="58"/>
  <c r="C62" i="58"/>
  <c r="C63" i="58"/>
  <c r="C64" i="58"/>
  <c r="C60" i="58"/>
  <c r="D42" i="58"/>
  <c r="D43" i="58"/>
  <c r="D44" i="58"/>
  <c r="D45" i="58"/>
  <c r="D41" i="58"/>
  <c r="C42" i="58"/>
  <c r="C43" i="58"/>
  <c r="C44" i="58"/>
  <c r="C45" i="58"/>
  <c r="C41" i="58"/>
  <c r="D23" i="58"/>
  <c r="D24" i="58"/>
  <c r="D25" i="58"/>
  <c r="D26" i="58"/>
  <c r="D22" i="58"/>
  <c r="C23" i="58"/>
  <c r="C24" i="58"/>
  <c r="C25" i="58"/>
  <c r="C26" i="58"/>
  <c r="C22" i="58"/>
  <c r="H13" i="51"/>
  <c r="H44" i="51"/>
  <c r="F13" i="51"/>
  <c r="F30" i="51"/>
  <c r="H35" i="51"/>
  <c r="H34" i="51"/>
  <c r="F34" i="51"/>
  <c r="F35" i="51"/>
  <c r="F24" i="51"/>
  <c r="D18" i="50"/>
  <c r="M13" i="50"/>
  <c r="M14" i="50"/>
  <c r="M15" i="50"/>
  <c r="M16" i="50"/>
  <c r="G23" i="6"/>
  <c r="D20" i="6"/>
  <c r="F19" i="6"/>
  <c r="F50" i="51"/>
  <c r="F46" i="2"/>
  <c r="F47" i="2"/>
  <c r="F48" i="2"/>
  <c r="F49" i="2"/>
  <c r="F45" i="2"/>
  <c r="F39" i="2"/>
  <c r="F40" i="2"/>
  <c r="F41" i="2"/>
  <c r="F42" i="2"/>
  <c r="F38" i="2"/>
  <c r="E12" i="42" s="1"/>
  <c r="F32" i="2"/>
  <c r="F33" i="2"/>
  <c r="F34" i="2"/>
  <c r="F35" i="2"/>
  <c r="F31" i="2"/>
  <c r="E11" i="42" s="1"/>
  <c r="F25" i="2"/>
  <c r="F26" i="2"/>
  <c r="F27" i="2"/>
  <c r="F28" i="2"/>
  <c r="F24" i="2"/>
  <c r="E10" i="42" s="1"/>
  <c r="F17" i="2"/>
  <c r="F14" i="2"/>
  <c r="F21" i="2" s="1"/>
  <c r="F13" i="2"/>
  <c r="F20" i="2" s="1"/>
  <c r="F12" i="2"/>
  <c r="F19" i="2" s="1"/>
  <c r="F11" i="2"/>
  <c r="F18" i="2" s="1"/>
  <c r="F10" i="2"/>
  <c r="J49" i="2"/>
  <c r="J48" i="2"/>
  <c r="J47" i="2"/>
  <c r="J46" i="2"/>
  <c r="I44" i="2"/>
  <c r="J42" i="2"/>
  <c r="J41" i="2"/>
  <c r="J40" i="2"/>
  <c r="J39" i="2"/>
  <c r="I37" i="2"/>
  <c r="J35" i="2"/>
  <c r="J34" i="2"/>
  <c r="J33" i="2"/>
  <c r="J32" i="2"/>
  <c r="I30" i="2"/>
  <c r="I23" i="2"/>
  <c r="J28" i="2"/>
  <c r="J27" i="2"/>
  <c r="J26" i="2"/>
  <c r="J25" i="2"/>
  <c r="J21" i="2"/>
  <c r="J20" i="2"/>
  <c r="J19" i="2"/>
  <c r="J18" i="2"/>
  <c r="J14" i="2"/>
  <c r="J13" i="2"/>
  <c r="J12" i="2"/>
  <c r="J11" i="2"/>
  <c r="E13" i="42" l="1"/>
  <c r="E9" i="42"/>
  <c r="E19" i="6"/>
  <c r="E13" i="6"/>
  <c r="G13" i="6" s="1"/>
  <c r="B33" i="54"/>
  <c r="B32" i="54"/>
  <c r="B130" i="58"/>
  <c r="B129" i="58"/>
  <c r="B128" i="58"/>
  <c r="B127" i="58"/>
  <c r="B126" i="58"/>
  <c r="D122" i="58"/>
  <c r="C122" i="58"/>
  <c r="C126" i="58" s="1"/>
  <c r="E117" i="58"/>
  <c r="J117" i="58" s="1"/>
  <c r="I116" i="58"/>
  <c r="H116" i="58"/>
  <c r="H121" i="58" s="1"/>
  <c r="G116" i="58"/>
  <c r="G120" i="58" s="1"/>
  <c r="F116" i="58"/>
  <c r="F119" i="58" s="1"/>
  <c r="E116" i="58"/>
  <c r="E121" i="58" s="1"/>
  <c r="B111" i="58"/>
  <c r="B110" i="58"/>
  <c r="B109" i="58"/>
  <c r="B108" i="58"/>
  <c r="B107" i="58"/>
  <c r="D103" i="58"/>
  <c r="C103" i="58"/>
  <c r="C107" i="58" s="1"/>
  <c r="G102" i="58"/>
  <c r="F102" i="58"/>
  <c r="E102" i="58"/>
  <c r="E98" i="58"/>
  <c r="J98" i="58" s="1"/>
  <c r="I97" i="58"/>
  <c r="H97" i="58"/>
  <c r="H102" i="58" s="1"/>
  <c r="G97" i="58"/>
  <c r="G101" i="58" s="1"/>
  <c r="F97" i="58"/>
  <c r="F101" i="58" s="1"/>
  <c r="E97" i="58"/>
  <c r="E99" i="58" s="1"/>
  <c r="B92" i="58"/>
  <c r="B91" i="58"/>
  <c r="B90" i="58"/>
  <c r="B89" i="58"/>
  <c r="B88" i="58"/>
  <c r="D84" i="58"/>
  <c r="C84" i="58"/>
  <c r="C88" i="58" s="1"/>
  <c r="C93" i="58" s="1"/>
  <c r="E9" i="58" s="1"/>
  <c r="E79" i="58"/>
  <c r="I78" i="58"/>
  <c r="H78" i="58"/>
  <c r="H83" i="58" s="1"/>
  <c r="G78" i="58"/>
  <c r="G82" i="58" s="1"/>
  <c r="F78" i="58"/>
  <c r="F81" i="58" s="1"/>
  <c r="E78" i="58"/>
  <c r="E82" i="58" s="1"/>
  <c r="B73" i="58"/>
  <c r="B72" i="58"/>
  <c r="B71" i="58"/>
  <c r="B70" i="58"/>
  <c r="B69" i="58"/>
  <c r="D65" i="58"/>
  <c r="C65" i="58"/>
  <c r="C69" i="58" s="1"/>
  <c r="E60" i="58"/>
  <c r="J60" i="58" s="1"/>
  <c r="I59" i="58"/>
  <c r="H59" i="58"/>
  <c r="H64" i="58" s="1"/>
  <c r="G59" i="58"/>
  <c r="G64" i="58" s="1"/>
  <c r="F59" i="58"/>
  <c r="F63" i="58" s="1"/>
  <c r="E59" i="58"/>
  <c r="E63" i="58" s="1"/>
  <c r="B54" i="58"/>
  <c r="B53" i="58"/>
  <c r="B52" i="58"/>
  <c r="B51" i="58"/>
  <c r="B50" i="58"/>
  <c r="D46" i="58"/>
  <c r="C46" i="58"/>
  <c r="C50" i="58" s="1"/>
  <c r="E41" i="58"/>
  <c r="J41" i="58" s="1"/>
  <c r="I40" i="58"/>
  <c r="H40" i="58"/>
  <c r="H45" i="58" s="1"/>
  <c r="G40" i="58"/>
  <c r="G45" i="58" s="1"/>
  <c r="F40" i="58"/>
  <c r="F45" i="58" s="1"/>
  <c r="E40" i="58"/>
  <c r="E42" i="58" s="1"/>
  <c r="B35" i="58"/>
  <c r="B34" i="58"/>
  <c r="B33" i="58"/>
  <c r="B32" i="58"/>
  <c r="B31" i="58"/>
  <c r="D27" i="58"/>
  <c r="C27" i="58"/>
  <c r="C31" i="58" s="1"/>
  <c r="E22" i="58"/>
  <c r="J22" i="58" s="1"/>
  <c r="I21" i="58"/>
  <c r="H21" i="58"/>
  <c r="H26" i="58" s="1"/>
  <c r="G21" i="58"/>
  <c r="G25" i="58" s="1"/>
  <c r="F21" i="58"/>
  <c r="F24" i="58" s="1"/>
  <c r="E21" i="58"/>
  <c r="E24" i="58" s="1"/>
  <c r="G15" i="52"/>
  <c r="B54" i="52"/>
  <c r="B53" i="52"/>
  <c r="B52" i="52"/>
  <c r="B51" i="52"/>
  <c r="B50" i="52"/>
  <c r="D46" i="52"/>
  <c r="C46" i="52"/>
  <c r="C50" i="52" s="1"/>
  <c r="E41" i="52"/>
  <c r="J41" i="52" s="1"/>
  <c r="I40" i="52"/>
  <c r="H40" i="52"/>
  <c r="H45" i="52" s="1"/>
  <c r="G40" i="52"/>
  <c r="G44" i="52" s="1"/>
  <c r="F40" i="52"/>
  <c r="F43" i="52" s="1"/>
  <c r="E40" i="52"/>
  <c r="E45" i="52" s="1"/>
  <c r="E59" i="52"/>
  <c r="E61" i="52" s="1"/>
  <c r="F59" i="52"/>
  <c r="G59" i="52"/>
  <c r="G63" i="52" s="1"/>
  <c r="H59" i="52"/>
  <c r="H64" i="52" s="1"/>
  <c r="I59" i="52"/>
  <c r="B130" i="52"/>
  <c r="B129" i="52"/>
  <c r="B128" i="52"/>
  <c r="B127" i="52"/>
  <c r="B126" i="52"/>
  <c r="D122" i="52"/>
  <c r="C122" i="52"/>
  <c r="C126" i="52" s="1"/>
  <c r="E117" i="52"/>
  <c r="J117" i="52" s="1"/>
  <c r="I116" i="52"/>
  <c r="H116" i="52"/>
  <c r="H121" i="52" s="1"/>
  <c r="G116" i="52"/>
  <c r="G120" i="52" s="1"/>
  <c r="F116" i="52"/>
  <c r="F119" i="52" s="1"/>
  <c r="E116" i="52"/>
  <c r="E121" i="52" s="1"/>
  <c r="B111" i="52"/>
  <c r="B110" i="52"/>
  <c r="B109" i="52"/>
  <c r="B108" i="52"/>
  <c r="B107" i="52"/>
  <c r="D103" i="52"/>
  <c r="C103" i="52"/>
  <c r="C107" i="52" s="1"/>
  <c r="E98" i="52"/>
  <c r="J98" i="52" s="1"/>
  <c r="I97" i="52"/>
  <c r="H97" i="52"/>
  <c r="H102" i="52" s="1"/>
  <c r="G97" i="52"/>
  <c r="G101" i="52" s="1"/>
  <c r="F97" i="52"/>
  <c r="F101" i="52" s="1"/>
  <c r="E97" i="52"/>
  <c r="E102" i="52" s="1"/>
  <c r="B92" i="52"/>
  <c r="B91" i="52"/>
  <c r="B90" i="52"/>
  <c r="B89" i="52"/>
  <c r="B88" i="52"/>
  <c r="D84" i="52"/>
  <c r="C84" i="52"/>
  <c r="C88" i="52" s="1"/>
  <c r="E79" i="52"/>
  <c r="J79" i="52" s="1"/>
  <c r="I78" i="52"/>
  <c r="H78" i="52"/>
  <c r="H83" i="52" s="1"/>
  <c r="G78" i="52"/>
  <c r="G82" i="52" s="1"/>
  <c r="F78" i="52"/>
  <c r="F82" i="52" s="1"/>
  <c r="E78" i="52"/>
  <c r="E83" i="52" s="1"/>
  <c r="B73" i="52"/>
  <c r="B72" i="52"/>
  <c r="B71" i="52"/>
  <c r="B70" i="52"/>
  <c r="B69" i="52"/>
  <c r="D65" i="52"/>
  <c r="C65" i="52"/>
  <c r="C69" i="52" s="1"/>
  <c r="E60" i="52"/>
  <c r="J60" i="52" s="1"/>
  <c r="B35" i="52"/>
  <c r="B34" i="52"/>
  <c r="H21" i="52"/>
  <c r="H26" i="52" s="1"/>
  <c r="B33" i="52"/>
  <c r="B32" i="52"/>
  <c r="B31" i="52"/>
  <c r="E22" i="52"/>
  <c r="C27" i="52"/>
  <c r="I21" i="52"/>
  <c r="G21" i="52"/>
  <c r="G25" i="52" s="1"/>
  <c r="F21" i="52"/>
  <c r="F25" i="52" s="1"/>
  <c r="E21" i="52"/>
  <c r="E25" i="52" s="1"/>
  <c r="E26" i="58" l="1"/>
  <c r="E44" i="58"/>
  <c r="E43" i="58"/>
  <c r="F43" i="58"/>
  <c r="G26" i="58"/>
  <c r="E45" i="58"/>
  <c r="E46" i="58" s="1"/>
  <c r="D50" i="58" s="1"/>
  <c r="E25" i="58"/>
  <c r="F25" i="58"/>
  <c r="F26" i="58"/>
  <c r="F44" i="58"/>
  <c r="I102" i="58"/>
  <c r="I103" i="58" s="1"/>
  <c r="D111" i="58" s="1"/>
  <c r="I45" i="58"/>
  <c r="I46" i="58" s="1"/>
  <c r="D54" i="58" s="1"/>
  <c r="G121" i="58"/>
  <c r="G63" i="58"/>
  <c r="H63" i="58" s="1"/>
  <c r="H65" i="58" s="1"/>
  <c r="D72" i="58" s="1"/>
  <c r="E100" i="58"/>
  <c r="F121" i="58"/>
  <c r="I121" i="58" s="1"/>
  <c r="I122" i="58" s="1"/>
  <c r="D130" i="58" s="1"/>
  <c r="E64" i="58"/>
  <c r="F100" i="58"/>
  <c r="G44" i="58"/>
  <c r="H44" i="58" s="1"/>
  <c r="F64" i="58"/>
  <c r="E101" i="58"/>
  <c r="H101" i="58" s="1"/>
  <c r="C74" i="58"/>
  <c r="E8" i="58" s="1"/>
  <c r="C112" i="58"/>
  <c r="E10" i="58" s="1"/>
  <c r="G24" i="58"/>
  <c r="G27" i="58" s="1"/>
  <c r="D33" i="58" s="1"/>
  <c r="C36" i="58"/>
  <c r="C131" i="58"/>
  <c r="E11" i="58" s="1"/>
  <c r="F99" i="58"/>
  <c r="F103" i="58" s="1"/>
  <c r="D108" i="58" s="1"/>
  <c r="E103" i="58"/>
  <c r="D107" i="58" s="1"/>
  <c r="C55" i="58"/>
  <c r="E7" i="58" s="1"/>
  <c r="F42" i="58"/>
  <c r="J42" i="58" s="1"/>
  <c r="E118" i="58"/>
  <c r="E119" i="58"/>
  <c r="E80" i="58"/>
  <c r="F83" i="58"/>
  <c r="F82" i="58"/>
  <c r="E6" i="58"/>
  <c r="G83" i="58"/>
  <c r="E62" i="58"/>
  <c r="E120" i="58"/>
  <c r="J79" i="58"/>
  <c r="E81" i="58"/>
  <c r="E23" i="58"/>
  <c r="F62" i="58"/>
  <c r="F120" i="58"/>
  <c r="E61" i="58"/>
  <c r="E83" i="58"/>
  <c r="F45" i="52"/>
  <c r="G45" i="52"/>
  <c r="C55" i="52"/>
  <c r="E7" i="52" s="1"/>
  <c r="F50" i="52"/>
  <c r="E42" i="52"/>
  <c r="E44" i="52"/>
  <c r="F44" i="52"/>
  <c r="E43" i="52"/>
  <c r="G64" i="52"/>
  <c r="F121" i="52"/>
  <c r="G121" i="52"/>
  <c r="G102" i="52"/>
  <c r="F102" i="52"/>
  <c r="G83" i="52"/>
  <c r="F83" i="52"/>
  <c r="E64" i="52"/>
  <c r="C131" i="52"/>
  <c r="E11" i="52" s="1"/>
  <c r="F126" i="52"/>
  <c r="E120" i="52"/>
  <c r="F120" i="52"/>
  <c r="E119" i="52"/>
  <c r="E118" i="52"/>
  <c r="C112" i="52"/>
  <c r="E10" i="52" s="1"/>
  <c r="F107" i="52"/>
  <c r="I102" i="52"/>
  <c r="I103" i="52" s="1"/>
  <c r="D111" i="52" s="1"/>
  <c r="F111" i="52" s="1"/>
  <c r="F100" i="52"/>
  <c r="E99" i="52"/>
  <c r="E101" i="52"/>
  <c r="E100" i="52"/>
  <c r="F88" i="52"/>
  <c r="C93" i="52"/>
  <c r="E9" i="52" s="1"/>
  <c r="F81" i="52"/>
  <c r="E82" i="52"/>
  <c r="E80" i="52"/>
  <c r="E81" i="52"/>
  <c r="F69" i="52"/>
  <c r="C74" i="52"/>
  <c r="E8" i="52" s="1"/>
  <c r="F61" i="52"/>
  <c r="E63" i="52"/>
  <c r="E62" i="52"/>
  <c r="E24" i="52"/>
  <c r="E23" i="52"/>
  <c r="F23" i="52" s="1"/>
  <c r="J23" i="52" s="1"/>
  <c r="F24" i="52"/>
  <c r="G26" i="52"/>
  <c r="J22" i="52"/>
  <c r="E6" i="52"/>
  <c r="C31" i="52"/>
  <c r="D27" i="52"/>
  <c r="E26" i="52"/>
  <c r="F26" i="52"/>
  <c r="E84" i="58" l="1"/>
  <c r="D88" i="58" s="1"/>
  <c r="I26" i="58"/>
  <c r="I27" i="58" s="1"/>
  <c r="D35" i="58" s="1"/>
  <c r="H25" i="58"/>
  <c r="H27" i="58" s="1"/>
  <c r="D34" i="58" s="1"/>
  <c r="I121" i="52"/>
  <c r="I122" i="52" s="1"/>
  <c r="D130" i="52" s="1"/>
  <c r="F130" i="52" s="1"/>
  <c r="H82" i="58"/>
  <c r="H84" i="58" s="1"/>
  <c r="D91" i="58" s="1"/>
  <c r="G43" i="58"/>
  <c r="J43" i="58" s="1"/>
  <c r="J45" i="58"/>
  <c r="J102" i="58"/>
  <c r="F46" i="58"/>
  <c r="D51" i="58" s="1"/>
  <c r="J24" i="58"/>
  <c r="J99" i="58"/>
  <c r="H103" i="58"/>
  <c r="D110" i="58" s="1"/>
  <c r="J101" i="58"/>
  <c r="H46" i="58"/>
  <c r="D53" i="58" s="1"/>
  <c r="J44" i="58"/>
  <c r="J46" i="58" s="1"/>
  <c r="I64" i="58"/>
  <c r="I65" i="58" s="1"/>
  <c r="D73" i="58" s="1"/>
  <c r="G46" i="58"/>
  <c r="D52" i="58" s="1"/>
  <c r="J63" i="58"/>
  <c r="J121" i="58"/>
  <c r="J26" i="58"/>
  <c r="J64" i="58"/>
  <c r="G100" i="58"/>
  <c r="I83" i="52"/>
  <c r="I84" i="52" s="1"/>
  <c r="D92" i="52" s="1"/>
  <c r="F92" i="52" s="1"/>
  <c r="F23" i="58"/>
  <c r="F27" i="58" s="1"/>
  <c r="D32" i="58" s="1"/>
  <c r="E27" i="58"/>
  <c r="D31" i="58" s="1"/>
  <c r="F80" i="58"/>
  <c r="F84" i="58" s="1"/>
  <c r="D89" i="58" s="1"/>
  <c r="J80" i="58"/>
  <c r="G119" i="58"/>
  <c r="G122" i="58" s="1"/>
  <c r="D128" i="58" s="1"/>
  <c r="F118" i="58"/>
  <c r="F122" i="58" s="1"/>
  <c r="D127" i="58" s="1"/>
  <c r="E122" i="58"/>
  <c r="D126" i="58" s="1"/>
  <c r="J118" i="58"/>
  <c r="G81" i="58"/>
  <c r="G84" i="58" s="1"/>
  <c r="D90" i="58" s="1"/>
  <c r="H120" i="58"/>
  <c r="H122" i="58" s="1"/>
  <c r="D129" i="58" s="1"/>
  <c r="G62" i="58"/>
  <c r="G65" i="58" s="1"/>
  <c r="D71" i="58" s="1"/>
  <c r="I83" i="58"/>
  <c r="I84" i="58" s="1"/>
  <c r="D92" i="58" s="1"/>
  <c r="E65" i="58"/>
  <c r="D69" i="58" s="1"/>
  <c r="F61" i="58"/>
  <c r="F65" i="58" s="1"/>
  <c r="D70" i="58" s="1"/>
  <c r="I45" i="52"/>
  <c r="J45" i="52" s="1"/>
  <c r="H44" i="52"/>
  <c r="H46" i="52" s="1"/>
  <c r="D53" i="52" s="1"/>
  <c r="F53" i="52" s="1"/>
  <c r="G43" i="52"/>
  <c r="G46" i="52" s="1"/>
  <c r="D52" i="52" s="1"/>
  <c r="F52" i="52" s="1"/>
  <c r="F42" i="52"/>
  <c r="F46" i="52" s="1"/>
  <c r="D51" i="52" s="1"/>
  <c r="F51" i="52" s="1"/>
  <c r="E46" i="52"/>
  <c r="D50" i="52" s="1"/>
  <c r="J102" i="52"/>
  <c r="E65" i="52"/>
  <c r="D69" i="52" s="1"/>
  <c r="J121" i="52"/>
  <c r="E122" i="52"/>
  <c r="D126" i="52" s="1"/>
  <c r="F118" i="52"/>
  <c r="F122" i="52" s="1"/>
  <c r="D127" i="52" s="1"/>
  <c r="F127" i="52" s="1"/>
  <c r="H120" i="52"/>
  <c r="H122" i="52" s="1"/>
  <c r="D129" i="52" s="1"/>
  <c r="F129" i="52" s="1"/>
  <c r="G119" i="52"/>
  <c r="G122" i="52" s="1"/>
  <c r="D128" i="52" s="1"/>
  <c r="F128" i="52" s="1"/>
  <c r="E103" i="52"/>
  <c r="D107" i="52" s="1"/>
  <c r="F99" i="52"/>
  <c r="F103" i="52" s="1"/>
  <c r="D108" i="52" s="1"/>
  <c r="F108" i="52" s="1"/>
  <c r="H101" i="52"/>
  <c r="H103" i="52" s="1"/>
  <c r="D110" i="52" s="1"/>
  <c r="F110" i="52" s="1"/>
  <c r="G100" i="52"/>
  <c r="G103" i="52" s="1"/>
  <c r="D109" i="52" s="1"/>
  <c r="F109" i="52" s="1"/>
  <c r="E84" i="52"/>
  <c r="D88" i="52" s="1"/>
  <c r="F80" i="52"/>
  <c r="F84" i="52" s="1"/>
  <c r="D89" i="52" s="1"/>
  <c r="F89" i="52" s="1"/>
  <c r="G81" i="52"/>
  <c r="G84" i="52" s="1"/>
  <c r="D90" i="52" s="1"/>
  <c r="F90" i="52" s="1"/>
  <c r="H82" i="52"/>
  <c r="H84" i="52" s="1"/>
  <c r="D91" i="52" s="1"/>
  <c r="F91" i="52" s="1"/>
  <c r="J61" i="52"/>
  <c r="I26" i="52"/>
  <c r="I27" i="52" s="1"/>
  <c r="D35" i="52" s="1"/>
  <c r="F35" i="52" s="1"/>
  <c r="G24" i="52"/>
  <c r="J24" i="52" s="1"/>
  <c r="H25" i="52"/>
  <c r="F27" i="52"/>
  <c r="D32" i="52" s="1"/>
  <c r="F32" i="52" s="1"/>
  <c r="C36" i="52"/>
  <c r="F31" i="52"/>
  <c r="E27" i="52"/>
  <c r="D31" i="52" s="1"/>
  <c r="D55" i="58" l="1"/>
  <c r="F7" i="58" s="1"/>
  <c r="J83" i="52"/>
  <c r="I46" i="52"/>
  <c r="D54" i="52" s="1"/>
  <c r="F54" i="52" s="1"/>
  <c r="F55" i="52" s="1"/>
  <c r="G7" i="52" s="1"/>
  <c r="J82" i="58"/>
  <c r="G103" i="58"/>
  <c r="D109" i="58" s="1"/>
  <c r="D112" i="58" s="1"/>
  <c r="F10" i="58" s="1"/>
  <c r="J100" i="58"/>
  <c r="J103" i="58" s="1"/>
  <c r="J62" i="58"/>
  <c r="J83" i="58"/>
  <c r="J81" i="58"/>
  <c r="J120" i="58"/>
  <c r="D131" i="58"/>
  <c r="F11" i="58" s="1"/>
  <c r="J119" i="58"/>
  <c r="J122" i="58" s="1"/>
  <c r="D36" i="58"/>
  <c r="J61" i="58"/>
  <c r="J65" i="58" s="1"/>
  <c r="J23" i="58"/>
  <c r="J27" i="58" s="1"/>
  <c r="F6" i="58" s="1"/>
  <c r="D74" i="58"/>
  <c r="F8" i="58" s="1"/>
  <c r="D93" i="58"/>
  <c r="F9" i="58" s="1"/>
  <c r="J42" i="52"/>
  <c r="J44" i="52"/>
  <c r="J43" i="52"/>
  <c r="F63" i="52"/>
  <c r="H63" i="52" s="1"/>
  <c r="H65" i="52" s="1"/>
  <c r="D72" i="52" s="1"/>
  <c r="F72" i="52" s="1"/>
  <c r="F64" i="52"/>
  <c r="I64" i="52" s="1"/>
  <c r="F62" i="52"/>
  <c r="J26" i="52"/>
  <c r="J27" i="52" s="1"/>
  <c r="F6" i="52" s="1"/>
  <c r="F131" i="52"/>
  <c r="G11" i="52" s="1"/>
  <c r="J119" i="52"/>
  <c r="J120" i="52"/>
  <c r="D131" i="52"/>
  <c r="F11" i="52" s="1"/>
  <c r="J118" i="52"/>
  <c r="J99" i="52"/>
  <c r="F112" i="52"/>
  <c r="G10" i="52" s="1"/>
  <c r="J101" i="52"/>
  <c r="J100" i="52"/>
  <c r="D112" i="52"/>
  <c r="F10" i="52" s="1"/>
  <c r="J82" i="52"/>
  <c r="F93" i="52"/>
  <c r="G9" i="52" s="1"/>
  <c r="J81" i="52"/>
  <c r="J80" i="52"/>
  <c r="D93" i="52"/>
  <c r="F9" i="52" s="1"/>
  <c r="H27" i="52"/>
  <c r="D34" i="52" s="1"/>
  <c r="F34" i="52" s="1"/>
  <c r="G27" i="52"/>
  <c r="D33" i="52" s="1"/>
  <c r="F33" i="52" s="1"/>
  <c r="J84" i="58" l="1"/>
  <c r="D55" i="52"/>
  <c r="F7" i="52" s="1"/>
  <c r="J63" i="52"/>
  <c r="F12" i="58"/>
  <c r="J46" i="52"/>
  <c r="J64" i="52"/>
  <c r="I65" i="52"/>
  <c r="G62" i="52"/>
  <c r="F65" i="52"/>
  <c r="D70" i="52" s="1"/>
  <c r="J84" i="52"/>
  <c r="J103" i="52"/>
  <c r="J122" i="52"/>
  <c r="D36" i="52"/>
  <c r="F36" i="52"/>
  <c r="G6" i="52" s="1"/>
  <c r="F70" i="52" l="1"/>
  <c r="G65" i="52"/>
  <c r="D71" i="52" s="1"/>
  <c r="F71" i="52" s="1"/>
  <c r="J62" i="52"/>
  <c r="J65" i="52" s="1"/>
  <c r="D73" i="52"/>
  <c r="F73" i="52" s="1"/>
  <c r="D74" i="52" l="1"/>
  <c r="F8" i="52" s="1"/>
  <c r="F12" i="52" s="1"/>
  <c r="F74" i="52"/>
  <c r="G8" i="52" s="1"/>
  <c r="G12" i="52" s="1"/>
  <c r="G14" i="52" s="1"/>
  <c r="G16" i="52" s="1"/>
  <c r="L16" i="52" l="1"/>
  <c r="E6" i="6"/>
  <c r="F29" i="51"/>
  <c r="F27" i="51"/>
  <c r="G28" i="6" l="1"/>
  <c r="G15" i="6"/>
  <c r="B34" i="54"/>
  <c r="A34" i="54"/>
  <c r="A33" i="54"/>
  <c r="F44" i="51" l="1"/>
  <c r="J19" i="51"/>
  <c r="J18" i="51"/>
  <c r="J42" i="51"/>
  <c r="J23" i="51"/>
  <c r="K23" i="51" s="1"/>
  <c r="K19" i="51" l="1"/>
  <c r="K18" i="51"/>
  <c r="K42" i="51"/>
  <c r="C6" i="56"/>
  <c r="C5" i="56"/>
  <c r="C21" i="54"/>
  <c r="C13" i="54"/>
  <c r="C4" i="54"/>
  <c r="C22" i="54" l="1"/>
  <c r="D24" i="54"/>
  <c r="C32" i="54" s="1"/>
  <c r="D32" i="54" s="1"/>
  <c r="G16" i="6" s="1"/>
  <c r="C34" i="54" l="1"/>
  <c r="D34" i="54" s="1"/>
  <c r="C33" i="54"/>
  <c r="D33" i="54" s="1"/>
  <c r="D35" i="54" l="1"/>
  <c r="J41" i="51"/>
  <c r="K41" i="51" s="1"/>
  <c r="J38" i="51"/>
  <c r="K38" i="51" s="1"/>
  <c r="J35" i="51"/>
  <c r="K35" i="51" s="1"/>
  <c r="J34" i="51"/>
  <c r="K34" i="51" s="1"/>
  <c r="J33" i="51"/>
  <c r="K33" i="51" s="1"/>
  <c r="J32" i="51"/>
  <c r="K32" i="51" s="1"/>
  <c r="J31" i="51"/>
  <c r="K31" i="51" s="1"/>
  <c r="J30" i="51"/>
  <c r="K30" i="51" s="1"/>
  <c r="J29" i="51"/>
  <c r="K29" i="51" s="1"/>
  <c r="J28" i="51"/>
  <c r="K28" i="51" s="1"/>
  <c r="J27" i="51"/>
  <c r="K27" i="51" s="1"/>
  <c r="J24" i="51"/>
  <c r="K24" i="51" s="1"/>
  <c r="J22" i="51"/>
  <c r="K22" i="51" s="1"/>
  <c r="J15" i="51"/>
  <c r="K15" i="51" s="1"/>
  <c r="J14" i="51"/>
  <c r="K14" i="51" s="1"/>
  <c r="J13" i="51"/>
  <c r="K13" i="51" s="1"/>
  <c r="J12" i="51"/>
  <c r="K12" i="51" s="1"/>
  <c r="J11" i="51"/>
  <c r="K11" i="51" s="1"/>
  <c r="J10" i="51"/>
  <c r="K10" i="51" s="1"/>
  <c r="K18" i="50"/>
  <c r="I18" i="50"/>
  <c r="G18" i="50"/>
  <c r="E18" i="50"/>
  <c r="C18" i="50"/>
  <c r="M12" i="50"/>
  <c r="L18" i="50"/>
  <c r="J18" i="50"/>
  <c r="H18" i="50"/>
  <c r="F18" i="50"/>
  <c r="K44" i="51" l="1"/>
  <c r="J44" i="51"/>
  <c r="F49" i="51" s="1"/>
  <c r="F51" i="51" s="1"/>
  <c r="E27" i="6" s="1"/>
  <c r="P18" i="50"/>
  <c r="M18" i="50"/>
  <c r="M21" i="50" s="1"/>
  <c r="G35" i="6" s="1"/>
  <c r="G27" i="6" l="1"/>
  <c r="M23" i="50"/>
  <c r="G36" i="6" s="1"/>
  <c r="G6" i="6" l="1"/>
  <c r="G41" i="6" s="1"/>
  <c r="P23" i="50"/>
  <c r="G24" i="6"/>
  <c r="G22" i="6"/>
  <c r="G21" i="6"/>
  <c r="G19" i="6"/>
  <c r="G18" i="6"/>
  <c r="G17" i="6"/>
  <c r="G14" i="6"/>
  <c r="G20" i="6" l="1"/>
  <c r="G8" i="6" l="1"/>
  <c r="G38" i="6" s="1"/>
  <c r="D9" i="6" l="1"/>
  <c r="D25" i="6"/>
  <c r="G25" i="6" l="1"/>
  <c r="D29" i="6"/>
  <c r="G29" i="6" l="1"/>
  <c r="G9" i="6"/>
  <c r="D31" i="6"/>
  <c r="G34" i="6" l="1"/>
  <c r="G37" i="6" s="1"/>
  <c r="G40" i="6" s="1"/>
  <c r="G31" i="6"/>
  <c r="G15" i="58" l="1"/>
  <c r="G42" i="6" l="1"/>
  <c r="G44" i="6" s="1"/>
  <c r="J5" i="58" s="1"/>
  <c r="E127" i="58" l="1"/>
  <c r="E129" i="58"/>
  <c r="E108" i="58"/>
  <c r="E111" i="58"/>
  <c r="E92" i="58"/>
  <c r="E71" i="58"/>
  <c r="E52" i="58"/>
  <c r="E54" i="58"/>
  <c r="E34" i="58"/>
  <c r="E126" i="58"/>
  <c r="E33" i="58"/>
  <c r="E35" i="58"/>
  <c r="E31" i="58"/>
  <c r="L10" i="2" s="1"/>
  <c r="E73" i="58"/>
  <c r="E128" i="58"/>
  <c r="E130" i="58"/>
  <c r="E110" i="58"/>
  <c r="E89" i="58"/>
  <c r="E72" i="58"/>
  <c r="E69" i="58"/>
  <c r="E53" i="58"/>
  <c r="E50" i="58"/>
  <c r="E32" i="58"/>
  <c r="E107" i="58"/>
  <c r="E91" i="58"/>
  <c r="E88" i="58"/>
  <c r="E109" i="58"/>
  <c r="E90" i="58"/>
  <c r="E51" i="58"/>
  <c r="E70" i="58"/>
  <c r="L31" i="2" l="1"/>
  <c r="F88" i="58"/>
  <c r="L38" i="2"/>
  <c r="F107" i="58"/>
  <c r="L24" i="2"/>
  <c r="F69" i="58"/>
  <c r="L28" i="2"/>
  <c r="N28" i="2" s="1"/>
  <c r="O28" i="2" s="1"/>
  <c r="F73" i="58"/>
  <c r="L12" i="2"/>
  <c r="N12" i="2" s="1"/>
  <c r="O12" i="2" s="1"/>
  <c r="F33" i="58"/>
  <c r="L21" i="2"/>
  <c r="N21" i="2" s="1"/>
  <c r="O21" i="2" s="1"/>
  <c r="F54" i="58"/>
  <c r="L40" i="2"/>
  <c r="N40" i="2" s="1"/>
  <c r="O40" i="2" s="1"/>
  <c r="F109" i="58"/>
  <c r="L34" i="2"/>
  <c r="N34" i="2" s="1"/>
  <c r="O34" i="2" s="1"/>
  <c r="F91" i="58"/>
  <c r="L32" i="2"/>
  <c r="N32" i="2" s="1"/>
  <c r="O32" i="2" s="1"/>
  <c r="F89" i="58"/>
  <c r="N10" i="2"/>
  <c r="O10" i="2" s="1"/>
  <c r="L45" i="2"/>
  <c r="F126" i="58"/>
  <c r="L46" i="2"/>
  <c r="N46" i="2" s="1"/>
  <c r="O46" i="2" s="1"/>
  <c r="F127" i="58"/>
  <c r="L11" i="2"/>
  <c r="N11" i="2" s="1"/>
  <c r="O11" i="2" s="1"/>
  <c r="F32" i="58"/>
  <c r="L17" i="2"/>
  <c r="F50" i="58"/>
  <c r="L20" i="2"/>
  <c r="N20" i="2" s="1"/>
  <c r="O20" i="2" s="1"/>
  <c r="F53" i="58"/>
  <c r="L27" i="2"/>
  <c r="N27" i="2" s="1"/>
  <c r="O27" i="2" s="1"/>
  <c r="F72" i="58"/>
  <c r="L41" i="2"/>
  <c r="N41" i="2" s="1"/>
  <c r="O41" i="2" s="1"/>
  <c r="F110" i="58"/>
  <c r="L49" i="2"/>
  <c r="N49" i="2" s="1"/>
  <c r="O49" i="2" s="1"/>
  <c r="F130" i="58"/>
  <c r="L47" i="2"/>
  <c r="N47" i="2" s="1"/>
  <c r="O47" i="2" s="1"/>
  <c r="F128" i="58"/>
  <c r="L14" i="2"/>
  <c r="N14" i="2" s="1"/>
  <c r="O14" i="2" s="1"/>
  <c r="F35" i="58"/>
  <c r="L13" i="2"/>
  <c r="N13" i="2" s="1"/>
  <c r="O13" i="2" s="1"/>
  <c r="F34" i="58"/>
  <c r="L19" i="2"/>
  <c r="N19" i="2" s="1"/>
  <c r="O19" i="2" s="1"/>
  <c r="F52" i="58"/>
  <c r="L26" i="2"/>
  <c r="N26" i="2" s="1"/>
  <c r="O26" i="2" s="1"/>
  <c r="F71" i="58"/>
  <c r="L35" i="2"/>
  <c r="N35" i="2" s="1"/>
  <c r="O35" i="2" s="1"/>
  <c r="F92" i="58"/>
  <c r="L42" i="2"/>
  <c r="N42" i="2" s="1"/>
  <c r="O42" i="2" s="1"/>
  <c r="F111" i="58"/>
  <c r="L39" i="2"/>
  <c r="N39" i="2" s="1"/>
  <c r="O39" i="2" s="1"/>
  <c r="F108" i="58"/>
  <c r="L25" i="2"/>
  <c r="N25" i="2" s="1"/>
  <c r="O25" i="2" s="1"/>
  <c r="F70" i="58"/>
  <c r="L48" i="2"/>
  <c r="N48" i="2" s="1"/>
  <c r="O48" i="2" s="1"/>
  <c r="F129" i="58"/>
  <c r="L18" i="2"/>
  <c r="N18" i="2" s="1"/>
  <c r="O18" i="2" s="1"/>
  <c r="F51" i="58"/>
  <c r="L33" i="2"/>
  <c r="N33" i="2" s="1"/>
  <c r="O33" i="2" s="1"/>
  <c r="F90" i="58"/>
  <c r="N17" i="2" l="1"/>
  <c r="O17" i="2" s="1"/>
  <c r="F9" i="42"/>
  <c r="G9" i="42" s="1"/>
  <c r="H9" i="42" s="1"/>
  <c r="N24" i="2"/>
  <c r="O24" i="2" s="1"/>
  <c r="F10" i="42"/>
  <c r="G10" i="42" s="1"/>
  <c r="H10" i="42" s="1"/>
  <c r="N45" i="2"/>
  <c r="O45" i="2" s="1"/>
  <c r="F13" i="42"/>
  <c r="N38" i="2"/>
  <c r="O38" i="2" s="1"/>
  <c r="F12" i="42"/>
  <c r="N31" i="2"/>
  <c r="O31" i="2" s="1"/>
  <c r="F11" i="42"/>
  <c r="F112" i="58"/>
  <c r="G10" i="58" s="1"/>
  <c r="F74" i="58"/>
  <c r="G8" i="58" s="1"/>
  <c r="F55" i="58"/>
  <c r="G7" i="58" s="1"/>
  <c r="F131" i="58"/>
  <c r="G11" i="58" s="1"/>
  <c r="F93" i="58"/>
  <c r="G9" i="58" s="1"/>
  <c r="G8" i="42"/>
  <c r="H8" i="42" s="1"/>
  <c r="F31" i="58"/>
  <c r="F36" i="58" s="1"/>
  <c r="G6" i="58" s="1"/>
  <c r="G12" i="58" l="1"/>
  <c r="G14" i="58" s="1"/>
  <c r="G16" i="58" s="1"/>
  <c r="G13" i="42"/>
  <c r="H13" i="42" s="1"/>
  <c r="G12" i="42"/>
  <c r="H12" i="42" s="1"/>
  <c r="G11" i="42"/>
  <c r="H11" i="42" s="1"/>
</calcChain>
</file>

<file path=xl/sharedStrings.xml><?xml version="1.0" encoding="utf-8"?>
<sst xmlns="http://schemas.openxmlformats.org/spreadsheetml/2006/main" count="760" uniqueCount="212">
  <si>
    <t>SCHEDULE OF ADJUSTED OPERATIONS</t>
  </si>
  <si>
    <t>Test Year</t>
  </si>
  <si>
    <t>Adjustments</t>
  </si>
  <si>
    <t>Ref.</t>
  </si>
  <si>
    <t>Proforma</t>
  </si>
  <si>
    <t>Adjustment</t>
  </si>
  <si>
    <t>Operating Revenues</t>
  </si>
  <si>
    <t>Total Metered Retail Sales</t>
  </si>
  <si>
    <t>Other Water Revenues:</t>
  </si>
  <si>
    <t>Other Water Revenues</t>
  </si>
  <si>
    <t>Total Operating Revenues</t>
  </si>
  <si>
    <t>Operating Expenses</t>
  </si>
  <si>
    <t>Operation and Maintenance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</si>
  <si>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</si>
  <si>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</si>
  <si>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</si>
  <si>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</si>
  <si>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</si>
  <si>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Chemicals</t>
  </si>
  <si>
    <t>Materials and Supplies</t>
  </si>
  <si>
    <t>Contractual Services</t>
  </si>
  <si>
    <t>Transportation Expenses</t>
  </si>
  <si>
    <t>Insurance - Gen. Liab. &amp; Workers Comp.</t>
  </si>
  <si>
    <t>Miscellaneous Expenses</t>
  </si>
  <si>
    <t>Total Operation and Mnt. Expenses</t>
  </si>
  <si>
    <t>Depreciation Expense</t>
  </si>
  <si>
    <t>Taxes Other Than Income</t>
  </si>
  <si>
    <t>Total Operating Expenses</t>
  </si>
  <si>
    <t>Total Utility Operating Income</t>
  </si>
  <si>
    <t>REVENUE REQUIREMENTS</t>
  </si>
  <si>
    <t>Pro Forma Operating Expenses</t>
  </si>
  <si>
    <t>Plus:</t>
  </si>
  <si>
    <t>Average Annual Principal and Interest Payments</t>
  </si>
  <si>
    <t>Additional Working Capital</t>
  </si>
  <si>
    <t>Total Revenue Requirement</t>
  </si>
  <si>
    <t>Less:</t>
  </si>
  <si>
    <t>Other Operating Revenue</t>
  </si>
  <si>
    <t>Interest Income</t>
  </si>
  <si>
    <t>Revenue Required From Sales of Water</t>
  </si>
  <si>
    <t>Revenue from Sales with Present Rates</t>
  </si>
  <si>
    <t>Required Revenue Increase</t>
  </si>
  <si>
    <t>Percent Increase</t>
  </si>
  <si>
    <t>TOTAL</t>
  </si>
  <si>
    <t>Table B</t>
  </si>
  <si>
    <t>DEBT SERVICE SCHDULE</t>
  </si>
  <si>
    <t>CY 2024</t>
  </si>
  <si>
    <t>CY 2025</t>
  </si>
  <si>
    <t>CY 2026</t>
  </si>
  <si>
    <t>CY 2027</t>
  </si>
  <si>
    <t>Interest</t>
  </si>
  <si>
    <t>Principal</t>
  </si>
  <si>
    <t>&amp; Fees</t>
  </si>
  <si>
    <t>TOTALS</t>
  </si>
  <si>
    <t>Average Annual Principal &amp; Interest</t>
  </si>
  <si>
    <t>Average Annual Coverage</t>
  </si>
  <si>
    <t>``</t>
  </si>
  <si>
    <t>Table A</t>
  </si>
  <si>
    <t>DEPRECIATION EXPENSE ADJUSTMENTS</t>
  </si>
  <si>
    <t>South Logan Water Association</t>
  </si>
  <si>
    <t>Depreciation</t>
  </si>
  <si>
    <t>Date in</t>
  </si>
  <si>
    <t>Original</t>
  </si>
  <si>
    <t>Reported</t>
  </si>
  <si>
    <t>Expense</t>
  </si>
  <si>
    <t>Asset</t>
  </si>
  <si>
    <t>Service</t>
  </si>
  <si>
    <t>Cost *</t>
  </si>
  <si>
    <t>Life</t>
  </si>
  <si>
    <t>Depr. Exp.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</si>
  <si>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</si>
  <si>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</si>
  <si>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</si>
  <si>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</si>
  <si>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</si>
  <si>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</si>
  <si>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</si>
  <si>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Land &amp; Land Rights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</si>
  <si>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</si>
  <si>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</si>
  <si>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</si>
  <si>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</si>
  <si>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</si>
  <si>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</si>
  <si>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</si>
  <si>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</si>
  <si>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</si>
  <si>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 (MVU)</t>
  </si>
  <si>
    <t>Meters</t>
  </si>
  <si>
    <t>Pump Equipment</t>
  </si>
  <si>
    <t>Tank Fence</t>
  </si>
  <si>
    <t>Services</t>
  </si>
  <si>
    <t>Reservoirs &amp; Tanks</t>
  </si>
  <si>
    <t>Tank Painting &amp; Repairs</t>
  </si>
  <si>
    <t>Transportation Equipment</t>
  </si>
  <si>
    <t>Entire Group</t>
  </si>
  <si>
    <t>Water Treatment Plant</t>
  </si>
  <si>
    <t>Structures and Improvements</t>
  </si>
  <si>
    <t>Water Treatment Equipment</t>
  </si>
  <si>
    <t xml:space="preserve">              *  Includes only costs associated with assets that contributed to depreciation expense in the test year.</t>
  </si>
  <si>
    <t>Allowed Depreciation</t>
  </si>
  <si>
    <t>Less: Reported Depreciation</t>
  </si>
  <si>
    <t>Adjustment to Allowed Depreciation</t>
  </si>
  <si>
    <t>L</t>
  </si>
  <si>
    <t>Labor and Materials Adjustment for New Service Installations</t>
  </si>
  <si>
    <t>New Meter Fees Collected</t>
  </si>
  <si>
    <t xml:space="preserve">Labor </t>
  </si>
  <si>
    <t>H</t>
  </si>
  <si>
    <t xml:space="preserve">Materials </t>
  </si>
  <si>
    <t>Computation of Water Loss Adjustment</t>
  </si>
  <si>
    <t>Produced</t>
  </si>
  <si>
    <t>Purchased</t>
  </si>
  <si>
    <t>Total Produced and Purchased</t>
  </si>
  <si>
    <t>Sold</t>
  </si>
  <si>
    <t>Uses: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</si>
  <si>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</si>
  <si>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</si>
  <si>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</si>
  <si>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</si>
  <si>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</si>
  <si>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</si>
  <si>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O.F.</t>
  </si>
  <si>
    <t xml:space="preserve">   Line Brks.</t>
  </si>
  <si>
    <t xml:space="preserve">   Line Leaks</t>
  </si>
  <si>
    <t xml:space="preserve">   Excavation Damages</t>
  </si>
  <si>
    <t xml:space="preserve">   Unknown</t>
  </si>
  <si>
    <t>Total Losses:</t>
  </si>
  <si>
    <t>Sold, Used, and Lost</t>
  </si>
  <si>
    <t xml:space="preserve">  water loss percentage</t>
  </si>
  <si>
    <t xml:space="preserve">  allowable in rates</t>
  </si>
  <si>
    <t xml:space="preserve">  adjustment percentage</t>
  </si>
  <si>
    <t>Computation of Adjustment to Purchases above Allowable Water Loss:</t>
  </si>
  <si>
    <t>Proforma Purchased Water</t>
  </si>
  <si>
    <t>Purchased Water above allowable water loss.</t>
  </si>
  <si>
    <t>G</t>
  </si>
  <si>
    <t>Purchased Power above allowable water loss.</t>
  </si>
  <si>
    <t>Chemicals above allowable water loss.</t>
  </si>
  <si>
    <t>Total Adjustment</t>
  </si>
  <si>
    <t>Proposed</t>
  </si>
  <si>
    <t>CURRENT AND PROPOSED BILLS</t>
  </si>
  <si>
    <t>Gallons</t>
  </si>
  <si>
    <t>Meter</t>
  </si>
  <si>
    <t>Existing</t>
  </si>
  <si>
    <t>Size</t>
  </si>
  <si>
    <t>Bill</t>
  </si>
  <si>
    <t>Change</t>
  </si>
  <si>
    <t>Percentage</t>
  </si>
  <si>
    <t>5/8 x 3/4"</t>
  </si>
  <si>
    <t>SUMMARY</t>
  </si>
  <si>
    <t>BILLS</t>
  </si>
  <si>
    <t>GALLONS</t>
  </si>
  <si>
    <t>REVENUE</t>
  </si>
  <si>
    <t>TOTAL WATER SALES</t>
  </si>
  <si>
    <t>LESS ADJUSTMENTS</t>
  </si>
  <si>
    <t>NET METERED WATER SALES</t>
  </si>
  <si>
    <t>FROM PSC ANNUAL REPORT</t>
  </si>
  <si>
    <t>DIFFERENCE</t>
  </si>
  <si>
    <t>ADJUSTMENT TO SAO BILLED RETAIL REVENUES</t>
  </si>
  <si>
    <t>FIRST</t>
  </si>
  <si>
    <t>NEXT</t>
  </si>
  <si>
    <t>ALL OVER</t>
  </si>
  <si>
    <t>USAGE</t>
  </si>
  <si>
    <t>RATE</t>
  </si>
  <si>
    <t xml:space="preserve">     5/8" X 3/4" Meters</t>
  </si>
  <si>
    <t xml:space="preserve">     2" Meters</t>
  </si>
  <si>
    <t>5/8" x 3/4" METERS</t>
  </si>
  <si>
    <t xml:space="preserve">     REVENUE BY RATE INCREMENT</t>
  </si>
  <si>
    <t>2" METERS</t>
  </si>
  <si>
    <t>Next</t>
  </si>
  <si>
    <t>1 1/2" METERS</t>
  </si>
  <si>
    <t>3" METERS</t>
  </si>
  <si>
    <t>4" METERS</t>
  </si>
  <si>
    <t>1" METERS</t>
  </si>
  <si>
    <t>1" Meters</t>
  </si>
  <si>
    <t xml:space="preserve">     1" Meters</t>
  </si>
  <si>
    <t xml:space="preserve">     3" Meters</t>
  </si>
  <si>
    <t xml:space="preserve">     4" Meters</t>
  </si>
  <si>
    <t xml:space="preserve">     1 1/2" Meters</t>
  </si>
  <si>
    <t>REQUIRED REVENUE FROM SALES OF WATER</t>
  </si>
  <si>
    <t>CURRENT AND PROPOSED MONTHLY RATES</t>
  </si>
  <si>
    <t>CURRENT RATE SCHEDULE</t>
  </si>
  <si>
    <t>PROPOSED RATE SCHEDULE</t>
  </si>
  <si>
    <t>PERCENT</t>
  </si>
  <si>
    <t>5/8" x 3/4" Meters</t>
  </si>
  <si>
    <t>First</t>
  </si>
  <si>
    <t>gallons</t>
  </si>
  <si>
    <t>Minimum Bill</t>
  </si>
  <si>
    <t>per 1,000 gallons</t>
  </si>
  <si>
    <t>Over</t>
  </si>
  <si>
    <t>2" Meters</t>
  </si>
  <si>
    <t>1 1/2" Meters</t>
  </si>
  <si>
    <t>3" Meters</t>
  </si>
  <si>
    <t>4" Meters</t>
  </si>
  <si>
    <t>South Logan Water Assocation</t>
  </si>
  <si>
    <t>(A)</t>
  </si>
  <si>
    <t>(B)</t>
  </si>
  <si>
    <t>(C)</t>
  </si>
  <si>
    <t>1"</t>
  </si>
  <si>
    <t>1 1/2"</t>
  </si>
  <si>
    <t>2"</t>
  </si>
  <si>
    <t>3"</t>
  </si>
  <si>
    <t>4"</t>
  </si>
  <si>
    <t>per Month</t>
  </si>
  <si>
    <t>Advertising Expenses</t>
  </si>
  <si>
    <t>CY 2024 - 2028</t>
  </si>
  <si>
    <t>CY 2028</t>
  </si>
  <si>
    <t>USDA RD 91-01</t>
  </si>
  <si>
    <t>USDA RD 91-03</t>
  </si>
  <si>
    <t>USDA RD 91-06</t>
  </si>
  <si>
    <t>USDA RD 08</t>
  </si>
  <si>
    <t>USDA RD 91-04</t>
  </si>
  <si>
    <t>CURRENT BILLING ANALYSIS WITH 2023 USAGE &amp; EXISTING RATES</t>
  </si>
  <si>
    <t>PROPOSED BILLING ANALYSIS WITH 2023 USAGE AND PROPOSED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</si>
</sst>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mm/dd/yy;@"/>
    <numFmt numFmtId="169" formatCode="_([$$-409]* #,##0_);_([$$-409]* \(#,##0\);_([$$-409]* &quot;-&quot;??_);_(@_)"/>
    <numFmt numFmtId="170" formatCode="[$$-409]#,##0"/>
  </numFmts>
  <fonts count="2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62">
    <xf numFmtId="0" fontId="0" fillId="0" borderId="0" xfId="0"/>
    <xf numFmtId="0" fontId="3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0" fillId="0" borderId="6" xfId="0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3" xfId="1" applyNumberFormat="1" applyFon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165" fontId="3" fillId="0" borderId="0" xfId="5" applyNumberFormat="1" applyFont="1"/>
    <xf numFmtId="3" fontId="3" fillId="0" borderId="0" xfId="0" applyNumberFormat="1" applyFont="1" applyAlignment="1">
      <alignment horizontal="right"/>
    </xf>
    <xf numFmtId="165" fontId="3" fillId="0" borderId="7" xfId="5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1" xfId="5" applyNumberFormat="1" applyFont="1" applyBorder="1"/>
    <xf numFmtId="165" fontId="3" fillId="0" borderId="0" xfId="5" applyNumberFormat="1" applyFont="1" applyBorder="1"/>
    <xf numFmtId="0" fontId="13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5" fontId="9" fillId="0" borderId="0" xfId="1" applyNumberFormat="1" applyFont="1"/>
    <xf numFmtId="167" fontId="8" fillId="0" borderId="0" xfId="5" applyNumberFormat="1" applyFont="1" applyBorder="1" applyAlignment="1">
      <alignment horizontal="center"/>
    </xf>
    <xf numFmtId="43" fontId="3" fillId="0" borderId="7" xfId="1" applyFont="1" applyBorder="1"/>
    <xf numFmtId="165" fontId="3" fillId="0" borderId="1" xfId="0" applyNumberFormat="1" applyFont="1" applyBorder="1"/>
    <xf numFmtId="164" fontId="3" fillId="0" borderId="0" xfId="6" applyNumberFormat="1" applyFont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/>
    </xf>
    <xf numFmtId="43" fontId="3" fillId="0" borderId="8" xfId="1" quotePrefix="1" applyFont="1" applyBorder="1" applyAlignment="1">
      <alignment horizontal="center"/>
    </xf>
    <xf numFmtId="43" fontId="3" fillId="0" borderId="1" xfId="1" applyFont="1" applyBorder="1"/>
    <xf numFmtId="43" fontId="3" fillId="0" borderId="5" xfId="1" applyFont="1" applyBorder="1"/>
    <xf numFmtId="166" fontId="3" fillId="0" borderId="8" xfId="3" applyNumberFormat="1" applyFont="1" applyBorder="1"/>
    <xf numFmtId="165" fontId="13" fillId="0" borderId="0" xfId="1" applyNumberFormat="1" applyFont="1"/>
    <xf numFmtId="10" fontId="3" fillId="0" borderId="0" xfId="0" applyNumberFormat="1" applyFont="1"/>
    <xf numFmtId="165" fontId="3" fillId="0" borderId="0" xfId="5" quotePrefix="1" applyNumberFormat="1" applyFont="1"/>
    <xf numFmtId="0" fontId="3" fillId="0" borderId="7" xfId="0" applyFont="1" applyBorder="1"/>
    <xf numFmtId="165" fontId="3" fillId="0" borderId="0" xfId="1" applyNumberFormat="1" applyFont="1" applyAlignment="1">
      <alignment horizontal="centerContinuous" vertical="center"/>
    </xf>
    <xf numFmtId="165" fontId="3" fillId="0" borderId="0" xfId="1" applyNumberFormat="1" applyFont="1" applyAlignment="1">
      <alignment vertical="center"/>
    </xf>
    <xf numFmtId="165" fontId="11" fillId="0" borderId="0" xfId="1" applyNumberFormat="1" applyFont="1" applyAlignment="1">
      <alignment horizontal="centerContinuous" vertical="center"/>
    </xf>
    <xf numFmtId="165" fontId="8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left"/>
    </xf>
    <xf numFmtId="165" fontId="12" fillId="0" borderId="0" xfId="1" applyNumberFormat="1" applyFont="1" applyAlignment="1">
      <alignment horizontal="center"/>
    </xf>
    <xf numFmtId="165" fontId="10" fillId="0" borderId="0" xfId="1" quotePrefix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5" fontId="3" fillId="0" borderId="0" xfId="1" applyNumberFormat="1" applyFont="1" applyAlignment="1"/>
    <xf numFmtId="165" fontId="10" fillId="0" borderId="0" xfId="1" applyNumberFormat="1" applyFont="1" applyAlignment="1">
      <alignment vertical="center"/>
    </xf>
    <xf numFmtId="10" fontId="3" fillId="0" borderId="0" xfId="3" applyNumberFormat="1" applyFont="1" applyAlignment="1">
      <alignment vertical="center"/>
    </xf>
    <xf numFmtId="165" fontId="3" fillId="0" borderId="6" xfId="5" applyNumberFormat="1" applyFont="1" applyBorder="1"/>
    <xf numFmtId="165" fontId="3" fillId="0" borderId="0" xfId="5" applyNumberFormat="1" applyFont="1" applyBorder="1" applyAlignment="1">
      <alignment horizontal="center"/>
    </xf>
    <xf numFmtId="10" fontId="3" fillId="0" borderId="0" xfId="3" applyNumberFormat="1" applyFont="1" applyBorder="1"/>
    <xf numFmtId="165" fontId="3" fillId="0" borderId="8" xfId="5" applyNumberFormat="1" applyFont="1" applyBorder="1"/>
    <xf numFmtId="165" fontId="7" fillId="0" borderId="7" xfId="5" applyNumberFormat="1" applyFont="1" applyBorder="1" applyAlignment="1">
      <alignment horizontal="center"/>
    </xf>
    <xf numFmtId="165" fontId="3" fillId="0" borderId="0" xfId="1" applyNumberFormat="1" applyFont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165" fontId="3" fillId="0" borderId="3" xfId="5" applyNumberFormat="1" applyFont="1" applyBorder="1"/>
    <xf numFmtId="165" fontId="3" fillId="0" borderId="2" xfId="5" applyNumberFormat="1" applyFont="1" applyBorder="1"/>
    <xf numFmtId="165" fontId="3" fillId="0" borderId="4" xfId="5" applyNumberFormat="1" applyFont="1" applyBorder="1"/>
    <xf numFmtId="165" fontId="4" fillId="0" borderId="7" xfId="5" applyNumberFormat="1" applyFont="1" applyBorder="1" applyAlignment="1">
      <alignment horizontal="centerContinuous"/>
    </xf>
    <xf numFmtId="165" fontId="7" fillId="0" borderId="0" xfId="5" applyNumberFormat="1" applyFont="1" applyAlignment="1">
      <alignment horizontal="centerContinuous"/>
    </xf>
    <xf numFmtId="165" fontId="5" fillId="0" borderId="7" xfId="5" applyNumberFormat="1" applyFont="1" applyBorder="1" applyAlignment="1">
      <alignment horizontal="centerContinuous"/>
    </xf>
    <xf numFmtId="165" fontId="8" fillId="0" borderId="0" xfId="5" applyNumberFormat="1" applyFont="1" applyAlignment="1">
      <alignment horizontal="centerContinuous"/>
    </xf>
    <xf numFmtId="3" fontId="11" fillId="0" borderId="7" xfId="0" applyNumberFormat="1" applyFont="1" applyBorder="1" applyAlignment="1">
      <alignment horizontal="centerContinuous" vertical="center"/>
    </xf>
    <xf numFmtId="165" fontId="18" fillId="0" borderId="7" xfId="5" applyNumberFormat="1" applyFont="1" applyBorder="1" applyAlignment="1">
      <alignment horizontal="centerContinuous"/>
    </xf>
    <xf numFmtId="165" fontId="3" fillId="0" borderId="0" xfId="5" applyNumberFormat="1" applyFont="1" applyAlignment="1">
      <alignment horizontal="centerContinuous"/>
    </xf>
    <xf numFmtId="165" fontId="3" fillId="0" borderId="7" xfId="5" applyNumberFormat="1" applyFont="1" applyBorder="1" applyAlignment="1">
      <alignment horizontal="centerContinuous"/>
    </xf>
    <xf numFmtId="165" fontId="3" fillId="0" borderId="9" xfId="5" applyNumberFormat="1" applyFont="1" applyBorder="1" applyAlignment="1">
      <alignment horizontal="left"/>
    </xf>
    <xf numFmtId="165" fontId="3" fillId="0" borderId="3" xfId="5" applyNumberFormat="1" applyFont="1" applyBorder="1" applyAlignment="1">
      <alignment horizontal="left"/>
    </xf>
    <xf numFmtId="165" fontId="3" fillId="0" borderId="2" xfId="5" applyNumberFormat="1" applyFont="1" applyBorder="1" applyAlignment="1">
      <alignment horizontal="left"/>
    </xf>
    <xf numFmtId="165" fontId="3" fillId="0" borderId="4" xfId="5" applyNumberFormat="1" applyFont="1" applyBorder="1" applyAlignment="1">
      <alignment horizontal="left"/>
    </xf>
    <xf numFmtId="165" fontId="3" fillId="0" borderId="10" xfId="5" applyNumberFormat="1" applyFont="1" applyBorder="1"/>
    <xf numFmtId="165" fontId="10" fillId="0" borderId="0" xfId="5" applyNumberFormat="1" applyFont="1" applyAlignment="1">
      <alignment horizontal="center" vertical="center"/>
    </xf>
    <xf numFmtId="165" fontId="7" fillId="0" borderId="8" xfId="5" applyNumberFormat="1" applyFont="1" applyBorder="1" applyAlignment="1">
      <alignment horizontal="center" vertical="center"/>
    </xf>
    <xf numFmtId="165" fontId="7" fillId="0" borderId="0" xfId="5" applyNumberFormat="1" applyFont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165" fontId="10" fillId="0" borderId="0" xfId="5" applyNumberFormat="1" applyFont="1" applyBorder="1" applyAlignment="1">
      <alignment horizontal="center" vertical="center"/>
    </xf>
    <xf numFmtId="165" fontId="3" fillId="0" borderId="10" xfId="5" applyNumberFormat="1" applyFont="1" applyBorder="1" applyAlignment="1">
      <alignment horizontal="left"/>
    </xf>
    <xf numFmtId="165" fontId="3" fillId="0" borderId="7" xfId="5" applyNumberFormat="1" applyFont="1" applyBorder="1" applyAlignment="1">
      <alignment horizontal="center"/>
    </xf>
    <xf numFmtId="165" fontId="3" fillId="0" borderId="0" xfId="5" applyNumberFormat="1" applyFont="1" applyAlignment="1">
      <alignment horizontal="center"/>
    </xf>
    <xf numFmtId="165" fontId="3" fillId="0" borderId="8" xfId="5" applyNumberFormat="1" applyFont="1" applyBorder="1" applyAlignment="1">
      <alignment horizontal="center"/>
    </xf>
    <xf numFmtId="165" fontId="3" fillId="0" borderId="0" xfId="5" quotePrefix="1" applyNumberFormat="1" applyFont="1" applyBorder="1" applyAlignment="1">
      <alignment horizontal="center"/>
    </xf>
    <xf numFmtId="165" fontId="3" fillId="0" borderId="10" xfId="5" quotePrefix="1" applyNumberFormat="1" applyFont="1" applyBorder="1" applyAlignment="1">
      <alignment horizontal="center"/>
    </xf>
    <xf numFmtId="165" fontId="3" fillId="0" borderId="7" xfId="5" quotePrefix="1" applyNumberFormat="1" applyFont="1" applyBorder="1" applyAlignment="1">
      <alignment horizontal="left"/>
    </xf>
    <xf numFmtId="165" fontId="3" fillId="0" borderId="0" xfId="5" quotePrefix="1" applyNumberFormat="1" applyFont="1" applyAlignment="1">
      <alignment horizontal="left"/>
    </xf>
    <xf numFmtId="165" fontId="3" fillId="0" borderId="8" xfId="5" quotePrefix="1" applyNumberFormat="1" applyFont="1" applyBorder="1" applyAlignment="1">
      <alignment horizontal="left"/>
    </xf>
    <xf numFmtId="165" fontId="7" fillId="0" borderId="7" xfId="5" quotePrefix="1" applyNumberFormat="1" applyFont="1" applyBorder="1" applyAlignment="1">
      <alignment horizontal="left"/>
    </xf>
    <xf numFmtId="165" fontId="7" fillId="0" borderId="0" xfId="5" quotePrefix="1" applyNumberFormat="1" applyFont="1" applyAlignment="1">
      <alignment horizontal="left"/>
    </xf>
    <xf numFmtId="165" fontId="7" fillId="0" borderId="8" xfId="5" quotePrefix="1" applyNumberFormat="1" applyFont="1" applyBorder="1" applyAlignment="1">
      <alignment horizontal="left"/>
    </xf>
    <xf numFmtId="164" fontId="7" fillId="0" borderId="0" xfId="6" quotePrefix="1" applyNumberFormat="1" applyFont="1" applyBorder="1" applyAlignment="1">
      <alignment horizontal="left"/>
    </xf>
    <xf numFmtId="165" fontId="7" fillId="0" borderId="11" xfId="5" applyNumberFormat="1" applyFont="1" applyBorder="1" applyAlignment="1">
      <alignment horizontal="right"/>
    </xf>
    <xf numFmtId="165" fontId="7" fillId="0" borderId="5" xfId="5" applyNumberFormat="1" applyFont="1" applyBorder="1" applyAlignment="1">
      <alignment horizontal="right"/>
    </xf>
    <xf numFmtId="165" fontId="7" fillId="0" borderId="1" xfId="5" applyNumberFormat="1" applyFont="1" applyBorder="1" applyAlignment="1">
      <alignment horizontal="right"/>
    </xf>
    <xf numFmtId="165" fontId="7" fillId="0" borderId="6" xfId="5" applyNumberFormat="1" applyFont="1" applyBorder="1" applyAlignment="1">
      <alignment horizontal="right"/>
    </xf>
    <xf numFmtId="165" fontId="7" fillId="0" borderId="8" xfId="5" applyNumberFormat="1" applyFont="1" applyBorder="1" applyAlignment="1">
      <alignment horizontal="right"/>
    </xf>
    <xf numFmtId="165" fontId="7" fillId="0" borderId="7" xfId="5" applyNumberFormat="1" applyFont="1" applyBorder="1" applyAlignment="1">
      <alignment horizontal="right"/>
    </xf>
    <xf numFmtId="165" fontId="7" fillId="0" borderId="0" xfId="5" applyNumberFormat="1" applyFont="1" applyAlignment="1">
      <alignment horizontal="right"/>
    </xf>
    <xf numFmtId="165" fontId="7" fillId="0" borderId="2" xfId="5" applyNumberFormat="1" applyFont="1" applyBorder="1" applyAlignment="1">
      <alignment horizontal="right"/>
    </xf>
    <xf numFmtId="165" fontId="7" fillId="0" borderId="7" xfId="5" applyNumberFormat="1" applyFont="1" applyBorder="1"/>
    <xf numFmtId="164" fontId="7" fillId="0" borderId="0" xfId="6" applyNumberFormat="1" applyFont="1"/>
    <xf numFmtId="165" fontId="7" fillId="0" borderId="0" xfId="5" applyNumberFormat="1" applyFont="1"/>
    <xf numFmtId="165" fontId="7" fillId="0" borderId="0" xfId="5" applyNumberFormat="1" applyFont="1" applyBorder="1"/>
    <xf numFmtId="164" fontId="7" fillId="0" borderId="0" xfId="6" applyNumberFormat="1" applyFont="1" applyBorder="1"/>
    <xf numFmtId="165" fontId="3" fillId="0" borderId="5" xfId="5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3" fontId="3" fillId="0" borderId="2" xfId="0" applyNumberFormat="1" applyFont="1" applyBorder="1"/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3" fillId="0" borderId="1" xfId="0" applyNumberFormat="1" applyFont="1" applyBorder="1"/>
    <xf numFmtId="44" fontId="10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7" fontId="3" fillId="0" borderId="0" xfId="5" applyNumberFormat="1" applyFont="1" applyAlignment="1"/>
    <xf numFmtId="167" fontId="3" fillId="0" borderId="2" xfId="5" applyNumberFormat="1" applyFont="1" applyBorder="1"/>
    <xf numFmtId="167" fontId="3" fillId="0" borderId="0" xfId="5" applyNumberFormat="1" applyFont="1" applyBorder="1" applyAlignment="1"/>
    <xf numFmtId="167" fontId="3" fillId="0" borderId="0" xfId="5" applyNumberFormat="1" applyFont="1" applyBorder="1" applyAlignment="1">
      <alignment horizontal="center"/>
    </xf>
    <xf numFmtId="167" fontId="13" fillId="0" borderId="0" xfId="5" applyNumberFormat="1" applyFont="1" applyBorder="1" applyAlignment="1"/>
    <xf numFmtId="170" fontId="3" fillId="0" borderId="0" xfId="0" applyNumberFormat="1" applyFont="1"/>
    <xf numFmtId="169" fontId="7" fillId="0" borderId="0" xfId="0" applyNumberFormat="1" applyFont="1"/>
    <xf numFmtId="167" fontId="3" fillId="0" borderId="0" xfId="5" quotePrefix="1" applyNumberFormat="1" applyFont="1" applyBorder="1" applyAlignment="1">
      <alignment horizontal="center"/>
    </xf>
    <xf numFmtId="3" fontId="3" fillId="0" borderId="4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4" fontId="3" fillId="0" borderId="7" xfId="0" applyNumberFormat="1" applyFont="1" applyBorder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center"/>
    </xf>
    <xf numFmtId="164" fontId="3" fillId="0" borderId="0" xfId="6" applyNumberFormat="1" applyFont="1" applyBorder="1"/>
    <xf numFmtId="164" fontId="3" fillId="0" borderId="0" xfId="0" applyNumberFormat="1" applyFont="1"/>
    <xf numFmtId="164" fontId="0" fillId="0" borderId="0" xfId="0" applyNumberFormat="1" applyAlignment="1">
      <alignment vertical="top"/>
    </xf>
    <xf numFmtId="3" fontId="3" fillId="0" borderId="0" xfId="0" applyNumberFormat="1" applyFont="1" applyAlignment="1">
      <alignment horizontal="left"/>
    </xf>
    <xf numFmtId="37" fontId="3" fillId="0" borderId="0" xfId="0" applyNumberFormat="1" applyFont="1"/>
    <xf numFmtId="0" fontId="7" fillId="0" borderId="0" xfId="0" applyFont="1" applyAlignment="1">
      <alignment horizontal="left"/>
    </xf>
    <xf numFmtId="165" fontId="3" fillId="0" borderId="0" xfId="5" applyNumberFormat="1" applyFont="1" applyBorder="1" applyAlignment="1">
      <alignment horizontal="right"/>
    </xf>
    <xf numFmtId="165" fontId="3" fillId="0" borderId="0" xfId="1" applyNumberFormat="1" applyFont="1" applyFill="1" applyAlignment="1">
      <alignment vertical="center"/>
    </xf>
    <xf numFmtId="6" fontId="3" fillId="0" borderId="0" xfId="0" applyNumberFormat="1" applyFont="1"/>
    <xf numFmtId="9" fontId="3" fillId="0" borderId="0" xfId="0" applyNumberFormat="1" applyFont="1"/>
    <xf numFmtId="44" fontId="3" fillId="0" borderId="0" xfId="0" applyNumberFormat="1" applyFont="1"/>
    <xf numFmtId="3" fontId="3" fillId="0" borderId="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9" fontId="7" fillId="0" borderId="0" xfId="0" applyNumberFormat="1" applyFont="1" applyAlignment="1">
      <alignment horizontal="right"/>
    </xf>
    <xf numFmtId="167" fontId="3" fillId="0" borderId="1" xfId="5" applyNumberFormat="1" applyFont="1" applyBorder="1" applyAlignment="1">
      <alignment horizontal="right"/>
    </xf>
    <xf numFmtId="167" fontId="3" fillId="0" borderId="0" xfId="5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3" fillId="0" borderId="0" xfId="5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44" fontId="3" fillId="0" borderId="0" xfId="1" applyNumberFormat="1" applyFont="1" applyBorder="1"/>
    <xf numFmtId="10" fontId="3" fillId="0" borderId="0" xfId="1" applyNumberFormat="1" applyFont="1"/>
    <xf numFmtId="10" fontId="3" fillId="0" borderId="0" xfId="1" applyNumberFormat="1" applyFont="1" applyBorder="1"/>
    <xf numFmtId="164" fontId="3" fillId="0" borderId="0" xfId="2" applyNumberFormat="1" applyFont="1" applyBorder="1"/>
    <xf numFmtId="164" fontId="3" fillId="0" borderId="0" xfId="5" applyNumberFormat="1" applyFont="1" applyFill="1" applyBorder="1" applyAlignment="1">
      <alignment horizontal="right"/>
    </xf>
    <xf numFmtId="164" fontId="3" fillId="0" borderId="1" xfId="0" applyNumberFormat="1" applyFont="1" applyBorder="1"/>
    <xf numFmtId="0" fontId="7" fillId="0" borderId="0" xfId="0" applyFont="1"/>
    <xf numFmtId="44" fontId="3" fillId="0" borderId="0" xfId="2" applyFont="1"/>
    <xf numFmtId="44" fontId="7" fillId="0" borderId="0" xfId="0" applyNumberFormat="1" applyFont="1"/>
    <xf numFmtId="10" fontId="3" fillId="0" borderId="1" xfId="0" applyNumberFormat="1" applyFont="1" applyBorder="1"/>
    <xf numFmtId="165" fontId="7" fillId="0" borderId="0" xfId="1" applyNumberFormat="1" applyFont="1"/>
    <xf numFmtId="44" fontId="7" fillId="0" borderId="0" xfId="1" applyNumberFormat="1" applyFont="1" applyBorder="1"/>
    <xf numFmtId="164" fontId="7" fillId="0" borderId="0" xfId="2" applyNumberFormat="1" applyFont="1" applyBorder="1"/>
    <xf numFmtId="165" fontId="3" fillId="0" borderId="7" xfId="5" applyNumberFormat="1" applyFont="1" applyFill="1" applyBorder="1" applyAlignment="1">
      <alignment horizontal="center"/>
    </xf>
    <xf numFmtId="165" fontId="3" fillId="0" borderId="8" xfId="5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2" applyNumberFormat="1" applyFont="1"/>
    <xf numFmtId="164" fontId="10" fillId="0" borderId="0" xfId="2" applyNumberFormat="1" applyFont="1"/>
    <xf numFmtId="164" fontId="3" fillId="0" borderId="1" xfId="6" applyNumberFormat="1" applyFont="1" applyBorder="1"/>
    <xf numFmtId="0" fontId="17" fillId="0" borderId="0" xfId="0" applyFont="1" applyAlignment="1">
      <alignment horizontal="center"/>
    </xf>
    <xf numFmtId="165" fontId="3" fillId="0" borderId="0" xfId="5" applyNumberFormat="1" applyFont="1" applyBorder="1" applyAlignment="1"/>
    <xf numFmtId="10" fontId="0" fillId="0" borderId="0" xfId="7" applyNumberFormat="1" applyFont="1" applyBorder="1" applyAlignment="1">
      <alignment vertical="top"/>
    </xf>
    <xf numFmtId="165" fontId="3" fillId="0" borderId="1" xfId="5" applyNumberFormat="1" applyFont="1" applyBorder="1" applyAlignment="1"/>
    <xf numFmtId="164" fontId="3" fillId="0" borderId="1" xfId="6" applyNumberFormat="1" applyFont="1" applyBorder="1" applyAlignment="1"/>
    <xf numFmtId="164" fontId="3" fillId="0" borderId="0" xfId="6" applyNumberFormat="1" applyFont="1" applyBorder="1" applyAlignment="1"/>
    <xf numFmtId="164" fontId="3" fillId="0" borderId="0" xfId="6" applyNumberFormat="1" applyFont="1" applyFill="1" applyBorder="1" applyAlignment="1"/>
    <xf numFmtId="10" fontId="3" fillId="0" borderId="0" xfId="7" applyNumberFormat="1" applyFont="1" applyFill="1" applyBorder="1" applyAlignment="1">
      <alignment vertical="top"/>
    </xf>
    <xf numFmtId="0" fontId="19" fillId="0" borderId="0" xfId="0" applyFont="1"/>
    <xf numFmtId="0" fontId="3" fillId="0" borderId="1" xfId="0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" fontId="3" fillId="0" borderId="0" xfId="5" applyNumberFormat="1" applyFont="1" applyFill="1"/>
    <xf numFmtId="165" fontId="3" fillId="0" borderId="0" xfId="5" applyNumberFormat="1" applyFont="1" applyFill="1"/>
    <xf numFmtId="37" fontId="3" fillId="0" borderId="1" xfId="0" applyNumberFormat="1" applyFont="1" applyBorder="1"/>
    <xf numFmtId="3" fontId="3" fillId="0" borderId="1" xfId="5" applyNumberFormat="1" applyFont="1" applyFill="1" applyBorder="1"/>
    <xf numFmtId="165" fontId="3" fillId="0" borderId="1" xfId="5" applyNumberFormat="1" applyFont="1" applyFill="1" applyBorder="1"/>
    <xf numFmtId="44" fontId="3" fillId="0" borderId="0" xfId="6" applyFont="1"/>
    <xf numFmtId="0" fontId="3" fillId="0" borderId="1" xfId="0" applyFont="1" applyBorder="1"/>
    <xf numFmtId="44" fontId="3" fillId="0" borderId="1" xfId="6" applyFont="1" applyBorder="1"/>
    <xf numFmtId="166" fontId="3" fillId="0" borderId="0" xfId="7" applyNumberFormat="1" applyFont="1"/>
    <xf numFmtId="0" fontId="3" fillId="0" borderId="0" xfId="0" quotePrefix="1" applyFont="1" applyAlignment="1">
      <alignment horizontal="center"/>
    </xf>
    <xf numFmtId="10" fontId="3" fillId="0" borderId="0" xfId="0" applyNumberFormat="1" applyFont="1" applyAlignment="1">
      <alignment horizontal="center" vertical="top"/>
    </xf>
    <xf numFmtId="0" fontId="18" fillId="0" borderId="0" xfId="0" applyFont="1"/>
    <xf numFmtId="0" fontId="3" fillId="0" borderId="6" xfId="0" applyFont="1" applyBorder="1"/>
    <xf numFmtId="0" fontId="3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/>
    <xf numFmtId="44" fontId="3" fillId="0" borderId="0" xfId="6" applyFont="1" applyBorder="1" applyAlignment="1"/>
    <xf numFmtId="44" fontId="3" fillId="0" borderId="7" xfId="0" applyNumberFormat="1" applyFont="1" applyBorder="1"/>
    <xf numFmtId="10" fontId="3" fillId="0" borderId="8" xfId="7" applyNumberFormat="1" applyFont="1" applyBorder="1" applyAlignment="1">
      <alignment horizontal="center"/>
    </xf>
    <xf numFmtId="44" fontId="18" fillId="0" borderId="0" xfId="0" applyNumberFormat="1" applyFont="1"/>
    <xf numFmtId="43" fontId="3" fillId="0" borderId="0" xfId="5" applyFont="1" applyBorder="1" applyAlignment="1"/>
    <xf numFmtId="43" fontId="18" fillId="0" borderId="0" xfId="5" applyFont="1" applyAlignment="1"/>
    <xf numFmtId="165" fontId="18" fillId="0" borderId="0" xfId="5" applyNumberFormat="1" applyFont="1" applyAlignment="1"/>
    <xf numFmtId="0" fontId="6" fillId="0" borderId="0" xfId="0" applyFont="1" applyAlignment="1">
      <alignment horizontal="center"/>
    </xf>
    <xf numFmtId="165" fontId="3" fillId="0" borderId="0" xfId="5" applyNumberFormat="1" applyFont="1" applyAlignment="1"/>
    <xf numFmtId="166" fontId="3" fillId="0" borderId="0" xfId="7" applyNumberFormat="1" applyFont="1" applyAlignment="1"/>
    <xf numFmtId="43" fontId="3" fillId="0" borderId="0" xfId="5" applyFont="1" applyAlignment="1"/>
    <xf numFmtId="43" fontId="3" fillId="0" borderId="0" xfId="1" applyFont="1" applyBorder="1" applyAlignment="1"/>
    <xf numFmtId="165" fontId="3" fillId="0" borderId="0" xfId="1" applyNumberFormat="1" applyFont="1" applyFill="1" applyBorder="1"/>
    <xf numFmtId="43" fontId="3" fillId="0" borderId="8" xfId="1" quotePrefix="1" applyFont="1" applyFill="1" applyBorder="1" applyAlignment="1">
      <alignment horizontal="center"/>
    </xf>
    <xf numFmtId="43" fontId="3" fillId="0" borderId="7" xfId="1" applyFont="1" applyFill="1" applyBorder="1"/>
    <xf numFmtId="43" fontId="3" fillId="0" borderId="0" xfId="1" applyFont="1" applyFill="1" applyBorder="1"/>
    <xf numFmtId="10" fontId="3" fillId="0" borderId="0" xfId="3" applyNumberFormat="1" applyFont="1" applyFill="1" applyBorder="1"/>
    <xf numFmtId="166" fontId="3" fillId="0" borderId="8" xfId="3" applyNumberFormat="1" applyFont="1" applyFill="1" applyBorder="1"/>
    <xf numFmtId="165" fontId="4" fillId="0" borderId="0" xfId="1" applyNumberFormat="1" applyFont="1" applyAlignment="1">
      <alignment horizontal="center" vertical="center"/>
    </xf>
    <xf numFmtId="165" fontId="10" fillId="0" borderId="7" xfId="5" applyNumberFormat="1" applyFont="1" applyBorder="1" applyAlignment="1">
      <alignment horizontal="center" vertical="center"/>
    </xf>
    <xf numFmtId="165" fontId="10" fillId="0" borderId="8" xfId="5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167" fontId="8" fillId="0" borderId="0" xfId="5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65" fontId="11" fillId="0" borderId="0" xfId="5" applyNumberFormat="1" applyFont="1" applyBorder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showGridLines="0" tabSelected="1" workbookViewId="0">
      <selection sqref="A1:G45"/>
    </sheetView>
  </sheetViews>
  <sheetFormatPr defaultColWidth="8.88671875" defaultRowHeight="15" x14ac:dyDescent="0.25"/>
  <cols>
    <col min="1" max="1" width="3.6640625" style="7" customWidth="1"/>
    <col min="2" max="2" width="2.6640625" style="7" customWidth="1"/>
    <col min="3" max="3" width="29.44140625" style="7" customWidth="1"/>
    <col min="4" max="4" width="11.33203125" style="7" customWidth="1"/>
    <col min="5" max="5" width="11.5546875" style="7" customWidth="1"/>
    <col min="6" max="6" width="5.33203125" style="7" customWidth="1"/>
    <col min="7" max="7" width="11.5546875" style="7" customWidth="1"/>
    <col min="8" max="8" width="3.5546875" style="7" customWidth="1"/>
    <col min="9" max="11" width="11.33203125" style="7" customWidth="1"/>
    <col min="12" max="12" width="10.88671875" style="7" customWidth="1"/>
    <col min="13" max="16384" width="8.88671875" style="7"/>
  </cols>
  <sheetData>
    <row r="1" spans="1:12" ht="18.75" x14ac:dyDescent="0.25">
      <c r="A1" s="241" t="s">
        <v>0</v>
      </c>
      <c r="B1" s="241"/>
      <c r="C1" s="241"/>
      <c r="D1" s="241"/>
      <c r="E1" s="241"/>
      <c r="F1" s="241"/>
      <c r="G1" s="241"/>
      <c r="H1" s="47"/>
      <c r="I1" s="47"/>
      <c r="J1" s="47"/>
      <c r="K1" s="47"/>
    </row>
    <row r="2" spans="1:12" ht="15.75" x14ac:dyDescent="0.25">
      <c r="A2" s="48" t="s">
        <v>58</v>
      </c>
      <c r="B2" s="46"/>
      <c r="C2" s="46"/>
      <c r="D2" s="46"/>
      <c r="E2" s="46"/>
      <c r="F2" s="46"/>
      <c r="G2" s="46"/>
      <c r="H2" s="47"/>
      <c r="I2" s="47"/>
      <c r="J2" s="47"/>
      <c r="K2" s="47"/>
      <c r="L2" s="47"/>
    </row>
    <row r="3" spans="1:12" x14ac:dyDescent="0.25">
      <c r="A3" s="42"/>
      <c r="B3" s="46"/>
      <c r="C3" s="46"/>
      <c r="D3" s="46"/>
      <c r="E3" s="46"/>
      <c r="F3" s="46"/>
      <c r="G3" s="46"/>
      <c r="H3" s="47"/>
      <c r="I3" s="47"/>
      <c r="J3" s="47"/>
      <c r="K3" s="47"/>
    </row>
    <row r="4" spans="1:12" ht="17.25" x14ac:dyDescent="0.25">
      <c r="A4" s="47"/>
      <c r="B4" s="47"/>
      <c r="C4" s="47"/>
      <c r="D4" s="49" t="s">
        <v>1</v>
      </c>
      <c r="E4" s="49" t="s">
        <v>2</v>
      </c>
      <c r="F4" s="49" t="s">
        <v>3</v>
      </c>
      <c r="G4" s="49" t="s">
        <v>4</v>
      </c>
      <c r="H4" s="47"/>
      <c r="I4" s="62"/>
      <c r="J4" s="47"/>
      <c r="K4" s="47"/>
    </row>
    <row r="5" spans="1:12" x14ac:dyDescent="0.25">
      <c r="A5" s="50" t="s">
        <v>6</v>
      </c>
      <c r="B5" s="47"/>
      <c r="C5" s="47"/>
      <c r="D5" s="47"/>
      <c r="F5" s="47"/>
      <c r="G5" s="47"/>
      <c r="H5" s="47"/>
      <c r="J5" s="47"/>
      <c r="K5" s="47"/>
    </row>
    <row r="6" spans="1:12" x14ac:dyDescent="0.25">
      <c r="A6" s="47"/>
      <c r="B6" s="47" t="s">
        <v>7</v>
      </c>
      <c r="C6" s="47"/>
      <c r="D6" s="47">
        <v>1258900</v>
      </c>
      <c r="E6" s="47">
        <f>ExBA!G16</f>
        <v>-54780.476699999999</v>
      </c>
      <c r="F6" s="51" t="s">
        <v>193</v>
      </c>
      <c r="G6" s="47">
        <f>D6+E6</f>
        <v>1204119.5233</v>
      </c>
      <c r="H6" s="52"/>
      <c r="I6" s="47"/>
      <c r="J6" s="47"/>
      <c r="K6" s="47"/>
    </row>
    <row r="7" spans="1:12" x14ac:dyDescent="0.25">
      <c r="A7" s="47"/>
      <c r="B7" s="47" t="s">
        <v>8</v>
      </c>
      <c r="C7" s="47"/>
      <c r="D7" s="47"/>
      <c r="E7" s="47"/>
      <c r="F7" s="51"/>
      <c r="G7" s="47"/>
      <c r="H7" s="54"/>
      <c r="I7" s="47"/>
      <c r="J7" s="47"/>
      <c r="K7" s="47"/>
    </row>
    <row r="8" spans="1:12" ht="17.25" x14ac:dyDescent="0.25">
      <c r="A8" s="47"/>
      <c r="C8" s="47" t="s">
        <v>9</v>
      </c>
      <c r="D8" s="70">
        <v>34470</v>
      </c>
      <c r="E8" s="47"/>
      <c r="F8" s="51"/>
      <c r="G8" s="70">
        <f>D8+E8</f>
        <v>34470</v>
      </c>
      <c r="H8" s="53"/>
      <c r="I8" s="47"/>
      <c r="J8" s="47"/>
      <c r="K8" s="47"/>
    </row>
    <row r="9" spans="1:12" x14ac:dyDescent="0.25">
      <c r="A9" s="55" t="s">
        <v>10</v>
      </c>
      <c r="B9" s="47"/>
      <c r="C9" s="47"/>
      <c r="D9" s="47">
        <f>SUM(D6:D8)</f>
        <v>1293370</v>
      </c>
      <c r="E9" s="47"/>
      <c r="F9" s="51"/>
      <c r="G9" s="47">
        <f>SUM(G6:G8)</f>
        <v>1238589.5233</v>
      </c>
      <c r="H9" s="54"/>
      <c r="J9" s="47"/>
      <c r="K9" s="47"/>
    </row>
    <row r="10" spans="1:12" x14ac:dyDescent="0.25">
      <c r="A10" s="47"/>
      <c r="B10" s="47"/>
      <c r="C10" s="47"/>
      <c r="D10" s="47"/>
      <c r="E10" s="47"/>
      <c r="F10" s="51"/>
      <c r="G10" s="47"/>
      <c r="H10" s="54"/>
      <c r="I10" s="47"/>
      <c r="J10" s="47"/>
      <c r="K10" s="47"/>
    </row>
    <row r="11" spans="1:12" x14ac:dyDescent="0.25">
      <c r="A11" s="50" t="s">
        <v>11</v>
      </c>
      <c r="B11" s="47"/>
      <c r="C11" s="47"/>
      <c r="D11" s="47"/>
      <c r="E11" s="47"/>
      <c r="F11" s="51"/>
      <c r="G11" s="47"/>
      <c r="H11" s="54"/>
      <c r="I11" s="47"/>
      <c r="J11" s="47"/>
      <c r="K11" s="47"/>
    </row>
    <row r="12" spans="1:12" x14ac:dyDescent="0.25">
      <c r="A12" s="47"/>
      <c r="B12" s="47" t="s">
        <v>12</v>
      </c>
      <c r="C12" s="47"/>
      <c r="D12" s="47"/>
      <c r="E12" s="47"/>
      <c r="F12" s="51"/>
      <c r="G12" s="47"/>
      <c r="H12" s="54"/>
      <c r="I12" s="47"/>
      <c r="J12" s="47"/>
      <c r="K12" s="47"/>
    </row>
    <row r="13" spans="1:12" x14ac:dyDescent="0.25">
      <c r="A13" s="47"/>
      <c r="B13" s="47"/>
      <c r="C13" s="47" t="s">
        <v>13</v>
      </c>
      <c r="D13" s="47">
        <v>201539</v>
      </c>
      <c r="E13" s="157">
        <f>-Capital!C5</f>
        <v>-11550</v>
      </c>
      <c r="F13" s="56" t="s">
        <v>194</v>
      </c>
      <c r="G13" s="47">
        <f>SUM(D13:E13)</f>
        <v>189989</v>
      </c>
      <c r="H13" s="52"/>
      <c r="I13" s="47"/>
      <c r="J13" s="47"/>
      <c r="K13" s="47"/>
    </row>
    <row r="14" spans="1:12" x14ac:dyDescent="0.25">
      <c r="A14" s="47"/>
      <c r="B14" s="47"/>
      <c r="C14" s="47" t="s">
        <v>14</v>
      </c>
      <c r="D14" s="47">
        <v>2450</v>
      </c>
      <c r="E14" s="157"/>
      <c r="F14" s="51"/>
      <c r="G14" s="47">
        <f t="shared" ref="G14:G24" si="0">D14+E14</f>
        <v>2450</v>
      </c>
      <c r="H14" s="52"/>
    </row>
    <row r="15" spans="1:12" x14ac:dyDescent="0.25">
      <c r="A15" s="47"/>
      <c r="B15" s="47"/>
      <c r="C15" s="47" t="s">
        <v>15</v>
      </c>
      <c r="D15" s="47">
        <v>3408</v>
      </c>
      <c r="E15" s="157"/>
      <c r="F15" s="56"/>
      <c r="G15" s="47">
        <f>D15+E15</f>
        <v>3408</v>
      </c>
      <c r="H15" s="52"/>
      <c r="I15" s="47"/>
      <c r="J15" s="47"/>
      <c r="K15" s="47"/>
    </row>
    <row r="16" spans="1:12" x14ac:dyDescent="0.25">
      <c r="A16" s="47"/>
      <c r="B16" s="47"/>
      <c r="C16" s="47" t="s">
        <v>16</v>
      </c>
      <c r="D16" s="47">
        <v>509414</v>
      </c>
      <c r="E16" s="157"/>
      <c r="F16" s="56"/>
      <c r="G16" s="47">
        <f>D16+E16</f>
        <v>509414</v>
      </c>
      <c r="H16" s="57"/>
    </row>
    <row r="17" spans="1:11" x14ac:dyDescent="0.25">
      <c r="A17" s="47"/>
      <c r="B17" s="47"/>
      <c r="C17" s="47" t="s">
        <v>17</v>
      </c>
      <c r="D17" s="47">
        <v>16889</v>
      </c>
      <c r="E17" s="47"/>
      <c r="F17" s="56"/>
      <c r="G17" s="47">
        <f t="shared" si="0"/>
        <v>16889</v>
      </c>
      <c r="H17" s="58"/>
      <c r="J17" s="47"/>
      <c r="K17" s="47"/>
    </row>
    <row r="18" spans="1:11" x14ac:dyDescent="0.25">
      <c r="A18" s="47"/>
      <c r="B18" s="47"/>
      <c r="C18" s="47" t="s">
        <v>18</v>
      </c>
      <c r="D18" s="47"/>
      <c r="E18" s="47"/>
      <c r="F18" s="56"/>
      <c r="G18" s="47">
        <f t="shared" si="0"/>
        <v>0</v>
      </c>
      <c r="H18" s="58"/>
      <c r="J18" s="47"/>
      <c r="K18" s="47"/>
    </row>
    <row r="19" spans="1:11" x14ac:dyDescent="0.25">
      <c r="A19" s="47"/>
      <c r="B19" s="47"/>
      <c r="C19" s="47" t="s">
        <v>19</v>
      </c>
      <c r="D19" s="47">
        <v>101020</v>
      </c>
      <c r="E19" s="47">
        <f>-Capital!C6</f>
        <v>-11550</v>
      </c>
      <c r="F19" s="56" t="str">
        <f>F13</f>
        <v>(B)</v>
      </c>
      <c r="G19" s="47">
        <f t="shared" si="0"/>
        <v>89470</v>
      </c>
      <c r="H19" s="52"/>
      <c r="I19" s="47"/>
      <c r="J19" s="47"/>
      <c r="K19" s="47"/>
    </row>
    <row r="20" spans="1:11" x14ac:dyDescent="0.25">
      <c r="A20" s="47"/>
      <c r="B20" s="47"/>
      <c r="C20" s="47" t="s">
        <v>20</v>
      </c>
      <c r="D20" s="47">
        <f>14450+1140</f>
        <v>15590</v>
      </c>
      <c r="E20" s="47"/>
      <c r="F20" s="56"/>
      <c r="G20" s="47">
        <f t="shared" si="0"/>
        <v>15590</v>
      </c>
      <c r="H20" s="52"/>
      <c r="I20" s="47"/>
      <c r="J20" s="47"/>
      <c r="K20" s="47"/>
    </row>
    <row r="21" spans="1:11" x14ac:dyDescent="0.25">
      <c r="A21" s="47"/>
      <c r="B21" s="47"/>
      <c r="C21" s="47" t="s">
        <v>21</v>
      </c>
      <c r="D21" s="47">
        <v>30124</v>
      </c>
      <c r="E21" s="47"/>
      <c r="F21" s="56"/>
      <c r="G21" s="47">
        <f t="shared" si="0"/>
        <v>30124</v>
      </c>
      <c r="H21" s="54"/>
      <c r="I21" s="47"/>
      <c r="J21" s="47"/>
      <c r="K21" s="47"/>
    </row>
    <row r="22" spans="1:11" x14ac:dyDescent="0.25">
      <c r="A22" s="47"/>
      <c r="B22" s="47"/>
      <c r="C22" s="47" t="s">
        <v>22</v>
      </c>
      <c r="D22" s="47">
        <v>30356</v>
      </c>
      <c r="E22" s="47"/>
      <c r="F22" s="56"/>
      <c r="G22" s="47">
        <f t="shared" si="0"/>
        <v>30356</v>
      </c>
      <c r="H22" s="54"/>
      <c r="I22" s="47"/>
      <c r="J22" s="47"/>
      <c r="K22" s="47"/>
    </row>
    <row r="23" spans="1:11" x14ac:dyDescent="0.25">
      <c r="A23" s="47"/>
      <c r="B23" s="47"/>
      <c r="C23" s="47" t="s">
        <v>202</v>
      </c>
      <c r="D23" s="47">
        <v>693</v>
      </c>
      <c r="E23" s="47"/>
      <c r="F23" s="56"/>
      <c r="G23" s="47">
        <f t="shared" si="0"/>
        <v>693</v>
      </c>
      <c r="H23" s="54"/>
      <c r="I23" s="47"/>
      <c r="J23" s="47"/>
      <c r="K23" s="47"/>
    </row>
    <row r="24" spans="1:11" ht="17.25" x14ac:dyDescent="0.25">
      <c r="A24" s="47"/>
      <c r="B24" s="47"/>
      <c r="C24" s="47" t="s">
        <v>23</v>
      </c>
      <c r="D24" s="70">
        <v>73730</v>
      </c>
      <c r="E24" s="69"/>
      <c r="F24" s="56"/>
      <c r="G24" s="70">
        <f t="shared" si="0"/>
        <v>73730</v>
      </c>
      <c r="H24" s="54"/>
      <c r="I24" s="47"/>
      <c r="J24" s="47"/>
      <c r="K24" s="47"/>
    </row>
    <row r="25" spans="1:11" x14ac:dyDescent="0.25">
      <c r="A25" s="47"/>
      <c r="B25" s="47" t="s">
        <v>24</v>
      </c>
      <c r="C25" s="47"/>
      <c r="D25" s="47">
        <f>SUM(D13:D24)</f>
        <v>985213</v>
      </c>
      <c r="E25" s="47"/>
      <c r="F25" s="51"/>
      <c r="G25" s="47">
        <f>SUM(G13:G24)</f>
        <v>962113</v>
      </c>
      <c r="H25" s="54"/>
      <c r="I25" s="47"/>
      <c r="J25" s="47"/>
      <c r="K25" s="47"/>
    </row>
    <row r="26" spans="1:11" ht="4.3499999999999996" customHeight="1" x14ac:dyDescent="0.25">
      <c r="A26" s="47"/>
      <c r="B26" s="47"/>
      <c r="C26" s="47"/>
      <c r="D26" s="47"/>
      <c r="E26" s="47"/>
      <c r="F26" s="51"/>
      <c r="G26" s="47"/>
      <c r="H26" s="54"/>
      <c r="I26" s="47"/>
      <c r="J26" s="47"/>
      <c r="K26" s="47"/>
    </row>
    <row r="27" spans="1:11" x14ac:dyDescent="0.25">
      <c r="A27" s="47"/>
      <c r="B27" s="47" t="s">
        <v>25</v>
      </c>
      <c r="C27" s="47"/>
      <c r="D27" s="47">
        <v>182232</v>
      </c>
      <c r="E27" s="47">
        <f>Depreciation!F51</f>
        <v>10790.75911111114</v>
      </c>
      <c r="F27" s="51" t="s">
        <v>195</v>
      </c>
      <c r="G27" s="47">
        <f>D27+E27</f>
        <v>193022.75911111114</v>
      </c>
      <c r="H27" s="54"/>
      <c r="I27" s="47"/>
      <c r="J27" s="47"/>
    </row>
    <row r="28" spans="1:11" ht="17.25" x14ac:dyDescent="0.25">
      <c r="A28" s="47"/>
      <c r="B28" s="47" t="s">
        <v>26</v>
      </c>
      <c r="C28" s="47"/>
      <c r="D28" s="70">
        <v>17966</v>
      </c>
      <c r="E28" s="69"/>
      <c r="F28" s="71"/>
      <c r="G28" s="70">
        <f>D28+E28</f>
        <v>17966</v>
      </c>
      <c r="H28" s="54"/>
      <c r="I28" s="47"/>
      <c r="J28" s="47"/>
    </row>
    <row r="29" spans="1:11" ht="17.25" x14ac:dyDescent="0.25">
      <c r="A29" s="55" t="s">
        <v>27</v>
      </c>
      <c r="B29" s="47"/>
      <c r="C29" s="47"/>
      <c r="D29" s="70">
        <f>SUM(D25:D28)</f>
        <v>1185411</v>
      </c>
      <c r="E29" s="69"/>
      <c r="F29" s="71"/>
      <c r="G29" s="70">
        <f>SUM(G25:G28)</f>
        <v>1173101.7591111111</v>
      </c>
      <c r="H29" s="54"/>
      <c r="I29" s="47"/>
      <c r="J29" s="47"/>
      <c r="K29" s="47"/>
    </row>
    <row r="30" spans="1:11" ht="4.3499999999999996" customHeight="1" x14ac:dyDescent="0.25">
      <c r="A30" s="55"/>
      <c r="B30" s="47"/>
      <c r="C30" s="47"/>
      <c r="D30" s="72"/>
      <c r="E30" s="47"/>
      <c r="F30" s="51"/>
      <c r="G30" s="47"/>
      <c r="H30" s="47"/>
      <c r="I30" s="47"/>
      <c r="J30" s="47"/>
      <c r="K30" s="47"/>
    </row>
    <row r="31" spans="1:11" x14ac:dyDescent="0.25">
      <c r="A31" s="55" t="s">
        <v>28</v>
      </c>
      <c r="B31" s="47"/>
      <c r="C31" s="47"/>
      <c r="D31" s="47">
        <f>D9-D29</f>
        <v>107959</v>
      </c>
      <c r="E31" s="47"/>
      <c r="F31" s="51"/>
      <c r="G31" s="47">
        <f>G9-G29</f>
        <v>65487.764188888948</v>
      </c>
      <c r="H31" s="47"/>
      <c r="I31" s="47"/>
      <c r="K31" s="47"/>
    </row>
    <row r="32" spans="1:11" x14ac:dyDescent="0.25">
      <c r="A32" s="47"/>
      <c r="B32" s="47"/>
      <c r="C32" s="47"/>
      <c r="D32" s="47"/>
      <c r="E32" s="47"/>
      <c r="F32" s="51"/>
      <c r="G32" s="47"/>
      <c r="H32" s="47"/>
      <c r="I32" s="47"/>
      <c r="J32" s="47"/>
      <c r="K32" s="47"/>
    </row>
    <row r="33" spans="1:11" ht="18.75" x14ac:dyDescent="0.25">
      <c r="A33" s="241" t="s">
        <v>29</v>
      </c>
      <c r="B33" s="241"/>
      <c r="C33" s="241"/>
      <c r="D33" s="241"/>
      <c r="E33" s="241"/>
      <c r="F33" s="241"/>
      <c r="G33" s="241"/>
      <c r="H33" s="47"/>
      <c r="I33" s="59"/>
      <c r="J33" s="60"/>
      <c r="K33" s="47"/>
    </row>
    <row r="34" spans="1:11" x14ac:dyDescent="0.25">
      <c r="A34" s="55" t="s">
        <v>30</v>
      </c>
      <c r="B34" s="47"/>
      <c r="C34" s="47"/>
      <c r="D34" s="61"/>
      <c r="E34" s="47"/>
      <c r="F34" s="56"/>
      <c r="G34" s="7">
        <f>G29</f>
        <v>1173101.7591111111</v>
      </c>
      <c r="H34" s="47"/>
      <c r="J34" s="47"/>
      <c r="K34" s="47"/>
    </row>
    <row r="35" spans="1:11" x14ac:dyDescent="0.25">
      <c r="A35" s="47" t="s">
        <v>31</v>
      </c>
      <c r="B35" s="47"/>
      <c r="C35" s="47" t="s">
        <v>32</v>
      </c>
      <c r="D35" s="61"/>
      <c r="E35" s="47"/>
      <c r="F35" s="56"/>
      <c r="G35" s="7">
        <f>'Debt Service'!M21</f>
        <v>177319.8</v>
      </c>
      <c r="H35" s="47"/>
      <c r="J35" s="47"/>
      <c r="K35" s="47"/>
    </row>
    <row r="36" spans="1:11" x14ac:dyDescent="0.25">
      <c r="A36" s="47"/>
      <c r="B36" s="47"/>
      <c r="C36" s="47" t="s">
        <v>33</v>
      </c>
      <c r="D36" s="61"/>
      <c r="E36" s="47"/>
      <c r="F36" s="56"/>
      <c r="G36" s="5">
        <f>'Debt Service'!M23</f>
        <v>35463.96</v>
      </c>
      <c r="H36" s="47"/>
      <c r="J36" s="47"/>
      <c r="K36" s="47"/>
    </row>
    <row r="37" spans="1:11" x14ac:dyDescent="0.25">
      <c r="A37" s="55" t="s">
        <v>34</v>
      </c>
      <c r="B37" s="47"/>
      <c r="C37" s="47"/>
      <c r="D37" s="61"/>
      <c r="E37" s="47"/>
      <c r="F37" s="56"/>
      <c r="G37" s="7">
        <f>G34+G35+G36</f>
        <v>1385885.5191111111</v>
      </c>
      <c r="H37" s="47"/>
      <c r="J37" s="47"/>
      <c r="K37" s="47"/>
    </row>
    <row r="38" spans="1:11" x14ac:dyDescent="0.25">
      <c r="A38" s="47" t="s">
        <v>35</v>
      </c>
      <c r="B38" s="47"/>
      <c r="C38" s="47" t="s">
        <v>36</v>
      </c>
      <c r="D38" s="61"/>
      <c r="E38" s="47"/>
      <c r="F38" s="56"/>
      <c r="G38" s="7">
        <f>-SUM(G8:G8)</f>
        <v>-34470</v>
      </c>
      <c r="H38" s="47"/>
      <c r="J38" s="47"/>
      <c r="K38" s="47"/>
    </row>
    <row r="39" spans="1:11" x14ac:dyDescent="0.25">
      <c r="A39" s="47"/>
      <c r="B39" s="47"/>
      <c r="C39" s="47" t="s">
        <v>37</v>
      </c>
      <c r="D39" s="61"/>
      <c r="E39" s="47"/>
      <c r="F39" s="56"/>
      <c r="G39" s="31">
        <v>-4854</v>
      </c>
      <c r="H39" s="47"/>
      <c r="I39" s="31"/>
      <c r="J39" s="47"/>
      <c r="K39" s="47"/>
    </row>
    <row r="40" spans="1:11" x14ac:dyDescent="0.25">
      <c r="A40" s="55" t="s">
        <v>38</v>
      </c>
      <c r="B40" s="47"/>
      <c r="C40" s="47"/>
      <c r="D40" s="61"/>
      <c r="E40" s="47"/>
      <c r="F40" s="56"/>
      <c r="G40" s="7">
        <f>G37+G38+G39</f>
        <v>1346561.5191111111</v>
      </c>
      <c r="H40" s="47"/>
      <c r="J40" s="47"/>
      <c r="K40" s="47"/>
    </row>
    <row r="41" spans="1:11" ht="17.25" x14ac:dyDescent="0.4">
      <c r="A41" s="47" t="s">
        <v>35</v>
      </c>
      <c r="B41" s="47"/>
      <c r="C41" s="47" t="s">
        <v>39</v>
      </c>
      <c r="D41" s="61"/>
      <c r="E41" s="47"/>
      <c r="F41" s="56"/>
      <c r="G41" s="26">
        <f>G6</f>
        <v>1204119.5233</v>
      </c>
      <c r="H41" s="47"/>
      <c r="I41" s="31"/>
      <c r="J41" s="47"/>
      <c r="K41" s="47"/>
    </row>
    <row r="42" spans="1:11" x14ac:dyDescent="0.25">
      <c r="A42" s="55" t="s">
        <v>40</v>
      </c>
      <c r="B42" s="47"/>
      <c r="C42" s="47"/>
      <c r="D42" s="61"/>
      <c r="E42" s="47"/>
      <c r="F42" s="56"/>
      <c r="G42" s="47">
        <f>G40-G41</f>
        <v>142441.99581111106</v>
      </c>
      <c r="H42" s="47"/>
      <c r="I42" s="47"/>
      <c r="J42" s="47"/>
      <c r="K42" s="47"/>
    </row>
    <row r="43" spans="1:11" ht="4.3499999999999996" customHeight="1" x14ac:dyDescent="0.25">
      <c r="A43" s="47"/>
      <c r="B43" s="47"/>
      <c r="C43" s="47"/>
      <c r="D43" s="61"/>
      <c r="E43" s="47"/>
      <c r="F43" s="56"/>
      <c r="G43" s="47"/>
      <c r="H43" s="47"/>
      <c r="I43" s="47"/>
      <c r="J43" s="47"/>
      <c r="K43" s="47"/>
    </row>
    <row r="44" spans="1:11" x14ac:dyDescent="0.25">
      <c r="A44" s="55" t="s">
        <v>41</v>
      </c>
      <c r="B44" s="47"/>
      <c r="C44" s="47"/>
      <c r="D44" s="61"/>
      <c r="E44" s="47"/>
      <c r="F44" s="56"/>
      <c r="G44" s="63">
        <f>IF(G42&lt;0,0,G42/G41)</f>
        <v>0.11829556207238938</v>
      </c>
      <c r="H44" s="47"/>
      <c r="I44" s="47"/>
      <c r="J44" s="47"/>
      <c r="K44" s="47"/>
    </row>
    <row r="47" spans="1:11" x14ac:dyDescent="0.25">
      <c r="A47" s="55"/>
      <c r="B47" s="47"/>
      <c r="C47" s="47"/>
      <c r="D47" s="61"/>
      <c r="E47" s="47"/>
      <c r="F47" s="56"/>
      <c r="G47" s="47"/>
    </row>
    <row r="48" spans="1:11" x14ac:dyDescent="0.25">
      <c r="A48" s="47"/>
      <c r="B48" s="47"/>
      <c r="C48" s="47"/>
      <c r="D48" s="61"/>
      <c r="E48" s="47"/>
      <c r="F48" s="56"/>
      <c r="G48" s="47"/>
    </row>
    <row r="49" spans="1:7" x14ac:dyDescent="0.25">
      <c r="A49" s="55"/>
      <c r="B49" s="47"/>
      <c r="C49" s="47"/>
      <c r="D49" s="61"/>
      <c r="E49" s="47"/>
      <c r="F49" s="56"/>
      <c r="G49" s="47"/>
    </row>
  </sheetData>
  <mergeCells count="2">
    <mergeCell ref="A33:G33"/>
    <mergeCell ref="A1:G1"/>
  </mergeCells>
  <printOptions horizontalCentered="1"/>
  <pageMargins left="0.45" right="0.25" top="0.5" bottom="0.5" header="0.3" footer="0.3"/>
  <pageSetup orientation="portrait" horizontalDpi="4294967293" r:id="rId1"/>
  <rowBreaks count="2" manualBreakCount="2">
    <brk id="31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P24"/>
  <sheetViews>
    <sheetView showGridLines="0" workbookViewId="0">
      <selection activeCell="B2" sqref="B2:N24"/>
    </sheetView>
  </sheetViews>
  <sheetFormatPr defaultRowHeight="15" x14ac:dyDescent="0.2"/>
  <cols>
    <col min="1" max="1" width="1.88671875" customWidth="1"/>
    <col min="2" max="2" width="17.88671875" customWidth="1"/>
    <col min="3" max="12" width="7.88671875" customWidth="1"/>
    <col min="13" max="13" width="10.6640625" customWidth="1"/>
    <col min="14" max="14" width="0.88671875" customWidth="1"/>
    <col min="15" max="15" width="2.33203125" customWidth="1"/>
    <col min="16" max="16" width="9.6640625" customWidth="1"/>
  </cols>
  <sheetData>
    <row r="1" spans="2:16" ht="15.7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2:16" ht="15.75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17"/>
      <c r="P2" s="17"/>
    </row>
    <row r="3" spans="2:16" ht="18.75" x14ac:dyDescent="0.3">
      <c r="B3" s="76" t="s">
        <v>43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67"/>
      <c r="O3" s="17"/>
      <c r="P3" s="17"/>
    </row>
    <row r="4" spans="2:16" ht="18.75" x14ac:dyDescent="0.3">
      <c r="B4" s="78" t="s">
        <v>44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67"/>
      <c r="O4" s="17"/>
      <c r="P4" s="17"/>
    </row>
    <row r="5" spans="2:16" ht="15.75" x14ac:dyDescent="0.25">
      <c r="B5" s="80" t="s">
        <v>58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67"/>
      <c r="O5" s="17"/>
      <c r="P5" s="17"/>
    </row>
    <row r="6" spans="2:16" ht="15.75" x14ac:dyDescent="0.25">
      <c r="B6" s="81" t="s">
        <v>203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67"/>
      <c r="O6" s="17"/>
      <c r="P6" s="17"/>
    </row>
    <row r="7" spans="2:16" ht="15.75" x14ac:dyDescent="0.25">
      <c r="B7" s="83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67"/>
      <c r="O7" s="17"/>
      <c r="P7" s="17"/>
    </row>
    <row r="8" spans="2:16" ht="15.75" x14ac:dyDescent="0.25">
      <c r="B8" s="84"/>
      <c r="C8" s="85"/>
      <c r="D8" s="86"/>
      <c r="E8" s="85"/>
      <c r="F8" s="87"/>
      <c r="G8" s="85"/>
      <c r="H8" s="87"/>
      <c r="I8" s="85"/>
      <c r="J8" s="87"/>
      <c r="K8" s="85"/>
      <c r="L8" s="87"/>
      <c r="M8" s="86"/>
      <c r="N8" s="75"/>
      <c r="O8" s="17"/>
      <c r="P8" s="17"/>
    </row>
    <row r="9" spans="2:16" ht="17.25" x14ac:dyDescent="0.25">
      <c r="B9" s="88"/>
      <c r="C9" s="242" t="s">
        <v>45</v>
      </c>
      <c r="D9" s="243"/>
      <c r="E9" s="242" t="s">
        <v>46</v>
      </c>
      <c r="F9" s="243"/>
      <c r="G9" s="242" t="s">
        <v>47</v>
      </c>
      <c r="H9" s="243"/>
      <c r="I9" s="242" t="s">
        <v>48</v>
      </c>
      <c r="J9" s="243"/>
      <c r="K9" s="242" t="s">
        <v>204</v>
      </c>
      <c r="L9" s="243"/>
      <c r="M9" s="17"/>
      <c r="N9" s="67"/>
      <c r="O9" s="17"/>
      <c r="P9" s="17"/>
    </row>
    <row r="10" spans="2:16" ht="17.25" x14ac:dyDescent="0.25">
      <c r="B10" s="88"/>
      <c r="C10" s="89"/>
      <c r="D10" s="90" t="s">
        <v>49</v>
      </c>
      <c r="E10" s="91"/>
      <c r="F10" s="90" t="s">
        <v>49</v>
      </c>
      <c r="G10" s="91"/>
      <c r="H10" s="90" t="s">
        <v>49</v>
      </c>
      <c r="I10" s="91"/>
      <c r="J10" s="90" t="s">
        <v>49</v>
      </c>
      <c r="K10" s="91"/>
      <c r="L10" s="90" t="s">
        <v>49</v>
      </c>
      <c r="M10" s="17"/>
      <c r="N10" s="67"/>
      <c r="O10" s="17"/>
      <c r="P10" s="17"/>
    </row>
    <row r="11" spans="2:16" ht="17.25" x14ac:dyDescent="0.25">
      <c r="B11" s="88"/>
      <c r="C11" s="89" t="s">
        <v>50</v>
      </c>
      <c r="D11" s="92" t="s">
        <v>51</v>
      </c>
      <c r="E11" s="89" t="s">
        <v>50</v>
      </c>
      <c r="F11" s="92" t="s">
        <v>51</v>
      </c>
      <c r="G11" s="89" t="s">
        <v>50</v>
      </c>
      <c r="H11" s="92" t="s">
        <v>51</v>
      </c>
      <c r="I11" s="89" t="s">
        <v>50</v>
      </c>
      <c r="J11" s="92" t="s">
        <v>51</v>
      </c>
      <c r="K11" s="89" t="s">
        <v>50</v>
      </c>
      <c r="L11" s="92" t="s">
        <v>51</v>
      </c>
      <c r="M11" s="93" t="s">
        <v>52</v>
      </c>
      <c r="N11" s="67"/>
      <c r="O11" s="17"/>
      <c r="P11" s="17"/>
    </row>
    <row r="12" spans="2:16" ht="15.75" x14ac:dyDescent="0.25">
      <c r="B12" s="94" t="s">
        <v>205</v>
      </c>
      <c r="C12" s="95">
        <v>15147</v>
      </c>
      <c r="D12" s="96">
        <v>9508</v>
      </c>
      <c r="E12" s="95">
        <v>15905</v>
      </c>
      <c r="F12" s="97">
        <v>8750</v>
      </c>
      <c r="G12" s="95">
        <v>16700</v>
      </c>
      <c r="H12" s="97">
        <v>7955</v>
      </c>
      <c r="I12" s="95">
        <v>17535</v>
      </c>
      <c r="J12" s="97">
        <v>7120</v>
      </c>
      <c r="K12" s="189">
        <v>18412</v>
      </c>
      <c r="L12" s="190">
        <v>6243</v>
      </c>
      <c r="M12" s="98">
        <f t="shared" ref="M12:M16" si="0">SUM(C12:L12)</f>
        <v>123275</v>
      </c>
      <c r="N12" s="67"/>
      <c r="O12" s="17"/>
      <c r="P12" s="17"/>
    </row>
    <row r="13" spans="2:16" ht="15.75" x14ac:dyDescent="0.25">
      <c r="B13" s="94" t="s">
        <v>206</v>
      </c>
      <c r="C13" s="95">
        <v>16457</v>
      </c>
      <c r="D13" s="96">
        <v>17137</v>
      </c>
      <c r="E13" s="95">
        <v>17259</v>
      </c>
      <c r="F13" s="65">
        <v>16335</v>
      </c>
      <c r="G13" s="95">
        <v>18101</v>
      </c>
      <c r="H13" s="65">
        <v>15493</v>
      </c>
      <c r="I13" s="95">
        <v>18983</v>
      </c>
      <c r="J13" s="65">
        <v>14611</v>
      </c>
      <c r="K13" s="189">
        <v>19908</v>
      </c>
      <c r="L13" s="190">
        <v>13686</v>
      </c>
      <c r="M13" s="98">
        <f t="shared" si="0"/>
        <v>167970</v>
      </c>
      <c r="N13" s="67"/>
      <c r="O13" s="17"/>
      <c r="P13" s="17"/>
    </row>
    <row r="14" spans="2:16" ht="15.75" x14ac:dyDescent="0.25">
      <c r="B14" s="94" t="s">
        <v>209</v>
      </c>
      <c r="C14" s="95">
        <v>17000</v>
      </c>
      <c r="D14" s="96">
        <v>24152</v>
      </c>
      <c r="E14" s="95">
        <v>17500</v>
      </c>
      <c r="F14" s="65">
        <v>23451</v>
      </c>
      <c r="G14" s="95">
        <v>18500</v>
      </c>
      <c r="H14" s="65">
        <v>22729</v>
      </c>
      <c r="I14" s="95">
        <v>19000</v>
      </c>
      <c r="J14" s="65">
        <v>21966</v>
      </c>
      <c r="K14" s="189">
        <v>20000</v>
      </c>
      <c r="L14" s="190">
        <v>21182</v>
      </c>
      <c r="M14" s="98">
        <f t="shared" si="0"/>
        <v>205480</v>
      </c>
      <c r="N14" s="67"/>
      <c r="O14" s="17"/>
      <c r="P14" s="17"/>
    </row>
    <row r="15" spans="2:16" ht="15.75" x14ac:dyDescent="0.25">
      <c r="B15" s="94" t="s">
        <v>207</v>
      </c>
      <c r="C15" s="95">
        <v>22736</v>
      </c>
      <c r="D15" s="96">
        <v>28564</v>
      </c>
      <c r="E15" s="95">
        <v>23361</v>
      </c>
      <c r="F15" s="65">
        <v>27939</v>
      </c>
      <c r="G15" s="95">
        <v>24003</v>
      </c>
      <c r="H15" s="65">
        <v>27297</v>
      </c>
      <c r="I15" s="95">
        <v>24663</v>
      </c>
      <c r="J15" s="65">
        <v>26637</v>
      </c>
      <c r="K15" s="189">
        <v>25342</v>
      </c>
      <c r="L15" s="190">
        <v>25958</v>
      </c>
      <c r="M15" s="98">
        <f t="shared" si="0"/>
        <v>256500</v>
      </c>
      <c r="N15" s="67"/>
      <c r="O15" s="17"/>
      <c r="P15" s="17"/>
    </row>
    <row r="16" spans="2:16" ht="15.75" x14ac:dyDescent="0.25">
      <c r="B16" s="94" t="s">
        <v>208</v>
      </c>
      <c r="C16" s="95">
        <v>14925</v>
      </c>
      <c r="D16" s="96">
        <v>11749</v>
      </c>
      <c r="E16" s="95">
        <v>15149</v>
      </c>
      <c r="F16" s="65">
        <v>11526</v>
      </c>
      <c r="G16" s="95">
        <v>15377</v>
      </c>
      <c r="H16" s="65">
        <v>11298</v>
      </c>
      <c r="I16" s="95">
        <v>15607</v>
      </c>
      <c r="J16" s="65">
        <v>11068</v>
      </c>
      <c r="K16" s="189">
        <v>15841</v>
      </c>
      <c r="L16" s="190">
        <v>10834</v>
      </c>
      <c r="M16" s="98">
        <f t="shared" si="0"/>
        <v>133374</v>
      </c>
      <c r="N16" s="67"/>
      <c r="O16" s="17"/>
      <c r="P16" s="17"/>
    </row>
    <row r="17" spans="2:16" ht="15.75" x14ac:dyDescent="0.25">
      <c r="B17" s="99"/>
      <c r="C17" s="100"/>
      <c r="D17" s="101"/>
      <c r="E17" s="100"/>
      <c r="F17" s="101"/>
      <c r="G17" s="100"/>
      <c r="H17" s="101"/>
      <c r="I17" s="100"/>
      <c r="J17" s="101"/>
      <c r="K17" s="100"/>
      <c r="L17" s="102"/>
      <c r="M17" s="98"/>
      <c r="N17" s="67"/>
      <c r="O17" s="17"/>
      <c r="P17" s="17"/>
    </row>
    <row r="18" spans="2:16" ht="15.75" x14ac:dyDescent="0.25">
      <c r="B18" s="68" t="s">
        <v>52</v>
      </c>
      <c r="C18" s="103">
        <f t="shared" ref="C18:M18" si="1">SUM(C12:C17)</f>
        <v>86265</v>
      </c>
      <c r="D18" s="104">
        <f>SUM(D12:D17)</f>
        <v>91110</v>
      </c>
      <c r="E18" s="103">
        <f t="shared" si="1"/>
        <v>89174</v>
      </c>
      <c r="F18" s="105">
        <f t="shared" si="1"/>
        <v>88001</v>
      </c>
      <c r="G18" s="103">
        <f t="shared" si="1"/>
        <v>92681</v>
      </c>
      <c r="H18" s="105">
        <f t="shared" si="1"/>
        <v>84772</v>
      </c>
      <c r="I18" s="103">
        <f t="shared" si="1"/>
        <v>95788</v>
      </c>
      <c r="J18" s="105">
        <f t="shared" si="1"/>
        <v>81402</v>
      </c>
      <c r="K18" s="103">
        <f t="shared" si="1"/>
        <v>99503</v>
      </c>
      <c r="L18" s="105">
        <f t="shared" si="1"/>
        <v>77903</v>
      </c>
      <c r="M18" s="106">
        <f t="shared" si="1"/>
        <v>886599</v>
      </c>
      <c r="N18" s="67"/>
      <c r="O18" s="17"/>
      <c r="P18" s="17">
        <f>SUM(C18:L18)</f>
        <v>886599</v>
      </c>
    </row>
    <row r="19" spans="2:16" ht="15.75" x14ac:dyDescent="0.25">
      <c r="B19" s="107"/>
      <c r="C19" s="108"/>
      <c r="D19" s="109"/>
      <c r="E19" s="108"/>
      <c r="F19" s="110"/>
      <c r="G19" s="108"/>
      <c r="H19" s="110"/>
      <c r="I19" s="108"/>
      <c r="J19" s="111"/>
      <c r="K19" s="108"/>
      <c r="L19" s="110"/>
      <c r="M19" s="109"/>
      <c r="N19" s="64"/>
      <c r="O19" s="17"/>
      <c r="P19" s="17"/>
    </row>
    <row r="20" spans="2:16" ht="15.75" x14ac:dyDescent="0.25">
      <c r="B20" s="112"/>
      <c r="C20" s="113"/>
      <c r="D20" s="113"/>
      <c r="E20" s="113"/>
      <c r="F20" s="113"/>
      <c r="G20" s="113"/>
      <c r="H20" s="113"/>
      <c r="I20" s="113"/>
      <c r="J20" s="114"/>
      <c r="K20" s="114"/>
      <c r="L20" s="114"/>
      <c r="M20" s="113"/>
      <c r="N20" s="67"/>
      <c r="O20" s="17"/>
      <c r="P20" s="17"/>
    </row>
    <row r="21" spans="2:16" ht="15.75" x14ac:dyDescent="0.25">
      <c r="B21" s="115"/>
      <c r="C21" s="116"/>
      <c r="D21" s="117"/>
      <c r="E21" s="116"/>
      <c r="F21" s="116"/>
      <c r="G21" s="116"/>
      <c r="H21" s="116"/>
      <c r="I21" s="117" t="s">
        <v>53</v>
      </c>
      <c r="J21" s="17"/>
      <c r="K21" s="118"/>
      <c r="L21" s="119"/>
      <c r="M21" s="116">
        <f>M18/5</f>
        <v>177319.8</v>
      </c>
      <c r="N21" s="67"/>
      <c r="O21" s="17"/>
      <c r="P21" s="17"/>
    </row>
    <row r="22" spans="2:16" ht="15.75" x14ac:dyDescent="0.25">
      <c r="B22" s="19"/>
      <c r="C22" s="117"/>
      <c r="D22" s="17"/>
      <c r="E22" s="117"/>
      <c r="F22" s="117"/>
      <c r="G22" s="117"/>
      <c r="H22" s="117"/>
      <c r="I22" s="117"/>
      <c r="J22" s="17"/>
      <c r="K22" s="23"/>
      <c r="L22" s="118"/>
      <c r="M22" s="30"/>
      <c r="N22" s="67"/>
      <c r="O22" s="17"/>
      <c r="P22" s="17"/>
    </row>
    <row r="23" spans="2:16" ht="15.75" x14ac:dyDescent="0.25">
      <c r="B23" s="115"/>
      <c r="C23" s="117"/>
      <c r="D23" s="117"/>
      <c r="E23" s="117"/>
      <c r="F23" s="117"/>
      <c r="G23" s="117"/>
      <c r="H23" s="117"/>
      <c r="I23" s="117" t="s">
        <v>54</v>
      </c>
      <c r="J23" s="17"/>
      <c r="K23" s="118"/>
      <c r="L23" s="117"/>
      <c r="M23" s="116">
        <f>M21*0.2</f>
        <v>35463.96</v>
      </c>
      <c r="N23" s="67"/>
      <c r="O23" s="17"/>
      <c r="P23" s="17">
        <f>M23+M21</f>
        <v>212783.75999999998</v>
      </c>
    </row>
    <row r="24" spans="2:16" ht="15.75" x14ac:dyDescent="0.25">
      <c r="B24" s="120"/>
      <c r="C24" s="121"/>
      <c r="D24" s="121"/>
      <c r="E24" s="121"/>
      <c r="F24" s="121" t="s">
        <v>55</v>
      </c>
      <c r="G24" s="121"/>
      <c r="H24" s="121"/>
      <c r="I24" s="121"/>
      <c r="J24" s="121"/>
      <c r="K24" s="121"/>
      <c r="L24" s="121"/>
      <c r="M24" s="121"/>
      <c r="N24" s="64"/>
      <c r="O24" s="17"/>
      <c r="P24" s="17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91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0D3-A7C3-4727-A9D4-F5C014E94ADB}">
  <sheetPr>
    <pageSetUpPr fitToPage="1"/>
  </sheetPr>
  <dimension ref="A1:R51"/>
  <sheetViews>
    <sheetView showGridLines="0" topLeftCell="A6" workbookViewId="0">
      <selection sqref="A1:XFD1048576"/>
    </sheetView>
  </sheetViews>
  <sheetFormatPr defaultRowHeight="15.75" x14ac:dyDescent="0.25"/>
  <cols>
    <col min="1" max="1" width="2" customWidth="1"/>
    <col min="2" max="3" width="1.88671875" customWidth="1"/>
    <col min="4" max="4" width="27.44140625" style="1" customWidth="1"/>
    <col min="5" max="5" width="8.33203125" style="1" customWidth="1"/>
    <col min="6" max="6" width="10.6640625" style="168" customWidth="1"/>
    <col min="7" max="7" width="6.109375" style="1" customWidth="1"/>
    <col min="8" max="8" width="9.33203125" style="164" customWidth="1"/>
    <col min="9" max="9" width="6.109375" customWidth="1"/>
    <col min="10" max="10" width="9.33203125" style="164" customWidth="1"/>
    <col min="11" max="11" width="10.6640625" customWidth="1"/>
    <col min="12" max="12" width="1.88671875" customWidth="1"/>
    <col min="13" max="13" width="2.44140625" customWidth="1"/>
    <col min="15" max="18" width="8.88671875" style="1"/>
  </cols>
  <sheetData>
    <row r="1" spans="1:13" x14ac:dyDescent="0.25">
      <c r="A1" s="1"/>
      <c r="B1" s="1"/>
      <c r="C1" s="3"/>
      <c r="D1" s="3"/>
      <c r="E1" s="3"/>
      <c r="G1" s="132"/>
      <c r="H1" s="18"/>
      <c r="I1" s="132"/>
      <c r="J1" s="18"/>
      <c r="K1" s="3"/>
      <c r="L1" s="3"/>
      <c r="M1" s="3"/>
    </row>
    <row r="2" spans="1:13" x14ac:dyDescent="0.25">
      <c r="A2" s="1"/>
      <c r="B2" s="122"/>
      <c r="C2" s="124"/>
      <c r="D2" s="124"/>
      <c r="E2" s="124"/>
      <c r="F2" s="169"/>
      <c r="G2" s="133"/>
      <c r="H2" s="161"/>
      <c r="I2" s="133"/>
      <c r="J2" s="161"/>
      <c r="K2" s="124"/>
      <c r="L2" s="140"/>
      <c r="M2" s="143"/>
    </row>
    <row r="3" spans="1:13" ht="18.75" x14ac:dyDescent="0.3">
      <c r="A3" s="1"/>
      <c r="B3" s="45"/>
      <c r="C3" s="244" t="s">
        <v>56</v>
      </c>
      <c r="D3" s="244"/>
      <c r="E3" s="244"/>
      <c r="F3" s="244"/>
      <c r="G3" s="244"/>
      <c r="H3" s="244"/>
      <c r="I3" s="244"/>
      <c r="J3" s="244"/>
      <c r="K3" s="244"/>
      <c r="L3" s="141"/>
      <c r="M3" s="143"/>
    </row>
    <row r="4" spans="1:13" ht="18.75" x14ac:dyDescent="0.3">
      <c r="A4" s="1"/>
      <c r="B4" s="45"/>
      <c r="C4" s="245" t="s">
        <v>57</v>
      </c>
      <c r="D4" s="245"/>
      <c r="E4" s="245"/>
      <c r="F4" s="245"/>
      <c r="G4" s="245"/>
      <c r="H4" s="245"/>
      <c r="I4" s="245"/>
      <c r="J4" s="245"/>
      <c r="K4" s="245"/>
      <c r="L4" s="141"/>
      <c r="M4" s="143"/>
    </row>
    <row r="5" spans="1:13" x14ac:dyDescent="0.25">
      <c r="A5" s="1"/>
      <c r="B5" s="45"/>
      <c r="C5" s="246" t="s">
        <v>58</v>
      </c>
      <c r="D5" s="246"/>
      <c r="E5" s="246"/>
      <c r="F5" s="246"/>
      <c r="G5" s="246"/>
      <c r="H5" s="246"/>
      <c r="I5" s="246"/>
      <c r="J5" s="246"/>
      <c r="K5" s="246"/>
      <c r="L5" s="141"/>
      <c r="M5" s="143"/>
    </row>
    <row r="6" spans="1:13" x14ac:dyDescent="0.25">
      <c r="A6" s="1"/>
      <c r="B6" s="45"/>
      <c r="C6" s="3"/>
      <c r="D6" s="3"/>
      <c r="E6" s="3"/>
      <c r="G6" s="134"/>
      <c r="H6" s="18"/>
      <c r="I6" s="134"/>
      <c r="J6" s="18"/>
      <c r="K6" s="126" t="s">
        <v>59</v>
      </c>
      <c r="L6" s="141"/>
      <c r="M6" s="143"/>
    </row>
    <row r="7" spans="1:13" x14ac:dyDescent="0.25">
      <c r="A7" s="1"/>
      <c r="B7" s="45"/>
      <c r="C7" s="125"/>
      <c r="D7" s="125"/>
      <c r="E7" s="125" t="s">
        <v>60</v>
      </c>
      <c r="F7" s="170" t="s">
        <v>61</v>
      </c>
      <c r="G7" s="247" t="s">
        <v>62</v>
      </c>
      <c r="H7" s="247"/>
      <c r="I7" s="247" t="s">
        <v>4</v>
      </c>
      <c r="J7" s="247"/>
      <c r="K7" s="126" t="s">
        <v>63</v>
      </c>
      <c r="L7" s="141"/>
      <c r="M7" s="143"/>
    </row>
    <row r="8" spans="1:13" ht="18" x14ac:dyDescent="0.4">
      <c r="A8" s="1"/>
      <c r="B8" s="45"/>
      <c r="C8" s="126"/>
      <c r="D8" s="130" t="s">
        <v>64</v>
      </c>
      <c r="E8" s="126" t="s">
        <v>65</v>
      </c>
      <c r="F8" s="171" t="s">
        <v>66</v>
      </c>
      <c r="G8" s="27" t="s">
        <v>67</v>
      </c>
      <c r="H8" s="126" t="s">
        <v>68</v>
      </c>
      <c r="I8" s="27" t="s">
        <v>67</v>
      </c>
      <c r="J8" s="126" t="s">
        <v>68</v>
      </c>
      <c r="K8" s="126" t="s">
        <v>5</v>
      </c>
      <c r="L8" s="141"/>
      <c r="M8" s="143"/>
    </row>
    <row r="9" spans="1:13" x14ac:dyDescent="0.25">
      <c r="A9" s="1"/>
      <c r="B9" s="45"/>
      <c r="C9" s="127" t="s">
        <v>69</v>
      </c>
      <c r="D9" s="3"/>
      <c r="E9" s="131"/>
      <c r="G9" s="134"/>
      <c r="H9" s="163"/>
      <c r="I9" s="134"/>
      <c r="J9" s="163"/>
      <c r="K9" s="2"/>
      <c r="L9" s="141"/>
      <c r="M9" s="143"/>
    </row>
    <row r="10" spans="1:13" x14ac:dyDescent="0.25">
      <c r="A10" s="1"/>
      <c r="B10" s="45"/>
      <c r="C10" s="127"/>
      <c r="D10" s="3" t="s">
        <v>70</v>
      </c>
      <c r="E10" s="131" t="s">
        <v>71</v>
      </c>
      <c r="F10" s="180">
        <v>94685</v>
      </c>
      <c r="G10" s="65" t="s">
        <v>71</v>
      </c>
      <c r="H10" s="156">
        <v>2930</v>
      </c>
      <c r="I10" s="134">
        <v>37.5</v>
      </c>
      <c r="J10" s="156">
        <f>F10/I10</f>
        <v>2524.9333333333334</v>
      </c>
      <c r="K10" s="23">
        <f>J10-H10</f>
        <v>-405.06666666666661</v>
      </c>
      <c r="L10" s="141"/>
      <c r="M10" s="143"/>
    </row>
    <row r="11" spans="1:13" x14ac:dyDescent="0.25">
      <c r="A11" s="1"/>
      <c r="B11" s="45"/>
      <c r="C11" s="127"/>
      <c r="D11" s="3" t="s">
        <v>72</v>
      </c>
      <c r="E11" s="131" t="s">
        <v>71</v>
      </c>
      <c r="F11" s="173">
        <v>0</v>
      </c>
      <c r="G11" s="65">
        <v>5</v>
      </c>
      <c r="H11" s="156">
        <v>0</v>
      </c>
      <c r="I11" s="134">
        <v>10</v>
      </c>
      <c r="J11" s="156">
        <f>F11/I11</f>
        <v>0</v>
      </c>
      <c r="K11" s="23">
        <f>J11-H11</f>
        <v>0</v>
      </c>
      <c r="L11" s="141"/>
      <c r="M11" s="143"/>
    </row>
    <row r="12" spans="1:13" x14ac:dyDescent="0.25">
      <c r="A12" s="1"/>
      <c r="B12" s="45"/>
      <c r="C12" s="3"/>
      <c r="D12" s="3" t="s">
        <v>73</v>
      </c>
      <c r="E12" s="131" t="s">
        <v>71</v>
      </c>
      <c r="F12" s="173">
        <v>3780</v>
      </c>
      <c r="G12" s="65" t="s">
        <v>71</v>
      </c>
      <c r="H12" s="156">
        <v>756</v>
      </c>
      <c r="I12" s="134">
        <v>22.5</v>
      </c>
      <c r="J12" s="156">
        <f>F12/I12</f>
        <v>168</v>
      </c>
      <c r="K12" s="23">
        <f>J12-H12</f>
        <v>-588</v>
      </c>
      <c r="L12" s="141"/>
      <c r="M12" s="143"/>
    </row>
    <row r="13" spans="1:13" x14ac:dyDescent="0.25">
      <c r="A13" s="1"/>
      <c r="B13" s="45"/>
      <c r="C13" s="3"/>
      <c r="D13" s="3" t="s">
        <v>74</v>
      </c>
      <c r="E13" s="131" t="s">
        <v>71</v>
      </c>
      <c r="F13" s="173">
        <f>5950+3314+2918+2223+1954+12190+41149+1952+17569+4370+3059</f>
        <v>96648</v>
      </c>
      <c r="G13" s="65" t="s">
        <v>71</v>
      </c>
      <c r="H13" s="156">
        <f>16759</f>
        <v>16759</v>
      </c>
      <c r="I13" s="134">
        <v>12.5</v>
      </c>
      <c r="J13" s="156">
        <f t="shared" ref="J13:J15" si="0">F13/I13</f>
        <v>7731.84</v>
      </c>
      <c r="K13" s="23">
        <f t="shared" ref="K13:K15" si="1">J13-H13</f>
        <v>-9027.16</v>
      </c>
      <c r="L13" s="141"/>
      <c r="M13" s="143"/>
    </row>
    <row r="14" spans="1:13" x14ac:dyDescent="0.25">
      <c r="A14" s="1"/>
      <c r="B14" s="45"/>
      <c r="C14" s="3"/>
      <c r="D14" s="3" t="s">
        <v>75</v>
      </c>
      <c r="E14" s="131"/>
      <c r="F14" s="173"/>
      <c r="G14" s="65"/>
      <c r="H14" s="156"/>
      <c r="I14" s="134">
        <v>17.5</v>
      </c>
      <c r="J14" s="156">
        <f t="shared" si="0"/>
        <v>0</v>
      </c>
      <c r="K14" s="23">
        <f t="shared" si="1"/>
        <v>0</v>
      </c>
      <c r="L14" s="141"/>
      <c r="M14" s="143"/>
    </row>
    <row r="15" spans="1:13" x14ac:dyDescent="0.25">
      <c r="A15" s="1"/>
      <c r="B15" s="45"/>
      <c r="C15" s="3"/>
      <c r="D15" s="3" t="s">
        <v>76</v>
      </c>
      <c r="E15" s="131">
        <v>40057</v>
      </c>
      <c r="F15" s="173">
        <v>12250</v>
      </c>
      <c r="G15" s="65">
        <v>20</v>
      </c>
      <c r="H15" s="156">
        <v>613</v>
      </c>
      <c r="I15" s="134">
        <v>15</v>
      </c>
      <c r="J15" s="156">
        <f t="shared" si="0"/>
        <v>816.66666666666663</v>
      </c>
      <c r="K15" s="23">
        <f t="shared" si="1"/>
        <v>203.66666666666663</v>
      </c>
      <c r="L15" s="141"/>
      <c r="M15" s="143"/>
    </row>
    <row r="16" spans="1:13" x14ac:dyDescent="0.25">
      <c r="A16" s="1"/>
      <c r="B16" s="45"/>
      <c r="C16" s="3"/>
      <c r="D16" s="3"/>
      <c r="E16" s="131"/>
      <c r="F16" s="173"/>
      <c r="G16" s="65"/>
      <c r="H16" s="156"/>
      <c r="I16" s="134"/>
      <c r="J16" s="156"/>
      <c r="K16" s="23"/>
      <c r="L16" s="141"/>
      <c r="M16" s="143"/>
    </row>
    <row r="17" spans="1:13" x14ac:dyDescent="0.25">
      <c r="A17" s="1"/>
      <c r="B17" s="45"/>
      <c r="C17" s="127" t="s">
        <v>77</v>
      </c>
      <c r="D17" s="3"/>
      <c r="E17" s="131"/>
      <c r="F17" s="173"/>
      <c r="G17" s="65"/>
      <c r="H17" s="156"/>
      <c r="I17" s="134"/>
      <c r="J17" s="156"/>
      <c r="K17" s="23"/>
      <c r="L17" s="141"/>
      <c r="M17" s="143"/>
    </row>
    <row r="18" spans="1:13" x14ac:dyDescent="0.25">
      <c r="A18" s="1"/>
      <c r="B18" s="45"/>
      <c r="C18" s="3"/>
      <c r="D18" s="3" t="s">
        <v>78</v>
      </c>
      <c r="E18" s="131"/>
      <c r="F18" s="173"/>
      <c r="G18" s="65"/>
      <c r="H18" s="156"/>
      <c r="I18" s="134">
        <v>62.5</v>
      </c>
      <c r="J18" s="156">
        <f t="shared" ref="J18:J19" si="2">F18/I18</f>
        <v>0</v>
      </c>
      <c r="K18" s="23">
        <f t="shared" ref="K18:K19" si="3">J18-H18</f>
        <v>0</v>
      </c>
      <c r="L18" s="141"/>
      <c r="M18" s="143"/>
    </row>
    <row r="19" spans="1:13" x14ac:dyDescent="0.25">
      <c r="A19" s="1"/>
      <c r="B19" s="45"/>
      <c r="C19" s="3"/>
      <c r="D19" s="3" t="s">
        <v>79</v>
      </c>
      <c r="E19" s="131" t="s">
        <v>71</v>
      </c>
      <c r="F19" s="173">
        <v>0</v>
      </c>
      <c r="G19" s="65" t="s">
        <v>71</v>
      </c>
      <c r="H19" s="156">
        <v>0</v>
      </c>
      <c r="I19" s="134">
        <v>62.5</v>
      </c>
      <c r="J19" s="156">
        <f t="shared" si="2"/>
        <v>0</v>
      </c>
      <c r="K19" s="23">
        <f t="shared" si="3"/>
        <v>0</v>
      </c>
      <c r="L19" s="141"/>
      <c r="M19" s="143"/>
    </row>
    <row r="20" spans="1:13" x14ac:dyDescent="0.25">
      <c r="A20" s="1"/>
      <c r="B20" s="45"/>
      <c r="C20" s="126"/>
      <c r="D20" s="126"/>
      <c r="E20" s="126"/>
      <c r="F20" s="172"/>
      <c r="G20" s="27"/>
      <c r="H20" s="162"/>
      <c r="I20" s="27"/>
      <c r="J20" s="162"/>
      <c r="K20" s="126"/>
      <c r="L20" s="141"/>
      <c r="M20" s="143"/>
    </row>
    <row r="21" spans="1:13" x14ac:dyDescent="0.25">
      <c r="A21" s="1"/>
      <c r="B21" s="45"/>
      <c r="C21" s="127" t="s">
        <v>80</v>
      </c>
      <c r="D21" s="3"/>
      <c r="E21" s="131"/>
      <c r="G21" s="135"/>
      <c r="H21" s="163"/>
      <c r="I21" s="135"/>
      <c r="J21" s="163"/>
      <c r="K21" s="2"/>
      <c r="L21" s="141"/>
      <c r="M21" s="143"/>
    </row>
    <row r="22" spans="1:13" x14ac:dyDescent="0.25">
      <c r="A22" s="1"/>
      <c r="B22" s="45"/>
      <c r="C22" s="127"/>
      <c r="D22" s="3" t="s">
        <v>70</v>
      </c>
      <c r="E22" s="131"/>
      <c r="F22" s="173"/>
      <c r="G22" s="65"/>
      <c r="H22" s="156"/>
      <c r="I22" s="134">
        <v>37.5</v>
      </c>
      <c r="J22" s="156">
        <f>F22/I22</f>
        <v>0</v>
      </c>
      <c r="K22" s="23">
        <f>J22-H22</f>
        <v>0</v>
      </c>
      <c r="L22" s="141"/>
      <c r="M22" s="143"/>
    </row>
    <row r="23" spans="1:13" x14ac:dyDescent="0.25">
      <c r="A23" s="1"/>
      <c r="B23" s="45"/>
      <c r="C23" s="3"/>
      <c r="D23" s="3" t="s">
        <v>81</v>
      </c>
      <c r="E23" s="131"/>
      <c r="G23" s="135"/>
      <c r="H23" s="156"/>
      <c r="I23" s="134">
        <v>10</v>
      </c>
      <c r="J23" s="163">
        <f>F23/I23</f>
        <v>0</v>
      </c>
      <c r="K23" s="23">
        <f>J23-H23</f>
        <v>0</v>
      </c>
      <c r="L23" s="141"/>
      <c r="M23" s="143"/>
    </row>
    <row r="24" spans="1:13" x14ac:dyDescent="0.25">
      <c r="A24" s="1"/>
      <c r="B24" s="45"/>
      <c r="C24" s="3"/>
      <c r="D24" s="3" t="s">
        <v>82</v>
      </c>
      <c r="E24" s="131" t="s">
        <v>71</v>
      </c>
      <c r="F24" s="168">
        <f>6448</f>
        <v>6448</v>
      </c>
      <c r="G24" s="135" t="s">
        <v>71</v>
      </c>
      <c r="H24" s="156">
        <v>1106</v>
      </c>
      <c r="I24" s="134">
        <v>20</v>
      </c>
      <c r="J24" s="163">
        <f>F24/I24</f>
        <v>322.39999999999998</v>
      </c>
      <c r="K24" s="23">
        <f>J24-H24</f>
        <v>-783.6</v>
      </c>
      <c r="L24" s="141"/>
      <c r="M24" s="143"/>
    </row>
    <row r="25" spans="1:13" x14ac:dyDescent="0.25">
      <c r="A25" s="1"/>
      <c r="B25" s="45"/>
      <c r="C25" s="126"/>
      <c r="D25" s="126"/>
      <c r="E25" s="126"/>
      <c r="G25" s="135"/>
      <c r="H25" s="163"/>
      <c r="I25" s="135"/>
      <c r="J25" s="163"/>
      <c r="K25" s="2"/>
      <c r="L25" s="141"/>
      <c r="M25" s="143"/>
    </row>
    <row r="26" spans="1:13" x14ac:dyDescent="0.25">
      <c r="A26" s="1"/>
      <c r="B26" s="45"/>
      <c r="C26" s="127" t="s">
        <v>83</v>
      </c>
      <c r="D26" s="3"/>
      <c r="E26" s="131"/>
      <c r="G26" s="134"/>
      <c r="H26" s="163"/>
      <c r="I26" s="134"/>
      <c r="J26" s="163"/>
      <c r="K26" s="2"/>
      <c r="L26" s="141"/>
      <c r="M26" s="143"/>
    </row>
    <row r="27" spans="1:13" x14ac:dyDescent="0.25">
      <c r="A27" s="1"/>
      <c r="B27" s="45"/>
      <c r="C27" s="127"/>
      <c r="D27" s="3" t="s">
        <v>84</v>
      </c>
      <c r="E27" s="131" t="s">
        <v>71</v>
      </c>
      <c r="F27" s="173">
        <f>71684-21753</f>
        <v>49931</v>
      </c>
      <c r="G27" s="65">
        <v>20</v>
      </c>
      <c r="H27" s="156">
        <v>2497</v>
      </c>
      <c r="I27" s="134">
        <v>50</v>
      </c>
      <c r="J27" s="156">
        <f>H27</f>
        <v>2497</v>
      </c>
      <c r="K27" s="23">
        <f>J27-H27</f>
        <v>0</v>
      </c>
      <c r="L27" s="141"/>
      <c r="M27" s="143"/>
    </row>
    <row r="28" spans="1:13" x14ac:dyDescent="0.25">
      <c r="A28" s="1"/>
      <c r="B28" s="45"/>
      <c r="C28" s="127"/>
      <c r="D28" s="3" t="s">
        <v>85</v>
      </c>
      <c r="E28" s="131" t="s">
        <v>71</v>
      </c>
      <c r="F28" s="180">
        <v>7363238</v>
      </c>
      <c r="G28" s="65" t="s">
        <v>71</v>
      </c>
      <c r="H28" s="156">
        <v>155163</v>
      </c>
      <c r="I28" s="134">
        <v>62.5</v>
      </c>
      <c r="J28" s="156">
        <f t="shared" ref="J28:J35" si="4">F28/I28</f>
        <v>117811.808</v>
      </c>
      <c r="K28" s="23">
        <f t="shared" ref="K28:K35" si="5">J28-H28</f>
        <v>-37351.191999999995</v>
      </c>
      <c r="L28" s="141"/>
      <c r="M28" s="143"/>
    </row>
    <row r="29" spans="1:13" x14ac:dyDescent="0.25">
      <c r="A29" s="1"/>
      <c r="B29" s="45"/>
      <c r="C29" s="127"/>
      <c r="D29" s="3" t="s">
        <v>86</v>
      </c>
      <c r="E29" s="131" t="s">
        <v>71</v>
      </c>
      <c r="F29" s="180">
        <f>1040+3510+3510+3510+3510+3523+7057+7020+10530+7070+7056</f>
        <v>57336</v>
      </c>
      <c r="G29" s="65">
        <v>10</v>
      </c>
      <c r="H29" s="156">
        <v>4840</v>
      </c>
      <c r="I29" s="134">
        <v>45</v>
      </c>
      <c r="J29" s="156">
        <f t="shared" si="4"/>
        <v>1274.1333333333334</v>
      </c>
      <c r="K29" s="23">
        <f t="shared" si="5"/>
        <v>-3565.8666666666668</v>
      </c>
      <c r="L29" s="141"/>
      <c r="M29" s="143"/>
    </row>
    <row r="30" spans="1:13" x14ac:dyDescent="0.25">
      <c r="A30" s="1"/>
      <c r="B30" s="45"/>
      <c r="C30" s="127"/>
      <c r="D30" s="3" t="s">
        <v>87</v>
      </c>
      <c r="E30" s="131" t="s">
        <v>71</v>
      </c>
      <c r="F30" s="173">
        <f>506959-90380-1827-8981</f>
        <v>405771</v>
      </c>
      <c r="G30" s="65">
        <v>10</v>
      </c>
      <c r="H30" s="156">
        <v>25640</v>
      </c>
      <c r="I30" s="134">
        <v>15</v>
      </c>
      <c r="J30" s="156">
        <f t="shared" si="4"/>
        <v>27051.4</v>
      </c>
      <c r="K30" s="23">
        <f t="shared" si="5"/>
        <v>1411.4000000000015</v>
      </c>
      <c r="L30" s="141"/>
      <c r="M30" s="143"/>
    </row>
    <row r="31" spans="1:13" x14ac:dyDescent="0.25">
      <c r="A31" s="1"/>
      <c r="B31" s="45"/>
      <c r="C31" s="127"/>
      <c r="D31" s="3" t="s">
        <v>88</v>
      </c>
      <c r="E31" s="131"/>
      <c r="F31" s="173"/>
      <c r="G31" s="65"/>
      <c r="H31" s="156"/>
      <c r="I31" s="134">
        <v>20</v>
      </c>
      <c r="J31" s="156">
        <f t="shared" si="4"/>
        <v>0</v>
      </c>
      <c r="K31" s="23">
        <f t="shared" si="5"/>
        <v>0</v>
      </c>
      <c r="L31" s="141"/>
      <c r="M31" s="143"/>
    </row>
    <row r="32" spans="1:13" x14ac:dyDescent="0.25">
      <c r="A32" s="1"/>
      <c r="B32" s="45"/>
      <c r="C32" s="127"/>
      <c r="D32" s="3" t="s">
        <v>89</v>
      </c>
      <c r="E32" s="131"/>
      <c r="F32" s="173"/>
      <c r="G32" s="65"/>
      <c r="H32" s="156"/>
      <c r="I32" s="134">
        <v>37.5</v>
      </c>
      <c r="J32" s="156">
        <f t="shared" si="4"/>
        <v>0</v>
      </c>
      <c r="K32" s="23">
        <f t="shared" si="5"/>
        <v>0</v>
      </c>
      <c r="L32" s="141"/>
      <c r="M32" s="143"/>
    </row>
    <row r="33" spans="1:14" x14ac:dyDescent="0.25">
      <c r="A33" s="1"/>
      <c r="B33" s="45"/>
      <c r="C33" s="127"/>
      <c r="D33" s="3" t="s">
        <v>90</v>
      </c>
      <c r="E33" s="131"/>
      <c r="F33" s="173"/>
      <c r="G33" s="65"/>
      <c r="H33" s="156"/>
      <c r="I33" s="134">
        <v>40</v>
      </c>
      <c r="J33" s="156">
        <f t="shared" si="4"/>
        <v>0</v>
      </c>
      <c r="K33" s="23">
        <f t="shared" si="5"/>
        <v>0</v>
      </c>
      <c r="L33" s="141"/>
      <c r="M33" s="143"/>
    </row>
    <row r="34" spans="1:14" x14ac:dyDescent="0.25">
      <c r="A34" s="1"/>
      <c r="B34" s="45"/>
      <c r="C34" s="127"/>
      <c r="D34" s="3" t="s">
        <v>91</v>
      </c>
      <c r="E34" s="131" t="s">
        <v>71</v>
      </c>
      <c r="F34" s="180">
        <f>263427+8700+327950+3597+4140</f>
        <v>607814</v>
      </c>
      <c r="G34" s="65" t="s">
        <v>71</v>
      </c>
      <c r="H34" s="156">
        <f>5269+174+7159+360+414</f>
        <v>13376</v>
      </c>
      <c r="I34" s="134">
        <v>45</v>
      </c>
      <c r="J34" s="156">
        <f t="shared" si="4"/>
        <v>13506.977777777778</v>
      </c>
      <c r="K34" s="23">
        <f t="shared" si="5"/>
        <v>130.9777777777781</v>
      </c>
      <c r="L34" s="141"/>
      <c r="M34" s="143"/>
    </row>
    <row r="35" spans="1:14" x14ac:dyDescent="0.25">
      <c r="A35" s="1"/>
      <c r="B35" s="45"/>
      <c r="C35" s="127"/>
      <c r="D35" s="3" t="s">
        <v>92</v>
      </c>
      <c r="E35" s="131"/>
      <c r="F35" s="173">
        <f>207000+82764</f>
        <v>289764</v>
      </c>
      <c r="G35" s="65">
        <v>20</v>
      </c>
      <c r="H35" s="156">
        <f>1667+58+4138</f>
        <v>5863</v>
      </c>
      <c r="I35" s="134">
        <v>15</v>
      </c>
      <c r="J35" s="156">
        <f t="shared" si="4"/>
        <v>19317.599999999999</v>
      </c>
      <c r="K35" s="23">
        <f t="shared" si="5"/>
        <v>13454.599999999999</v>
      </c>
      <c r="L35" s="141"/>
      <c r="M35" s="143"/>
    </row>
    <row r="36" spans="1:14" x14ac:dyDescent="0.25">
      <c r="A36" s="1"/>
      <c r="B36" s="45"/>
      <c r="C36" s="127"/>
      <c r="E36" s="131"/>
      <c r="G36" s="135"/>
      <c r="H36" s="163"/>
      <c r="I36" s="135"/>
      <c r="J36" s="163"/>
      <c r="K36" s="23"/>
      <c r="L36" s="141"/>
      <c r="M36" s="143"/>
    </row>
    <row r="37" spans="1:14" x14ac:dyDescent="0.25">
      <c r="A37" s="1"/>
      <c r="B37" s="45"/>
      <c r="C37" s="127" t="s">
        <v>93</v>
      </c>
      <c r="E37" s="131"/>
      <c r="G37" s="134"/>
      <c r="H37" s="163"/>
      <c r="I37" s="139"/>
      <c r="J37" s="163"/>
      <c r="K37" s="2"/>
      <c r="L37" s="141"/>
      <c r="M37" s="143"/>
    </row>
    <row r="38" spans="1:14" x14ac:dyDescent="0.25">
      <c r="A38" s="1"/>
      <c r="B38" s="45"/>
      <c r="C38" s="3"/>
      <c r="D38" s="1" t="s">
        <v>94</v>
      </c>
      <c r="E38" s="131" t="s">
        <v>71</v>
      </c>
      <c r="G38" s="134"/>
      <c r="H38" s="163"/>
      <c r="I38" s="139">
        <v>7</v>
      </c>
      <c r="J38" s="163">
        <f>F38/I38</f>
        <v>0</v>
      </c>
      <c r="K38" s="2">
        <f>J38-H38</f>
        <v>0</v>
      </c>
      <c r="L38" s="141"/>
      <c r="M38" s="143"/>
    </row>
    <row r="39" spans="1:14" x14ac:dyDescent="0.25">
      <c r="A39" s="1"/>
      <c r="B39" s="45"/>
      <c r="C39" s="126"/>
      <c r="D39" s="126"/>
      <c r="E39" s="126"/>
      <c r="G39" s="135"/>
      <c r="H39" s="163"/>
      <c r="I39" s="135"/>
      <c r="J39" s="163"/>
      <c r="K39" s="2"/>
      <c r="L39" s="141"/>
      <c r="M39" s="143"/>
    </row>
    <row r="40" spans="1:14" x14ac:dyDescent="0.25">
      <c r="A40" s="1"/>
      <c r="B40" s="45"/>
      <c r="C40" s="127" t="s">
        <v>95</v>
      </c>
      <c r="D40" s="3"/>
      <c r="E40" s="131"/>
      <c r="G40" s="136"/>
      <c r="H40" s="163"/>
      <c r="I40" s="134"/>
      <c r="J40" s="163"/>
      <c r="K40" s="2"/>
      <c r="L40" s="141"/>
      <c r="M40" s="143"/>
    </row>
    <row r="41" spans="1:14" x14ac:dyDescent="0.25">
      <c r="A41" s="1"/>
      <c r="B41" s="45"/>
      <c r="C41" s="127"/>
      <c r="D41" s="1" t="s">
        <v>96</v>
      </c>
      <c r="E41" s="131"/>
      <c r="G41" s="134"/>
      <c r="H41" s="163"/>
      <c r="I41" s="139">
        <v>62.5</v>
      </c>
      <c r="J41" s="163">
        <f>F41/I41</f>
        <v>0</v>
      </c>
      <c r="K41" s="2">
        <f>J41-H41</f>
        <v>0</v>
      </c>
      <c r="L41" s="141"/>
      <c r="M41" s="143"/>
    </row>
    <row r="42" spans="1:14" x14ac:dyDescent="0.25">
      <c r="A42" s="1"/>
      <c r="B42" s="45"/>
      <c r="C42" s="127"/>
      <c r="D42" s="1" t="s">
        <v>97</v>
      </c>
      <c r="E42" s="131"/>
      <c r="G42" s="134"/>
      <c r="H42" s="163"/>
      <c r="I42" s="139">
        <v>27.5</v>
      </c>
      <c r="J42" s="163">
        <f>F42/I42</f>
        <v>0</v>
      </c>
      <c r="K42" s="2">
        <f>J42-H42</f>
        <v>0</v>
      </c>
      <c r="L42" s="141"/>
      <c r="M42" s="143"/>
    </row>
    <row r="43" spans="1:14" x14ac:dyDescent="0.25">
      <c r="A43" s="1"/>
      <c r="B43" s="45"/>
      <c r="C43" s="3"/>
      <c r="D43" s="3"/>
      <c r="E43" s="3"/>
      <c r="G43" s="2"/>
      <c r="H43" s="156"/>
      <c r="I43" s="2"/>
      <c r="J43" s="167"/>
      <c r="K43" s="2"/>
      <c r="L43" s="141"/>
      <c r="M43" s="143"/>
    </row>
    <row r="44" spans="1:14" x14ac:dyDescent="0.25">
      <c r="A44" s="1"/>
      <c r="B44" s="45"/>
      <c r="C44" s="128" t="s">
        <v>52</v>
      </c>
      <c r="F44" s="165">
        <f>SUM(F10:F43)</f>
        <v>8987665</v>
      </c>
      <c r="G44" s="137"/>
      <c r="H44" s="165">
        <f>SUM(H10:H43)</f>
        <v>229543</v>
      </c>
      <c r="I44" s="138"/>
      <c r="J44" s="165">
        <f>SUM(J10:J43)</f>
        <v>193022.75911111114</v>
      </c>
      <c r="K44" s="138">
        <f>SUM(K10:K43)</f>
        <v>-36520.240888888889</v>
      </c>
      <c r="L44" s="141"/>
      <c r="M44" s="143"/>
      <c r="N44" s="20"/>
    </row>
    <row r="45" spans="1:14" x14ac:dyDescent="0.25">
      <c r="A45" s="1"/>
      <c r="B45" s="123"/>
      <c r="C45" s="129"/>
      <c r="D45" s="129"/>
      <c r="E45" s="129"/>
      <c r="F45" s="174"/>
      <c r="G45" s="129"/>
      <c r="H45" s="166"/>
      <c r="I45" s="129"/>
      <c r="J45" s="166"/>
      <c r="K45" s="129"/>
      <c r="L45" s="142"/>
      <c r="M45" s="144"/>
    </row>
    <row r="46" spans="1:14" x14ac:dyDescent="0.25">
      <c r="A46" s="1"/>
      <c r="B46" s="1"/>
      <c r="C46" s="3"/>
      <c r="D46" s="3"/>
      <c r="E46" s="3"/>
      <c r="G46" s="3"/>
      <c r="H46" s="167"/>
      <c r="I46" s="3"/>
      <c r="J46" s="167"/>
      <c r="K46" s="3"/>
      <c r="L46" s="3"/>
      <c r="M46" s="3"/>
    </row>
    <row r="47" spans="1:14" x14ac:dyDescent="0.25">
      <c r="D47" s="3" t="s">
        <v>98</v>
      </c>
    </row>
    <row r="49" spans="4:7" x14ac:dyDescent="0.25">
      <c r="D49" s="1" t="s">
        <v>99</v>
      </c>
      <c r="F49" s="168">
        <f>J44</f>
        <v>193022.75911111114</v>
      </c>
    </row>
    <row r="50" spans="4:7" ht="18" x14ac:dyDescent="0.4">
      <c r="D50" s="1" t="s">
        <v>100</v>
      </c>
      <c r="F50" s="175">
        <f>SAO!D27</f>
        <v>182232</v>
      </c>
    </row>
    <row r="51" spans="4:7" x14ac:dyDescent="0.25">
      <c r="D51" s="1" t="s">
        <v>101</v>
      </c>
      <c r="F51" s="168">
        <f>F49-F50</f>
        <v>10790.75911111114</v>
      </c>
      <c r="G51" s="20" t="s">
        <v>102</v>
      </c>
    </row>
  </sheetData>
  <mergeCells count="5">
    <mergeCell ref="C3:K3"/>
    <mergeCell ref="C4:K4"/>
    <mergeCell ref="C5:K5"/>
    <mergeCell ref="G7:H7"/>
    <mergeCell ref="I7:J7"/>
  </mergeCells>
  <pageMargins left="0.7" right="0.7" top="0.75" bottom="0.75" header="0.3" footer="0.3"/>
  <pageSetup scale="7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B32F-4CA1-4F84-B54A-FE6CF749D13D}">
  <dimension ref="A1:D6"/>
  <sheetViews>
    <sheetView workbookViewId="0">
      <selection activeCell="F35" sqref="F35"/>
    </sheetView>
  </sheetViews>
  <sheetFormatPr defaultRowHeight="15" x14ac:dyDescent="0.2"/>
  <cols>
    <col min="1" max="1" width="11.21875" customWidth="1"/>
  </cols>
  <sheetData>
    <row r="1" spans="1:4" ht="15.75" x14ac:dyDescent="0.25">
      <c r="A1" s="1" t="s">
        <v>103</v>
      </c>
      <c r="B1" s="1"/>
      <c r="C1" s="1"/>
      <c r="D1" s="1"/>
    </row>
    <row r="2" spans="1:4" ht="15.75" x14ac:dyDescent="0.25">
      <c r="A2" s="1"/>
      <c r="B2" s="1"/>
      <c r="C2" s="1"/>
      <c r="D2" s="1"/>
    </row>
    <row r="3" spans="1:4" ht="15.75" x14ac:dyDescent="0.25">
      <c r="A3" s="1" t="s">
        <v>104</v>
      </c>
      <c r="B3" s="1"/>
      <c r="C3" s="158">
        <v>23100</v>
      </c>
      <c r="D3" s="1"/>
    </row>
    <row r="4" spans="1:4" ht="15.75" x14ac:dyDescent="0.25">
      <c r="A4" s="1"/>
      <c r="B4" s="1"/>
      <c r="C4" s="1"/>
      <c r="D4" s="1"/>
    </row>
    <row r="5" spans="1:4" ht="15.75" x14ac:dyDescent="0.25">
      <c r="A5" s="1" t="s">
        <v>105</v>
      </c>
      <c r="B5" s="159">
        <v>0.5</v>
      </c>
      <c r="C5" s="158">
        <f>B5*C3</f>
        <v>11550</v>
      </c>
      <c r="D5" s="1" t="s">
        <v>106</v>
      </c>
    </row>
    <row r="6" spans="1:4" ht="15.75" x14ac:dyDescent="0.25">
      <c r="A6" s="1" t="s">
        <v>107</v>
      </c>
      <c r="B6" s="159">
        <v>0.5</v>
      </c>
      <c r="C6" s="158">
        <f>B6*C3</f>
        <v>11550</v>
      </c>
      <c r="D6" s="1" t="s">
        <v>106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2889-0321-45D3-A9A4-AE60C9D6113F}">
  <dimension ref="A1:I37"/>
  <sheetViews>
    <sheetView showGridLines="0" workbookViewId="0">
      <selection activeCell="D27" sqref="D27"/>
    </sheetView>
  </sheetViews>
  <sheetFormatPr defaultColWidth="8.88671875" defaultRowHeight="15" x14ac:dyDescent="0.25"/>
  <cols>
    <col min="1" max="1" width="22" style="1" customWidth="1"/>
    <col min="2" max="2" width="9.88671875" style="7" bestFit="1" customWidth="1"/>
    <col min="3" max="3" width="9.6640625" style="7" bestFit="1" customWidth="1"/>
    <col min="4" max="4" width="10.44140625" style="1" bestFit="1" customWidth="1"/>
    <col min="5" max="16384" width="8.88671875" style="1"/>
  </cols>
  <sheetData>
    <row r="1" spans="1:3" x14ac:dyDescent="0.25">
      <c r="A1" s="182" t="s">
        <v>108</v>
      </c>
    </row>
    <row r="2" spans="1:3" x14ac:dyDescent="0.25">
      <c r="A2" s="1" t="s">
        <v>109</v>
      </c>
      <c r="C2" s="7">
        <v>0</v>
      </c>
    </row>
    <row r="3" spans="1:3" x14ac:dyDescent="0.25">
      <c r="A3" s="1" t="s">
        <v>110</v>
      </c>
      <c r="C3" s="5">
        <v>152908</v>
      </c>
    </row>
    <row r="4" spans="1:3" x14ac:dyDescent="0.25">
      <c r="A4" s="1" t="s">
        <v>111</v>
      </c>
      <c r="C4" s="7">
        <f>C2+C3</f>
        <v>152908</v>
      </c>
    </row>
    <row r="6" spans="1:3" x14ac:dyDescent="0.25">
      <c r="A6" s="1" t="s">
        <v>112</v>
      </c>
      <c r="C6" s="7">
        <v>131549</v>
      </c>
    </row>
    <row r="8" spans="1:3" x14ac:dyDescent="0.25">
      <c r="A8" s="1" t="s">
        <v>113</v>
      </c>
    </row>
    <row r="9" spans="1:3" x14ac:dyDescent="0.25">
      <c r="A9" s="1" t="s">
        <v>114</v>
      </c>
      <c r="B9" s="7">
        <v>0</v>
      </c>
    </row>
    <row r="10" spans="1:3" x14ac:dyDescent="0.25">
      <c r="A10" s="1" t="s">
        <v>115</v>
      </c>
      <c r="B10" s="7">
        <v>424</v>
      </c>
    </row>
    <row r="11" spans="1:3" x14ac:dyDescent="0.25">
      <c r="A11" s="1" t="s">
        <v>116</v>
      </c>
      <c r="B11" s="7">
        <v>197</v>
      </c>
    </row>
    <row r="12" spans="1:3" x14ac:dyDescent="0.25">
      <c r="A12" s="1" t="s">
        <v>117</v>
      </c>
      <c r="B12" s="7">
        <v>0</v>
      </c>
    </row>
    <row r="13" spans="1:3" x14ac:dyDescent="0.25">
      <c r="A13" s="1" t="s">
        <v>118</v>
      </c>
      <c r="C13" s="7">
        <f>SUM(B9:B12)</f>
        <v>621</v>
      </c>
    </row>
    <row r="15" spans="1:3" x14ac:dyDescent="0.25">
      <c r="A15" s="1" t="s">
        <v>119</v>
      </c>
    </row>
    <row r="16" spans="1:3" x14ac:dyDescent="0.25">
      <c r="A16" s="1" t="s">
        <v>120</v>
      </c>
      <c r="B16" s="7">
        <v>130</v>
      </c>
    </row>
    <row r="17" spans="1:9" x14ac:dyDescent="0.25">
      <c r="A17" s="1" t="s">
        <v>121</v>
      </c>
      <c r="B17" s="7">
        <v>0</v>
      </c>
    </row>
    <row r="18" spans="1:9" x14ac:dyDescent="0.25">
      <c r="A18" s="1" t="s">
        <v>122</v>
      </c>
      <c r="B18" s="7">
        <v>20608</v>
      </c>
    </row>
    <row r="19" spans="1:9" x14ac:dyDescent="0.25">
      <c r="A19" s="1" t="s">
        <v>123</v>
      </c>
      <c r="B19" s="7">
        <v>0</v>
      </c>
    </row>
    <row r="20" spans="1:9" x14ac:dyDescent="0.25">
      <c r="A20" s="1" t="s">
        <v>124</v>
      </c>
      <c r="B20" s="7">
        <v>0</v>
      </c>
    </row>
    <row r="21" spans="1:9" x14ac:dyDescent="0.25">
      <c r="A21" s="1" t="s">
        <v>125</v>
      </c>
      <c r="C21" s="5">
        <f>SUM(B16:B20)</f>
        <v>20738</v>
      </c>
    </row>
    <row r="22" spans="1:9" x14ac:dyDescent="0.25">
      <c r="A22" s="1" t="s">
        <v>126</v>
      </c>
      <c r="C22" s="7">
        <f>C6+C13+C21</f>
        <v>152908</v>
      </c>
    </row>
    <row r="24" spans="1:9" x14ac:dyDescent="0.25">
      <c r="D24" s="43">
        <f>C21/C4</f>
        <v>0.13562403536767206</v>
      </c>
      <c r="E24" s="1" t="s">
        <v>127</v>
      </c>
    </row>
    <row r="25" spans="1:9" x14ac:dyDescent="0.25">
      <c r="D25" s="185">
        <v>0.15</v>
      </c>
      <c r="E25" s="1" t="s">
        <v>128</v>
      </c>
    </row>
    <row r="26" spans="1:9" x14ac:dyDescent="0.25">
      <c r="D26" s="43">
        <v>0</v>
      </c>
      <c r="E26" s="1" t="s">
        <v>129</v>
      </c>
      <c r="G26" s="20"/>
    </row>
    <row r="27" spans="1:9" x14ac:dyDescent="0.25">
      <c r="D27" s="43"/>
      <c r="G27" s="20"/>
    </row>
    <row r="28" spans="1:9" x14ac:dyDescent="0.25">
      <c r="D28" s="43"/>
      <c r="G28" s="20"/>
    </row>
    <row r="29" spans="1:9" x14ac:dyDescent="0.25">
      <c r="A29" s="182"/>
      <c r="B29" s="186"/>
      <c r="C29" s="186"/>
      <c r="D29" s="184"/>
      <c r="E29" s="182"/>
      <c r="G29" s="20"/>
    </row>
    <row r="30" spans="1:9" x14ac:dyDescent="0.25">
      <c r="A30" s="182"/>
      <c r="B30" s="186"/>
      <c r="C30" s="186"/>
      <c r="D30" s="184"/>
      <c r="E30" s="182"/>
      <c r="G30" s="20"/>
    </row>
    <row r="31" spans="1:9" s="182" customFormat="1" x14ac:dyDescent="0.25">
      <c r="A31" s="182" t="s">
        <v>130</v>
      </c>
      <c r="B31" s="186"/>
      <c r="C31" s="186"/>
      <c r="I31" s="191"/>
    </row>
    <row r="32" spans="1:9" x14ac:dyDescent="0.25">
      <c r="A32" s="1" t="s">
        <v>131</v>
      </c>
      <c r="B32" s="183">
        <f>SAO!D16</f>
        <v>509414</v>
      </c>
      <c r="C32" s="177">
        <f>D26</f>
        <v>0</v>
      </c>
      <c r="D32" s="192">
        <f t="shared" ref="D32:D34" si="0">B32*C32</f>
        <v>0</v>
      </c>
      <c r="E32" s="182" t="s">
        <v>132</v>
      </c>
      <c r="F32" s="182"/>
      <c r="G32" s="182"/>
      <c r="H32" s="182"/>
      <c r="I32" s="191" t="s">
        <v>133</v>
      </c>
    </row>
    <row r="33" spans="1:9" x14ac:dyDescent="0.25">
      <c r="A33" s="1" t="str">
        <f>SAO!C17</f>
        <v>Purchased Power</v>
      </c>
      <c r="B33" s="183">
        <f>SAO!D17</f>
        <v>16889</v>
      </c>
      <c r="C33" s="177">
        <f>D26</f>
        <v>0</v>
      </c>
      <c r="D33" s="192">
        <f t="shared" si="0"/>
        <v>0</v>
      </c>
      <c r="E33" s="182" t="s">
        <v>134</v>
      </c>
      <c r="F33" s="182"/>
      <c r="G33" s="182"/>
      <c r="H33" s="182"/>
      <c r="I33" s="191" t="s">
        <v>133</v>
      </c>
    </row>
    <row r="34" spans="1:9" ht="17.25" x14ac:dyDescent="0.4">
      <c r="A34" s="1" t="str">
        <f>SAO!C18</f>
        <v>Chemicals</v>
      </c>
      <c r="B34" s="7">
        <f>SAO!D18</f>
        <v>0</v>
      </c>
      <c r="C34" s="178">
        <f>D26</f>
        <v>0</v>
      </c>
      <c r="D34" s="193">
        <f t="shared" si="0"/>
        <v>0</v>
      </c>
      <c r="E34" s="182" t="s">
        <v>135</v>
      </c>
      <c r="F34" s="182"/>
      <c r="G34" s="182"/>
      <c r="H34" s="182"/>
      <c r="I34" s="191" t="s">
        <v>133</v>
      </c>
    </row>
    <row r="35" spans="1:9" x14ac:dyDescent="0.25">
      <c r="A35" s="182" t="s">
        <v>136</v>
      </c>
      <c r="B35" s="186"/>
      <c r="C35" s="187"/>
      <c r="D35" s="188">
        <f>SUM(D32:D34)</f>
        <v>0</v>
      </c>
    </row>
    <row r="36" spans="1:9" x14ac:dyDescent="0.25">
      <c r="A36" s="182"/>
      <c r="B36" s="186"/>
      <c r="C36" s="187"/>
      <c r="D36" s="188"/>
    </row>
    <row r="37" spans="1:9" x14ac:dyDescent="0.25">
      <c r="C37" s="176"/>
      <c r="D37" s="179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U56"/>
  <sheetViews>
    <sheetView showGridLines="0" workbookViewId="0">
      <selection sqref="A1:XFD1048576"/>
    </sheetView>
  </sheetViews>
  <sheetFormatPr defaultColWidth="8.88671875" defaultRowHeight="18.75" customHeight="1" outlineLevelRow="1" x14ac:dyDescent="0.25"/>
  <cols>
    <col min="1" max="1" width="2.109375" style="217" customWidth="1"/>
    <col min="2" max="2" width="1.109375" style="217" customWidth="1"/>
    <col min="3" max="3" width="4.77734375" style="217" customWidth="1"/>
    <col min="4" max="4" width="6.77734375" style="217" customWidth="1"/>
    <col min="5" max="5" width="6.33203125" style="217" customWidth="1"/>
    <col min="6" max="6" width="7.33203125" style="217" customWidth="1"/>
    <col min="7" max="7" width="13.33203125" style="217" customWidth="1"/>
    <col min="8" max="8" width="1.21875" style="217" customWidth="1"/>
    <col min="9" max="9" width="4.77734375" style="217" customWidth="1"/>
    <col min="10" max="10" width="7" style="217" customWidth="1"/>
    <col min="11" max="11" width="6.33203125" style="217" customWidth="1"/>
    <col min="12" max="12" width="7.33203125" style="217" customWidth="1"/>
    <col min="13" max="13" width="13.33203125" style="217" customWidth="1"/>
    <col min="14" max="14" width="8.5546875" style="217" bestFit="1" customWidth="1"/>
    <col min="15" max="15" width="6.5546875" style="217" bestFit="1" customWidth="1"/>
    <col min="16" max="16" width="2.6640625" style="217" customWidth="1"/>
    <col min="17" max="207" width="9.6640625" style="217" customWidth="1"/>
    <col min="208" max="16384" width="8.88671875" style="217"/>
  </cols>
  <sheetData>
    <row r="2" spans="2:18" ht="6.75" customHeight="1" x14ac:dyDescent="0.3">
      <c r="B2" s="253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5"/>
    </row>
    <row r="3" spans="2:18" ht="18.75" customHeight="1" x14ac:dyDescent="0.3">
      <c r="B3" s="45"/>
      <c r="C3" s="248" t="s">
        <v>178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  <c r="O3" s="250"/>
    </row>
    <row r="4" spans="2:18" ht="16.5" customHeight="1" x14ac:dyDescent="0.3">
      <c r="B4" s="45"/>
      <c r="C4" s="248" t="s">
        <v>58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  <c r="O4" s="250"/>
      <c r="P4" s="33"/>
      <c r="Q4" s="33"/>
      <c r="R4" s="33"/>
    </row>
    <row r="5" spans="2:18" ht="8.25" customHeight="1" x14ac:dyDescent="0.25">
      <c r="B5" s="123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8"/>
    </row>
    <row r="6" spans="2:18" ht="4.5" customHeight="1" x14ac:dyDescent="0.25">
      <c r="B6" s="45"/>
      <c r="C6" s="1"/>
      <c r="D6" s="1"/>
      <c r="E6" s="1"/>
      <c r="F6" s="1"/>
      <c r="G6" s="219"/>
      <c r="H6" s="45"/>
      <c r="I6" s="1"/>
      <c r="J6" s="1"/>
      <c r="K6" s="1"/>
      <c r="L6" s="1"/>
      <c r="M6" s="219"/>
      <c r="N6" s="45"/>
      <c r="O6" s="219"/>
    </row>
    <row r="7" spans="2:18" ht="18.75" customHeight="1" x14ac:dyDescent="0.25">
      <c r="B7" s="45"/>
      <c r="C7" s="251" t="s">
        <v>179</v>
      </c>
      <c r="D7" s="251"/>
      <c r="E7" s="251"/>
      <c r="F7" s="251"/>
      <c r="G7" s="252"/>
      <c r="H7" s="1"/>
      <c r="I7" s="251" t="s">
        <v>180</v>
      </c>
      <c r="J7" s="251"/>
      <c r="K7" s="251"/>
      <c r="L7" s="251"/>
      <c r="M7" s="252"/>
      <c r="N7" s="221" t="s">
        <v>155</v>
      </c>
      <c r="O7" s="220" t="s">
        <v>181</v>
      </c>
    </row>
    <row r="8" spans="2:18" ht="7.5" customHeight="1" x14ac:dyDescent="0.25">
      <c r="B8" s="45"/>
      <c r="C8" s="1"/>
      <c r="D8" s="1"/>
      <c r="E8" s="1"/>
      <c r="F8" s="1"/>
      <c r="G8" s="219"/>
      <c r="H8" s="1"/>
      <c r="I8" s="1"/>
      <c r="J8" s="1"/>
      <c r="K8" s="1"/>
      <c r="L8" s="1"/>
      <c r="M8" s="219"/>
      <c r="N8" s="45"/>
      <c r="O8" s="219"/>
    </row>
    <row r="9" spans="2:18" ht="18.75" customHeight="1" x14ac:dyDescent="0.25">
      <c r="B9" s="45"/>
      <c r="C9" s="222" t="s">
        <v>182</v>
      </c>
      <c r="D9" s="1"/>
      <c r="E9" s="1"/>
      <c r="F9" s="1"/>
      <c r="G9" s="219"/>
      <c r="H9" s="1"/>
      <c r="I9" s="222" t="s">
        <v>182</v>
      </c>
      <c r="J9" s="1"/>
      <c r="K9" s="1"/>
      <c r="L9" s="1"/>
      <c r="M9" s="219"/>
      <c r="N9" s="45"/>
      <c r="O9" s="219"/>
    </row>
    <row r="10" spans="2:18" ht="18.75" customHeight="1" outlineLevel="1" x14ac:dyDescent="0.25">
      <c r="B10" s="45"/>
      <c r="C10" s="21" t="s">
        <v>183</v>
      </c>
      <c r="D10" s="196">
        <v>2000</v>
      </c>
      <c r="E10" s="1" t="s">
        <v>184</v>
      </c>
      <c r="F10" s="223">
        <f>ExBA!E31</f>
        <v>24.02</v>
      </c>
      <c r="G10" s="219" t="s">
        <v>185</v>
      </c>
      <c r="H10" s="1"/>
      <c r="I10" s="21" t="s">
        <v>183</v>
      </c>
      <c r="J10" s="196">
        <v>2000</v>
      </c>
      <c r="K10" s="1" t="s">
        <v>184</v>
      </c>
      <c r="L10" s="223">
        <f>PrBA!E31</f>
        <v>26.861459400978791</v>
      </c>
      <c r="M10" s="219" t="s">
        <v>185</v>
      </c>
      <c r="N10" s="224">
        <f>L10-F10</f>
        <v>2.8414594009787919</v>
      </c>
      <c r="O10" s="225">
        <f>N10/F10</f>
        <v>0.11829556207238934</v>
      </c>
      <c r="R10" s="226"/>
    </row>
    <row r="11" spans="2:18" ht="18.75" customHeight="1" outlineLevel="1" x14ac:dyDescent="0.25">
      <c r="B11" s="45"/>
      <c r="C11" s="21" t="s">
        <v>167</v>
      </c>
      <c r="D11" s="196">
        <v>8000</v>
      </c>
      <c r="E11" s="1" t="s">
        <v>184</v>
      </c>
      <c r="F11" s="227">
        <f>ExBA!E32</f>
        <v>8.35</v>
      </c>
      <c r="G11" s="219" t="s">
        <v>186</v>
      </c>
      <c r="H11" s="1"/>
      <c r="I11" s="21" t="s">
        <v>167</v>
      </c>
      <c r="J11" s="196">
        <f>D11</f>
        <v>8000</v>
      </c>
      <c r="K11" s="1" t="s">
        <v>184</v>
      </c>
      <c r="L11" s="234">
        <f>PrBA!E32</f>
        <v>9.3377679433044509</v>
      </c>
      <c r="M11" s="219" t="s">
        <v>186</v>
      </c>
      <c r="N11" s="224">
        <f t="shared" ref="N11:N14" si="0">L11-F11</f>
        <v>0.98776794330445128</v>
      </c>
      <c r="O11" s="225">
        <f t="shared" ref="O11:O14" si="1">N11/F11</f>
        <v>0.11829556207238938</v>
      </c>
      <c r="R11" s="228"/>
    </row>
    <row r="12" spans="2:18" ht="18.75" customHeight="1" outlineLevel="1" x14ac:dyDescent="0.25">
      <c r="B12" s="45"/>
      <c r="C12" s="21" t="s">
        <v>167</v>
      </c>
      <c r="D12" s="196">
        <v>40000</v>
      </c>
      <c r="E12" s="1" t="s">
        <v>184</v>
      </c>
      <c r="F12" s="227">
        <f>ExBA!E33</f>
        <v>8.06</v>
      </c>
      <c r="G12" s="219" t="s">
        <v>186</v>
      </c>
      <c r="H12" s="1"/>
      <c r="I12" s="21" t="s">
        <v>167</v>
      </c>
      <c r="J12" s="196">
        <f>D12</f>
        <v>40000</v>
      </c>
      <c r="K12" s="1" t="s">
        <v>184</v>
      </c>
      <c r="L12" s="234">
        <f>PrBA!E33</f>
        <v>9.0134622303034586</v>
      </c>
      <c r="M12" s="219" t="s">
        <v>186</v>
      </c>
      <c r="N12" s="224">
        <f t="shared" si="0"/>
        <v>0.95346223030345811</v>
      </c>
      <c r="O12" s="225">
        <f t="shared" si="1"/>
        <v>0.11829556207238934</v>
      </c>
      <c r="R12" s="228"/>
    </row>
    <row r="13" spans="2:18" ht="18.75" customHeight="1" outlineLevel="1" x14ac:dyDescent="0.25">
      <c r="B13" s="45"/>
      <c r="C13" s="21" t="s">
        <v>167</v>
      </c>
      <c r="D13" s="196">
        <v>50000</v>
      </c>
      <c r="E13" s="1" t="s">
        <v>184</v>
      </c>
      <c r="F13" s="227">
        <f>ExBA!E34</f>
        <v>7.76</v>
      </c>
      <c r="G13" s="219" t="s">
        <v>186</v>
      </c>
      <c r="H13" s="1"/>
      <c r="I13" s="21" t="s">
        <v>167</v>
      </c>
      <c r="J13" s="196">
        <f>D13</f>
        <v>50000</v>
      </c>
      <c r="K13" s="1" t="s">
        <v>184</v>
      </c>
      <c r="L13" s="234">
        <f>PrBA!E34</f>
        <v>8.6779735616817408</v>
      </c>
      <c r="M13" s="219" t="s">
        <v>186</v>
      </c>
      <c r="N13" s="224">
        <f t="shared" ref="N13" si="2">L13-F13</f>
        <v>0.91797356168174105</v>
      </c>
      <c r="O13" s="225">
        <f t="shared" ref="O13" si="3">N13/F13</f>
        <v>0.11829556207238931</v>
      </c>
      <c r="R13" s="228"/>
    </row>
    <row r="14" spans="2:18" ht="18.75" customHeight="1" outlineLevel="1" x14ac:dyDescent="0.25">
      <c r="B14" s="45"/>
      <c r="C14" s="21" t="s">
        <v>187</v>
      </c>
      <c r="D14" s="196">
        <v>100000</v>
      </c>
      <c r="E14" s="1" t="s">
        <v>184</v>
      </c>
      <c r="F14" s="227">
        <f>ExBA!E35</f>
        <v>7.47</v>
      </c>
      <c r="G14" s="219" t="s">
        <v>186</v>
      </c>
      <c r="H14" s="1"/>
      <c r="I14" s="21" t="s">
        <v>187</v>
      </c>
      <c r="J14" s="196">
        <f>D14</f>
        <v>100000</v>
      </c>
      <c r="K14" s="1" t="s">
        <v>184</v>
      </c>
      <c r="L14" s="234">
        <f>PrBA!E35</f>
        <v>8.3536678486807485</v>
      </c>
      <c r="M14" s="219" t="s">
        <v>186</v>
      </c>
      <c r="N14" s="224">
        <f t="shared" si="0"/>
        <v>0.88366784868074877</v>
      </c>
      <c r="O14" s="225">
        <f t="shared" si="1"/>
        <v>0.11829556207238939</v>
      </c>
      <c r="R14" s="228"/>
    </row>
    <row r="15" spans="2:18" ht="6.75" customHeight="1" outlineLevel="1" x14ac:dyDescent="0.25">
      <c r="B15" s="45"/>
      <c r="C15" s="196"/>
      <c r="D15" s="1"/>
      <c r="E15" s="1"/>
      <c r="F15" s="1"/>
      <c r="G15" s="219"/>
      <c r="H15" s="1"/>
      <c r="I15" s="196"/>
      <c r="J15" s="1"/>
      <c r="K15" s="1"/>
      <c r="L15" s="1"/>
      <c r="M15" s="219"/>
      <c r="N15" s="45"/>
      <c r="O15" s="219"/>
    </row>
    <row r="16" spans="2:18" ht="18.75" customHeight="1" outlineLevel="1" x14ac:dyDescent="0.25">
      <c r="B16" s="45"/>
      <c r="C16" s="222" t="s">
        <v>172</v>
      </c>
      <c r="D16" s="1"/>
      <c r="E16" s="1"/>
      <c r="F16" s="1"/>
      <c r="G16" s="219"/>
      <c r="H16" s="1"/>
      <c r="I16" s="222" t="s">
        <v>172</v>
      </c>
      <c r="J16" s="1"/>
      <c r="K16" s="1"/>
      <c r="L16" s="1"/>
      <c r="M16" s="219"/>
      <c r="N16" s="45"/>
      <c r="O16" s="219"/>
    </row>
    <row r="17" spans="2:18" ht="18.75" customHeight="1" outlineLevel="1" x14ac:dyDescent="0.25">
      <c r="B17" s="45"/>
      <c r="C17" s="21" t="s">
        <v>183</v>
      </c>
      <c r="D17" s="196">
        <v>2000</v>
      </c>
      <c r="E17" s="1" t="s">
        <v>184</v>
      </c>
      <c r="F17" s="223">
        <f>ExBA!E50</f>
        <v>45.43</v>
      </c>
      <c r="G17" s="219" t="s">
        <v>185</v>
      </c>
      <c r="H17" s="1"/>
      <c r="I17" s="21" t="s">
        <v>183</v>
      </c>
      <c r="J17" s="196">
        <v>2000</v>
      </c>
      <c r="K17" s="1" t="s">
        <v>184</v>
      </c>
      <c r="L17" s="223">
        <f>PrBA!E50</f>
        <v>50.804167384948649</v>
      </c>
      <c r="M17" s="219" t="s">
        <v>185</v>
      </c>
      <c r="N17" s="224">
        <f>L17-F17</f>
        <v>5.3741673849486489</v>
      </c>
      <c r="O17" s="225">
        <f>N17/F17</f>
        <v>0.11829556207238937</v>
      </c>
    </row>
    <row r="18" spans="2:18" ht="18.75" customHeight="1" outlineLevel="1" x14ac:dyDescent="0.25">
      <c r="B18" s="45"/>
      <c r="C18" s="21" t="s">
        <v>167</v>
      </c>
      <c r="D18" s="196">
        <v>8000</v>
      </c>
      <c r="E18" s="1" t="s">
        <v>184</v>
      </c>
      <c r="F18" s="227">
        <f>F11</f>
        <v>8.35</v>
      </c>
      <c r="G18" s="219" t="s">
        <v>186</v>
      </c>
      <c r="H18" s="1"/>
      <c r="I18" s="21" t="s">
        <v>167</v>
      </c>
      <c r="J18" s="196">
        <f>D18</f>
        <v>8000</v>
      </c>
      <c r="K18" s="1" t="s">
        <v>184</v>
      </c>
      <c r="L18" s="234">
        <f>PrBA!E51</f>
        <v>9.3377679433044509</v>
      </c>
      <c r="M18" s="219" t="s">
        <v>186</v>
      </c>
      <c r="N18" s="224">
        <f t="shared" ref="N18:N21" si="4">L18-F18</f>
        <v>0.98776794330445128</v>
      </c>
      <c r="O18" s="225">
        <f t="shared" ref="O18:O21" si="5">N18/F18</f>
        <v>0.11829556207238938</v>
      </c>
    </row>
    <row r="19" spans="2:18" ht="18.75" customHeight="1" outlineLevel="1" x14ac:dyDescent="0.25">
      <c r="B19" s="45"/>
      <c r="C19" s="21" t="s">
        <v>167</v>
      </c>
      <c r="D19" s="196">
        <v>40000</v>
      </c>
      <c r="E19" s="1" t="s">
        <v>184</v>
      </c>
      <c r="F19" s="227">
        <f>F12</f>
        <v>8.06</v>
      </c>
      <c r="G19" s="219" t="s">
        <v>186</v>
      </c>
      <c r="H19" s="1"/>
      <c r="I19" s="21" t="s">
        <v>167</v>
      </c>
      <c r="J19" s="196">
        <f>D19</f>
        <v>40000</v>
      </c>
      <c r="K19" s="1" t="s">
        <v>184</v>
      </c>
      <c r="L19" s="234">
        <f>PrBA!E52</f>
        <v>9.0134622303034586</v>
      </c>
      <c r="M19" s="219" t="s">
        <v>186</v>
      </c>
      <c r="N19" s="224">
        <f t="shared" si="4"/>
        <v>0.95346223030345811</v>
      </c>
      <c r="O19" s="225">
        <f t="shared" si="5"/>
        <v>0.11829556207238934</v>
      </c>
    </row>
    <row r="20" spans="2:18" ht="18.75" customHeight="1" outlineLevel="1" x14ac:dyDescent="0.25">
      <c r="B20" s="45"/>
      <c r="C20" s="21" t="s">
        <v>167</v>
      </c>
      <c r="D20" s="196">
        <v>50000</v>
      </c>
      <c r="E20" s="1" t="s">
        <v>184</v>
      </c>
      <c r="F20" s="227">
        <f>F13</f>
        <v>7.76</v>
      </c>
      <c r="G20" s="219" t="s">
        <v>186</v>
      </c>
      <c r="H20" s="1"/>
      <c r="I20" s="21" t="s">
        <v>167</v>
      </c>
      <c r="J20" s="196">
        <f>D20</f>
        <v>50000</v>
      </c>
      <c r="K20" s="1" t="s">
        <v>184</v>
      </c>
      <c r="L20" s="234">
        <f>PrBA!E53</f>
        <v>8.6779735616817408</v>
      </c>
      <c r="M20" s="219" t="s">
        <v>186</v>
      </c>
      <c r="N20" s="224">
        <f t="shared" si="4"/>
        <v>0.91797356168174105</v>
      </c>
      <c r="O20" s="225">
        <f t="shared" si="5"/>
        <v>0.11829556207238931</v>
      </c>
    </row>
    <row r="21" spans="2:18" ht="18.75" customHeight="1" outlineLevel="1" x14ac:dyDescent="0.25">
      <c r="B21" s="45"/>
      <c r="C21" s="21" t="s">
        <v>187</v>
      </c>
      <c r="D21" s="196">
        <v>100000</v>
      </c>
      <c r="E21" s="1" t="s">
        <v>184</v>
      </c>
      <c r="F21" s="227">
        <f>F14</f>
        <v>7.47</v>
      </c>
      <c r="G21" s="219" t="s">
        <v>186</v>
      </c>
      <c r="H21" s="1"/>
      <c r="I21" s="21" t="s">
        <v>187</v>
      </c>
      <c r="J21" s="196">
        <f>D21</f>
        <v>100000</v>
      </c>
      <c r="K21" s="1" t="s">
        <v>184</v>
      </c>
      <c r="L21" s="234">
        <f>PrBA!E54</f>
        <v>8.3536678486807485</v>
      </c>
      <c r="M21" s="219" t="s">
        <v>186</v>
      </c>
      <c r="N21" s="224">
        <f t="shared" si="4"/>
        <v>0.88366784868074877</v>
      </c>
      <c r="O21" s="225">
        <f t="shared" si="5"/>
        <v>0.11829556207238939</v>
      </c>
    </row>
    <row r="22" spans="2:18" ht="5.25" customHeight="1" outlineLevel="1" x14ac:dyDescent="0.25">
      <c r="B22" s="45"/>
      <c r="C22" s="196"/>
      <c r="D22" s="1"/>
      <c r="E22" s="1"/>
      <c r="F22" s="1"/>
      <c r="G22" s="219"/>
      <c r="H22" s="1"/>
      <c r="I22" s="196"/>
      <c r="J22" s="1"/>
      <c r="K22" s="1"/>
      <c r="L22" s="1"/>
      <c r="M22" s="219"/>
      <c r="N22" s="45"/>
      <c r="O22" s="219"/>
    </row>
    <row r="23" spans="2:18" ht="18.75" customHeight="1" outlineLevel="1" x14ac:dyDescent="0.25">
      <c r="B23" s="45"/>
      <c r="C23" s="222" t="s">
        <v>189</v>
      </c>
      <c r="D23" s="1"/>
      <c r="E23" s="1"/>
      <c r="F23" s="1"/>
      <c r="G23" s="219"/>
      <c r="H23" s="1"/>
      <c r="I23" s="222" t="str">
        <f>C23</f>
        <v>1 1/2" Meters</v>
      </c>
      <c r="J23" s="1"/>
      <c r="K23" s="1"/>
      <c r="L23" s="1"/>
      <c r="M23" s="219"/>
      <c r="N23" s="45"/>
      <c r="O23" s="219"/>
    </row>
    <row r="24" spans="2:18" ht="18.75" customHeight="1" x14ac:dyDescent="0.25">
      <c r="B24" s="45"/>
      <c r="C24" s="21" t="s">
        <v>183</v>
      </c>
      <c r="D24" s="196">
        <v>2000</v>
      </c>
      <c r="E24" s="1" t="s">
        <v>184</v>
      </c>
      <c r="F24" s="223">
        <f>ExBA!E69</f>
        <v>64.67</v>
      </c>
      <c r="G24" s="219" t="s">
        <v>185</v>
      </c>
      <c r="H24" s="1"/>
      <c r="I24" s="21" t="s">
        <v>183</v>
      </c>
      <c r="J24" s="196">
        <v>2000</v>
      </c>
      <c r="K24" s="1" t="s">
        <v>184</v>
      </c>
      <c r="L24" s="223">
        <f>PrBA!E69</f>
        <v>72.320173999221424</v>
      </c>
      <c r="M24" s="219" t="s">
        <v>185</v>
      </c>
      <c r="N24" s="224">
        <f>L24-F24</f>
        <v>7.6501739992214226</v>
      </c>
      <c r="O24" s="225">
        <f>N24/F24</f>
        <v>0.11829556207238939</v>
      </c>
      <c r="R24" s="228"/>
    </row>
    <row r="25" spans="2:18" ht="18.75" customHeight="1" x14ac:dyDescent="0.25">
      <c r="B25" s="45"/>
      <c r="C25" s="21" t="s">
        <v>167</v>
      </c>
      <c r="D25" s="196">
        <v>8000</v>
      </c>
      <c r="E25" s="1" t="s">
        <v>184</v>
      </c>
      <c r="F25" s="234">
        <f>ExBA!E70</f>
        <v>8.35</v>
      </c>
      <c r="G25" s="219" t="s">
        <v>186</v>
      </c>
      <c r="H25" s="1"/>
      <c r="I25" s="21" t="s">
        <v>167</v>
      </c>
      <c r="J25" s="196">
        <f>D25</f>
        <v>8000</v>
      </c>
      <c r="K25" s="1" t="s">
        <v>184</v>
      </c>
      <c r="L25" s="234">
        <f>PrBA!E70</f>
        <v>9.3377679433044509</v>
      </c>
      <c r="M25" s="219" t="s">
        <v>186</v>
      </c>
      <c r="N25" s="224">
        <f t="shared" ref="N25:N28" si="6">L25-F25</f>
        <v>0.98776794330445128</v>
      </c>
      <c r="O25" s="225">
        <f t="shared" ref="O25:O28" si="7">N25/F25</f>
        <v>0.11829556207238938</v>
      </c>
      <c r="R25" s="228"/>
    </row>
    <row r="26" spans="2:18" ht="18.75" customHeight="1" x14ac:dyDescent="0.25">
      <c r="B26" s="45"/>
      <c r="C26" s="21" t="s">
        <v>167</v>
      </c>
      <c r="D26" s="196">
        <v>40000</v>
      </c>
      <c r="E26" s="1" t="s">
        <v>184</v>
      </c>
      <c r="F26" s="234">
        <f>ExBA!E71</f>
        <v>8.06</v>
      </c>
      <c r="G26" s="219" t="s">
        <v>186</v>
      </c>
      <c r="H26" s="1"/>
      <c r="I26" s="21" t="s">
        <v>167</v>
      </c>
      <c r="J26" s="196">
        <f>D26</f>
        <v>40000</v>
      </c>
      <c r="K26" s="1" t="s">
        <v>184</v>
      </c>
      <c r="L26" s="234">
        <f>PrBA!E71</f>
        <v>9.0134622303034586</v>
      </c>
      <c r="M26" s="219" t="s">
        <v>186</v>
      </c>
      <c r="N26" s="224">
        <f t="shared" si="6"/>
        <v>0.95346223030345811</v>
      </c>
      <c r="O26" s="225">
        <f t="shared" si="7"/>
        <v>0.11829556207238934</v>
      </c>
      <c r="R26" s="228"/>
    </row>
    <row r="27" spans="2:18" ht="18.75" customHeight="1" x14ac:dyDescent="0.25">
      <c r="B27" s="45"/>
      <c r="C27" s="21" t="s">
        <v>167</v>
      </c>
      <c r="D27" s="196">
        <v>50000</v>
      </c>
      <c r="E27" s="1" t="s">
        <v>184</v>
      </c>
      <c r="F27" s="234">
        <f>ExBA!E72</f>
        <v>7.76</v>
      </c>
      <c r="G27" s="219" t="s">
        <v>186</v>
      </c>
      <c r="H27" s="1"/>
      <c r="I27" s="21" t="s">
        <v>167</v>
      </c>
      <c r="J27" s="196">
        <f>D27</f>
        <v>50000</v>
      </c>
      <c r="K27" s="1" t="s">
        <v>184</v>
      </c>
      <c r="L27" s="234">
        <f>PrBA!E72</f>
        <v>8.6779735616817408</v>
      </c>
      <c r="M27" s="219" t="s">
        <v>186</v>
      </c>
      <c r="N27" s="224">
        <f t="shared" si="6"/>
        <v>0.91797356168174105</v>
      </c>
      <c r="O27" s="225">
        <f t="shared" si="7"/>
        <v>0.11829556207238931</v>
      </c>
    </row>
    <row r="28" spans="2:18" ht="18.75" customHeight="1" x14ac:dyDescent="0.25">
      <c r="B28" s="45"/>
      <c r="C28" s="21" t="s">
        <v>187</v>
      </c>
      <c r="D28" s="196">
        <v>100000</v>
      </c>
      <c r="E28" s="1" t="s">
        <v>184</v>
      </c>
      <c r="F28" s="234">
        <f>ExBA!E73</f>
        <v>7.47</v>
      </c>
      <c r="G28" s="219" t="s">
        <v>186</v>
      </c>
      <c r="H28" s="1"/>
      <c r="I28" s="21" t="s">
        <v>187</v>
      </c>
      <c r="J28" s="196">
        <f>D28</f>
        <v>100000</v>
      </c>
      <c r="K28" s="1" t="s">
        <v>184</v>
      </c>
      <c r="L28" s="234">
        <f>PrBA!E73</f>
        <v>8.3536678486807485</v>
      </c>
      <c r="M28" s="219" t="s">
        <v>186</v>
      </c>
      <c r="N28" s="224">
        <f t="shared" si="6"/>
        <v>0.88366784868074877</v>
      </c>
      <c r="O28" s="225">
        <f t="shared" si="7"/>
        <v>0.11829556207238939</v>
      </c>
    </row>
    <row r="29" spans="2:18" ht="5.25" customHeight="1" x14ac:dyDescent="0.25">
      <c r="B29" s="45"/>
      <c r="C29" s="21"/>
      <c r="D29" s="196"/>
      <c r="E29" s="1"/>
      <c r="F29" s="223"/>
      <c r="G29" s="219"/>
      <c r="H29" s="1"/>
      <c r="I29" s="21"/>
      <c r="J29" s="196"/>
      <c r="K29" s="1"/>
      <c r="L29" s="223"/>
      <c r="M29" s="219"/>
      <c r="N29" s="224"/>
      <c r="O29" s="225"/>
    </row>
    <row r="30" spans="2:18" ht="18.75" customHeight="1" x14ac:dyDescent="0.25">
      <c r="B30" s="45"/>
      <c r="C30" s="222" t="s">
        <v>188</v>
      </c>
      <c r="D30" s="1"/>
      <c r="E30" s="1"/>
      <c r="F30" s="1"/>
      <c r="G30" s="219"/>
      <c r="H30" s="1"/>
      <c r="I30" s="222" t="str">
        <f>C30</f>
        <v>2" Meters</v>
      </c>
      <c r="J30" s="1"/>
      <c r="K30" s="1"/>
      <c r="L30" s="1"/>
      <c r="M30" s="219"/>
      <c r="N30" s="45"/>
      <c r="O30" s="219"/>
    </row>
    <row r="31" spans="2:18" ht="18.75" customHeight="1" x14ac:dyDescent="0.25">
      <c r="B31" s="45"/>
      <c r="C31" s="21" t="s">
        <v>183</v>
      </c>
      <c r="D31" s="196">
        <v>2000</v>
      </c>
      <c r="E31" s="1" t="s">
        <v>184</v>
      </c>
      <c r="F31" s="223">
        <f>ExBA!E88</f>
        <v>99.48</v>
      </c>
      <c r="G31" s="219" t="s">
        <v>185</v>
      </c>
      <c r="H31" s="1"/>
      <c r="I31" s="21" t="s">
        <v>183</v>
      </c>
      <c r="J31" s="196">
        <v>2000</v>
      </c>
      <c r="K31" s="1" t="s">
        <v>184</v>
      </c>
      <c r="L31" s="223">
        <f>PrBA!E88</f>
        <v>111.2480425149613</v>
      </c>
      <c r="M31" s="219" t="s">
        <v>185</v>
      </c>
      <c r="N31" s="224">
        <f>L31-F31</f>
        <v>11.768042514961294</v>
      </c>
      <c r="O31" s="225">
        <f>N31/F31</f>
        <v>0.11829556207238937</v>
      </c>
    </row>
    <row r="32" spans="2:18" ht="18.75" customHeight="1" x14ac:dyDescent="0.25">
      <c r="B32" s="45"/>
      <c r="C32" s="21" t="s">
        <v>167</v>
      </c>
      <c r="D32" s="196">
        <v>8000</v>
      </c>
      <c r="E32" s="1" t="s">
        <v>184</v>
      </c>
      <c r="F32" s="234">
        <f>ExBA!E89</f>
        <v>8.35</v>
      </c>
      <c r="G32" s="219" t="s">
        <v>186</v>
      </c>
      <c r="H32" s="1"/>
      <c r="I32" s="21" t="s">
        <v>167</v>
      </c>
      <c r="J32" s="196">
        <f>D32</f>
        <v>8000</v>
      </c>
      <c r="K32" s="1" t="s">
        <v>184</v>
      </c>
      <c r="L32" s="234">
        <f>PrBA!E89</f>
        <v>9.3377679433044509</v>
      </c>
      <c r="M32" s="219" t="s">
        <v>186</v>
      </c>
      <c r="N32" s="224">
        <f t="shared" ref="N32:N35" si="8">L32-F32</f>
        <v>0.98776794330445128</v>
      </c>
      <c r="O32" s="225">
        <f t="shared" ref="O32:O35" si="9">N32/F32</f>
        <v>0.11829556207238938</v>
      </c>
    </row>
    <row r="33" spans="2:15" ht="18.75" customHeight="1" x14ac:dyDescent="0.25">
      <c r="B33" s="45"/>
      <c r="C33" s="21" t="s">
        <v>167</v>
      </c>
      <c r="D33" s="196">
        <v>40000</v>
      </c>
      <c r="E33" s="1" t="s">
        <v>184</v>
      </c>
      <c r="F33" s="234">
        <f>ExBA!E90</f>
        <v>8.06</v>
      </c>
      <c r="G33" s="219" t="s">
        <v>186</v>
      </c>
      <c r="H33" s="1"/>
      <c r="I33" s="21" t="s">
        <v>167</v>
      </c>
      <c r="J33" s="196">
        <f>D33</f>
        <v>40000</v>
      </c>
      <c r="K33" s="1" t="s">
        <v>184</v>
      </c>
      <c r="L33" s="234">
        <f>PrBA!E90</f>
        <v>9.0134622303034586</v>
      </c>
      <c r="M33" s="219" t="s">
        <v>186</v>
      </c>
      <c r="N33" s="224">
        <f t="shared" si="8"/>
        <v>0.95346223030345811</v>
      </c>
      <c r="O33" s="225">
        <f t="shared" si="9"/>
        <v>0.11829556207238934</v>
      </c>
    </row>
    <row r="34" spans="2:15" ht="18.75" customHeight="1" x14ac:dyDescent="0.25">
      <c r="B34" s="45"/>
      <c r="C34" s="21" t="s">
        <v>167</v>
      </c>
      <c r="D34" s="196">
        <v>50000</v>
      </c>
      <c r="E34" s="1" t="s">
        <v>184</v>
      </c>
      <c r="F34" s="234">
        <f>ExBA!E91</f>
        <v>7.76</v>
      </c>
      <c r="G34" s="219" t="s">
        <v>186</v>
      </c>
      <c r="H34" s="1"/>
      <c r="I34" s="21" t="s">
        <v>167</v>
      </c>
      <c r="J34" s="196">
        <f>D34</f>
        <v>50000</v>
      </c>
      <c r="K34" s="1" t="s">
        <v>184</v>
      </c>
      <c r="L34" s="234">
        <f>PrBA!E91</f>
        <v>8.6779735616817408</v>
      </c>
      <c r="M34" s="219" t="s">
        <v>186</v>
      </c>
      <c r="N34" s="224">
        <f t="shared" si="8"/>
        <v>0.91797356168174105</v>
      </c>
      <c r="O34" s="225">
        <f t="shared" si="9"/>
        <v>0.11829556207238931</v>
      </c>
    </row>
    <row r="35" spans="2:15" ht="18.75" customHeight="1" x14ac:dyDescent="0.25">
      <c r="B35" s="45"/>
      <c r="C35" s="21" t="s">
        <v>187</v>
      </c>
      <c r="D35" s="196">
        <v>100000</v>
      </c>
      <c r="E35" s="1" t="s">
        <v>184</v>
      </c>
      <c r="F35" s="234">
        <f>ExBA!E92</f>
        <v>7.47</v>
      </c>
      <c r="G35" s="219" t="s">
        <v>186</v>
      </c>
      <c r="H35" s="1"/>
      <c r="I35" s="21" t="s">
        <v>187</v>
      </c>
      <c r="J35" s="196">
        <f>D35</f>
        <v>100000</v>
      </c>
      <c r="K35" s="1" t="s">
        <v>184</v>
      </c>
      <c r="L35" s="234">
        <f>PrBA!E92</f>
        <v>8.3536678486807485</v>
      </c>
      <c r="M35" s="219" t="s">
        <v>186</v>
      </c>
      <c r="N35" s="224">
        <f t="shared" si="8"/>
        <v>0.88366784868074877</v>
      </c>
      <c r="O35" s="225">
        <f t="shared" si="9"/>
        <v>0.11829556207238939</v>
      </c>
    </row>
    <row r="36" spans="2:15" ht="6" customHeight="1" x14ac:dyDescent="0.25">
      <c r="B36" s="45"/>
      <c r="C36" s="21"/>
      <c r="D36" s="196"/>
      <c r="E36" s="1"/>
      <c r="F36" s="227"/>
      <c r="G36" s="219"/>
      <c r="H36" s="1"/>
      <c r="I36" s="21"/>
      <c r="J36" s="196"/>
      <c r="K36" s="1"/>
      <c r="L36" s="227"/>
      <c r="M36" s="219"/>
      <c r="N36" s="224"/>
      <c r="O36" s="225"/>
    </row>
    <row r="37" spans="2:15" ht="18.75" customHeight="1" x14ac:dyDescent="0.25">
      <c r="B37" s="45"/>
      <c r="C37" s="222" t="s">
        <v>190</v>
      </c>
      <c r="D37" s="1"/>
      <c r="E37" s="1"/>
      <c r="F37" s="1"/>
      <c r="G37" s="219"/>
      <c r="H37" s="1"/>
      <c r="I37" s="222" t="str">
        <f>C37</f>
        <v>3" Meters</v>
      </c>
      <c r="J37" s="1"/>
      <c r="K37" s="1"/>
      <c r="L37" s="1"/>
      <c r="M37" s="219"/>
      <c r="N37" s="45"/>
      <c r="O37" s="219"/>
    </row>
    <row r="38" spans="2:15" ht="18.75" customHeight="1" x14ac:dyDescent="0.25">
      <c r="B38" s="45"/>
      <c r="C38" s="21" t="s">
        <v>183</v>
      </c>
      <c r="D38" s="196">
        <v>2000</v>
      </c>
      <c r="E38" s="1" t="s">
        <v>184</v>
      </c>
      <c r="F38" s="223">
        <f>ExBA!E107</f>
        <v>133.82</v>
      </c>
      <c r="G38" s="219" t="s">
        <v>185</v>
      </c>
      <c r="H38" s="1"/>
      <c r="I38" s="21" t="s">
        <v>183</v>
      </c>
      <c r="J38" s="196">
        <v>2000</v>
      </c>
      <c r="K38" s="1" t="s">
        <v>184</v>
      </c>
      <c r="L38" s="223">
        <f>PrBA!E107</f>
        <v>149.65031211652715</v>
      </c>
      <c r="M38" s="219" t="s">
        <v>185</v>
      </c>
      <c r="N38" s="224">
        <f>L38-F38</f>
        <v>15.830312116527153</v>
      </c>
      <c r="O38" s="225">
        <f>N38/F38</f>
        <v>0.11829556207238943</v>
      </c>
    </row>
    <row r="39" spans="2:15" ht="18.75" customHeight="1" x14ac:dyDescent="0.25">
      <c r="B39" s="45"/>
      <c r="C39" s="21" t="s">
        <v>167</v>
      </c>
      <c r="D39" s="196">
        <v>8000</v>
      </c>
      <c r="E39" s="1" t="s">
        <v>184</v>
      </c>
      <c r="F39" s="234">
        <f>ExBA!E108</f>
        <v>8.35</v>
      </c>
      <c r="G39" s="219" t="s">
        <v>186</v>
      </c>
      <c r="H39" s="1"/>
      <c r="I39" s="21" t="s">
        <v>167</v>
      </c>
      <c r="J39" s="196">
        <f>D39</f>
        <v>8000</v>
      </c>
      <c r="K39" s="1" t="s">
        <v>184</v>
      </c>
      <c r="L39" s="234">
        <f>PrBA!E108</f>
        <v>9.3377679433044509</v>
      </c>
      <c r="M39" s="219" t="s">
        <v>186</v>
      </c>
      <c r="N39" s="224">
        <f t="shared" ref="N39:N42" si="10">L39-F39</f>
        <v>0.98776794330445128</v>
      </c>
      <c r="O39" s="225">
        <f t="shared" ref="O39:O42" si="11">N39/F39</f>
        <v>0.11829556207238938</v>
      </c>
    </row>
    <row r="40" spans="2:15" ht="18.75" customHeight="1" x14ac:dyDescent="0.25">
      <c r="B40" s="45"/>
      <c r="C40" s="21" t="s">
        <v>167</v>
      </c>
      <c r="D40" s="196">
        <v>40000</v>
      </c>
      <c r="E40" s="1" t="s">
        <v>184</v>
      </c>
      <c r="F40" s="234">
        <f>ExBA!E109</f>
        <v>8.06</v>
      </c>
      <c r="G40" s="219" t="s">
        <v>186</v>
      </c>
      <c r="H40" s="1"/>
      <c r="I40" s="21" t="s">
        <v>167</v>
      </c>
      <c r="J40" s="196">
        <f>D40</f>
        <v>40000</v>
      </c>
      <c r="K40" s="1" t="s">
        <v>184</v>
      </c>
      <c r="L40" s="234">
        <f>PrBA!E109</f>
        <v>9.0134622303034586</v>
      </c>
      <c r="M40" s="219" t="s">
        <v>186</v>
      </c>
      <c r="N40" s="224">
        <f t="shared" si="10"/>
        <v>0.95346223030345811</v>
      </c>
      <c r="O40" s="225">
        <f t="shared" si="11"/>
        <v>0.11829556207238934</v>
      </c>
    </row>
    <row r="41" spans="2:15" ht="18.75" customHeight="1" x14ac:dyDescent="0.25">
      <c r="B41" s="45"/>
      <c r="C41" s="21" t="s">
        <v>167</v>
      </c>
      <c r="D41" s="196">
        <v>50000</v>
      </c>
      <c r="E41" s="1" t="s">
        <v>184</v>
      </c>
      <c r="F41" s="234">
        <f>ExBA!E110</f>
        <v>7.76</v>
      </c>
      <c r="G41" s="219" t="s">
        <v>186</v>
      </c>
      <c r="H41" s="1"/>
      <c r="I41" s="21" t="s">
        <v>167</v>
      </c>
      <c r="J41" s="196">
        <f>D41</f>
        <v>50000</v>
      </c>
      <c r="K41" s="1" t="s">
        <v>184</v>
      </c>
      <c r="L41" s="234">
        <f>PrBA!E110</f>
        <v>8.6779735616817408</v>
      </c>
      <c r="M41" s="219" t="s">
        <v>186</v>
      </c>
      <c r="N41" s="224">
        <f t="shared" si="10"/>
        <v>0.91797356168174105</v>
      </c>
      <c r="O41" s="225">
        <f t="shared" si="11"/>
        <v>0.11829556207238931</v>
      </c>
    </row>
    <row r="42" spans="2:15" ht="18.75" customHeight="1" x14ac:dyDescent="0.25">
      <c r="B42" s="45"/>
      <c r="C42" s="21" t="s">
        <v>187</v>
      </c>
      <c r="D42" s="196">
        <v>100000</v>
      </c>
      <c r="E42" s="1" t="s">
        <v>184</v>
      </c>
      <c r="F42" s="234">
        <f>ExBA!E111</f>
        <v>7.47</v>
      </c>
      <c r="G42" s="219" t="s">
        <v>186</v>
      </c>
      <c r="H42" s="1"/>
      <c r="I42" s="21" t="s">
        <v>187</v>
      </c>
      <c r="J42" s="196">
        <f>D42</f>
        <v>100000</v>
      </c>
      <c r="K42" s="1" t="s">
        <v>184</v>
      </c>
      <c r="L42" s="234">
        <f>PrBA!E111</f>
        <v>8.3536678486807485</v>
      </c>
      <c r="M42" s="219" t="s">
        <v>186</v>
      </c>
      <c r="N42" s="224">
        <f t="shared" si="10"/>
        <v>0.88366784868074877</v>
      </c>
      <c r="O42" s="225">
        <f t="shared" si="11"/>
        <v>0.11829556207238939</v>
      </c>
    </row>
    <row r="43" spans="2:15" ht="6" customHeight="1" x14ac:dyDescent="0.25">
      <c r="B43" s="45"/>
      <c r="C43" s="21"/>
      <c r="D43" s="196"/>
      <c r="E43" s="1"/>
      <c r="F43" s="227"/>
      <c r="G43" s="219"/>
      <c r="H43" s="1"/>
      <c r="I43" s="21"/>
      <c r="J43" s="196"/>
      <c r="K43" s="1"/>
      <c r="L43" s="227"/>
      <c r="M43" s="219"/>
      <c r="N43" s="224"/>
      <c r="O43" s="225"/>
    </row>
    <row r="44" spans="2:15" ht="18.75" customHeight="1" x14ac:dyDescent="0.25">
      <c r="B44" s="45"/>
      <c r="C44" s="222" t="s">
        <v>191</v>
      </c>
      <c r="D44" s="1"/>
      <c r="E44" s="1"/>
      <c r="F44" s="1"/>
      <c r="G44" s="219"/>
      <c r="H44" s="1"/>
      <c r="I44" s="222" t="str">
        <f>C44</f>
        <v>4" Meters</v>
      </c>
      <c r="J44" s="1"/>
      <c r="K44" s="1"/>
      <c r="L44" s="1"/>
      <c r="M44" s="219"/>
      <c r="N44" s="45"/>
      <c r="O44" s="219"/>
    </row>
    <row r="45" spans="2:15" ht="18.75" customHeight="1" x14ac:dyDescent="0.25">
      <c r="B45" s="45"/>
      <c r="C45" s="21" t="s">
        <v>183</v>
      </c>
      <c r="D45" s="196">
        <v>2000</v>
      </c>
      <c r="E45" s="1" t="s">
        <v>184</v>
      </c>
      <c r="F45" s="223">
        <f>ExBA!E126</f>
        <v>173.09</v>
      </c>
      <c r="G45" s="219" t="s">
        <v>185</v>
      </c>
      <c r="H45" s="1"/>
      <c r="I45" s="21" t="s">
        <v>183</v>
      </c>
      <c r="J45" s="196">
        <v>2000</v>
      </c>
      <c r="K45" s="1" t="s">
        <v>184</v>
      </c>
      <c r="L45" s="223">
        <f>PrBA!E126</f>
        <v>193.56577883910987</v>
      </c>
      <c r="M45" s="219" t="s">
        <v>185</v>
      </c>
      <c r="N45" s="224">
        <f>L45-F45</f>
        <v>20.475778839109864</v>
      </c>
      <c r="O45" s="225">
        <f>N45/F45</f>
        <v>0.1182955620723893</v>
      </c>
    </row>
    <row r="46" spans="2:15" ht="18.75" customHeight="1" x14ac:dyDescent="0.25">
      <c r="B46" s="45"/>
      <c r="C46" s="21" t="s">
        <v>167</v>
      </c>
      <c r="D46" s="196">
        <v>8000</v>
      </c>
      <c r="E46" s="1" t="s">
        <v>184</v>
      </c>
      <c r="F46" s="234">
        <f>ExBA!E127</f>
        <v>8.35</v>
      </c>
      <c r="G46" s="219" t="s">
        <v>186</v>
      </c>
      <c r="H46" s="1"/>
      <c r="I46" s="21" t="s">
        <v>167</v>
      </c>
      <c r="J46" s="196">
        <f>D46</f>
        <v>8000</v>
      </c>
      <c r="K46" s="1" t="s">
        <v>184</v>
      </c>
      <c r="L46" s="234">
        <f>PrBA!E127</f>
        <v>9.3377679433044509</v>
      </c>
      <c r="M46" s="219" t="s">
        <v>186</v>
      </c>
      <c r="N46" s="224">
        <f t="shared" ref="N46:N49" si="12">L46-F46</f>
        <v>0.98776794330445128</v>
      </c>
      <c r="O46" s="225">
        <f t="shared" ref="O46:O49" si="13">N46/F46</f>
        <v>0.11829556207238938</v>
      </c>
    </row>
    <row r="47" spans="2:15" ht="18.75" customHeight="1" x14ac:dyDescent="0.25">
      <c r="B47" s="45"/>
      <c r="C47" s="21" t="s">
        <v>167</v>
      </c>
      <c r="D47" s="196">
        <v>40000</v>
      </c>
      <c r="E47" s="1" t="s">
        <v>184</v>
      </c>
      <c r="F47" s="234">
        <f>ExBA!E128</f>
        <v>8.06</v>
      </c>
      <c r="G47" s="219" t="s">
        <v>186</v>
      </c>
      <c r="H47" s="1"/>
      <c r="I47" s="21" t="s">
        <v>167</v>
      </c>
      <c r="J47" s="196">
        <f>D47</f>
        <v>40000</v>
      </c>
      <c r="K47" s="1" t="s">
        <v>184</v>
      </c>
      <c r="L47" s="234">
        <f>PrBA!E128</f>
        <v>9.0134622303034586</v>
      </c>
      <c r="M47" s="219" t="s">
        <v>186</v>
      </c>
      <c r="N47" s="224">
        <f t="shared" si="12"/>
        <v>0.95346223030345811</v>
      </c>
      <c r="O47" s="225">
        <f t="shared" si="13"/>
        <v>0.11829556207238934</v>
      </c>
    </row>
    <row r="48" spans="2:15" ht="18.75" customHeight="1" x14ac:dyDescent="0.25">
      <c r="B48" s="45"/>
      <c r="C48" s="21" t="s">
        <v>167</v>
      </c>
      <c r="D48" s="196">
        <v>50000</v>
      </c>
      <c r="E48" s="1" t="s">
        <v>184</v>
      </c>
      <c r="F48" s="234">
        <f>ExBA!E129</f>
        <v>7.76</v>
      </c>
      <c r="G48" s="219" t="s">
        <v>186</v>
      </c>
      <c r="H48" s="1"/>
      <c r="I48" s="21" t="s">
        <v>167</v>
      </c>
      <c r="J48" s="196">
        <f>D48</f>
        <v>50000</v>
      </c>
      <c r="K48" s="1" t="s">
        <v>184</v>
      </c>
      <c r="L48" s="234">
        <f>PrBA!E129</f>
        <v>8.6779735616817408</v>
      </c>
      <c r="M48" s="219" t="s">
        <v>186</v>
      </c>
      <c r="N48" s="224">
        <f t="shared" si="12"/>
        <v>0.91797356168174105</v>
      </c>
      <c r="O48" s="225">
        <f t="shared" si="13"/>
        <v>0.11829556207238931</v>
      </c>
    </row>
    <row r="49" spans="2:21" ht="18.75" customHeight="1" x14ac:dyDescent="0.25">
      <c r="B49" s="45"/>
      <c r="C49" s="21" t="s">
        <v>187</v>
      </c>
      <c r="D49" s="196">
        <v>100000</v>
      </c>
      <c r="E49" s="1" t="s">
        <v>184</v>
      </c>
      <c r="F49" s="234">
        <f>ExBA!E130</f>
        <v>7.47</v>
      </c>
      <c r="G49" s="219" t="s">
        <v>186</v>
      </c>
      <c r="H49" s="1"/>
      <c r="I49" s="21" t="s">
        <v>187</v>
      </c>
      <c r="J49" s="196">
        <f>D49</f>
        <v>100000</v>
      </c>
      <c r="K49" s="1" t="s">
        <v>184</v>
      </c>
      <c r="L49" s="234">
        <f>PrBA!E130</f>
        <v>8.3536678486807485</v>
      </c>
      <c r="M49" s="219" t="s">
        <v>186</v>
      </c>
      <c r="N49" s="224">
        <f t="shared" si="12"/>
        <v>0.88366784868074877</v>
      </c>
      <c r="O49" s="225">
        <f t="shared" si="13"/>
        <v>0.11829556207238939</v>
      </c>
      <c r="P49" s="226"/>
      <c r="R49" s="226"/>
    </row>
    <row r="50" spans="2:21" ht="3.75" customHeight="1" x14ac:dyDescent="0.25">
      <c r="B50" s="123"/>
      <c r="C50" s="198"/>
      <c r="D50" s="212"/>
      <c r="E50" s="212"/>
      <c r="F50" s="212"/>
      <c r="G50" s="218"/>
      <c r="H50" s="212"/>
      <c r="I50" s="212"/>
      <c r="J50" s="212"/>
      <c r="K50" s="212"/>
      <c r="L50" s="212"/>
      <c r="M50" s="218"/>
      <c r="N50" s="123"/>
      <c r="O50" s="218"/>
    </row>
    <row r="51" spans="2:21" ht="18.75" customHeight="1" x14ac:dyDescent="0.25">
      <c r="C51" s="229"/>
    </row>
    <row r="52" spans="2:21" ht="18.75" customHeight="1" x14ac:dyDescent="0.25">
      <c r="C52" s="229"/>
      <c r="Q52" s="1"/>
      <c r="R52" s="1"/>
      <c r="S52" s="230"/>
      <c r="T52" s="230"/>
      <c r="U52" s="230"/>
    </row>
    <row r="53" spans="2:21" ht="18.75" customHeight="1" x14ac:dyDescent="0.25">
      <c r="C53" s="229"/>
      <c r="Q53" s="231"/>
      <c r="R53" s="1"/>
      <c r="S53" s="160"/>
      <c r="T53" s="160"/>
      <c r="U53" s="232"/>
    </row>
    <row r="54" spans="2:21" ht="18.75" customHeight="1" x14ac:dyDescent="0.25">
      <c r="C54" s="229"/>
      <c r="Q54" s="231"/>
      <c r="R54" s="1"/>
      <c r="S54" s="233"/>
      <c r="T54" s="233"/>
      <c r="U54" s="232"/>
    </row>
    <row r="55" spans="2:21" ht="18.75" customHeight="1" x14ac:dyDescent="0.25">
      <c r="C55" s="229"/>
      <c r="Q55" s="231"/>
      <c r="R55" s="1"/>
      <c r="S55" s="233"/>
      <c r="T55" s="233"/>
      <c r="U55" s="232"/>
    </row>
    <row r="56" spans="2:21" ht="18.75" customHeight="1" x14ac:dyDescent="0.25">
      <c r="P56" s="229"/>
      <c r="Q56" s="231"/>
      <c r="R56" s="1"/>
      <c r="S56" s="233"/>
      <c r="T56" s="233"/>
      <c r="U56" s="232"/>
    </row>
  </sheetData>
  <mergeCells count="5">
    <mergeCell ref="C3:O3"/>
    <mergeCell ref="C4:O4"/>
    <mergeCell ref="C7:G7"/>
    <mergeCell ref="I7:M7"/>
    <mergeCell ref="B2:O2"/>
  </mergeCells>
  <printOptions horizontalCentered="1"/>
  <pageMargins left="0.55000000000000004" right="0.55000000000000004" top="1.6" bottom="0.5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16"/>
  <sheetViews>
    <sheetView showGridLines="0" workbookViewId="0">
      <selection activeCell="F9" sqref="F9"/>
    </sheetView>
  </sheetViews>
  <sheetFormatPr defaultColWidth="8.88671875" defaultRowHeight="15" x14ac:dyDescent="0.25"/>
  <cols>
    <col min="1" max="1" width="9" style="7" customWidth="1"/>
    <col min="2" max="2" width="1.88671875" style="7" customWidth="1"/>
    <col min="3" max="8" width="9.88671875" style="7" customWidth="1"/>
    <col min="9" max="9" width="1.88671875" style="7" customWidth="1"/>
    <col min="10" max="16384" width="8.88671875" style="7"/>
  </cols>
  <sheetData>
    <row r="1" spans="2:11" x14ac:dyDescent="0.25">
      <c r="B1" s="8"/>
      <c r="C1" s="9"/>
      <c r="D1" s="9"/>
      <c r="E1" s="9"/>
      <c r="F1" s="9"/>
      <c r="G1" s="9"/>
      <c r="H1" s="9"/>
      <c r="I1" s="10"/>
    </row>
    <row r="2" spans="2:11" ht="18.75" x14ac:dyDescent="0.3">
      <c r="B2" s="11"/>
      <c r="C2" s="256" t="s">
        <v>138</v>
      </c>
      <c r="D2" s="256"/>
      <c r="E2" s="256"/>
      <c r="F2" s="256"/>
      <c r="G2" s="256"/>
      <c r="H2" s="256"/>
      <c r="I2" s="257"/>
    </row>
    <row r="3" spans="2:11" ht="15.75" x14ac:dyDescent="0.25">
      <c r="B3" s="11"/>
      <c r="C3" s="246" t="s">
        <v>192</v>
      </c>
      <c r="D3" s="246"/>
      <c r="E3" s="246"/>
      <c r="F3" s="246"/>
      <c r="G3" s="246"/>
      <c r="H3" s="246"/>
      <c r="I3" s="258"/>
    </row>
    <row r="4" spans="2:11" x14ac:dyDescent="0.25">
      <c r="B4" s="13"/>
      <c r="C4" s="5"/>
      <c r="D4" s="5"/>
      <c r="E4" s="5"/>
      <c r="F4" s="5"/>
      <c r="G4" s="5"/>
      <c r="H4" s="5"/>
      <c r="I4" s="14"/>
    </row>
    <row r="5" spans="2:11" ht="6" customHeight="1" x14ac:dyDescent="0.25">
      <c r="B5" s="11"/>
      <c r="C5" s="6"/>
      <c r="D5" s="12"/>
      <c r="E5" s="34"/>
      <c r="F5" s="35"/>
      <c r="G5" s="35"/>
      <c r="H5" s="35"/>
      <c r="I5" s="36"/>
      <c r="J5" s="33"/>
      <c r="K5" s="33"/>
    </row>
    <row r="6" spans="2:11" ht="17.25" x14ac:dyDescent="0.4">
      <c r="B6" s="11"/>
      <c r="C6" s="15" t="s">
        <v>139</v>
      </c>
      <c r="D6" s="32" t="s">
        <v>140</v>
      </c>
      <c r="E6" s="37" t="s">
        <v>141</v>
      </c>
      <c r="F6" s="15" t="s">
        <v>137</v>
      </c>
      <c r="G6" s="15"/>
      <c r="H6" s="15"/>
      <c r="I6" s="32"/>
    </row>
    <row r="7" spans="2:11" ht="17.25" x14ac:dyDescent="0.4">
      <c r="B7" s="11"/>
      <c r="C7" s="15" t="s">
        <v>201</v>
      </c>
      <c r="D7" s="32" t="s">
        <v>142</v>
      </c>
      <c r="E7" s="37" t="s">
        <v>143</v>
      </c>
      <c r="F7" s="15" t="s">
        <v>143</v>
      </c>
      <c r="G7" s="15" t="s">
        <v>144</v>
      </c>
      <c r="H7" s="15" t="s">
        <v>145</v>
      </c>
      <c r="I7" s="32"/>
    </row>
    <row r="8" spans="2:11" x14ac:dyDescent="0.25">
      <c r="B8" s="11"/>
      <c r="C8" s="235">
        <v>4000</v>
      </c>
      <c r="D8" s="236" t="s">
        <v>146</v>
      </c>
      <c r="E8" s="237">
        <f>Rates!F10+Rates!F11+Rates!F11</f>
        <v>40.72</v>
      </c>
      <c r="F8" s="237">
        <f>Rates!L10+Rates!L11+Rates!L11</f>
        <v>45.536995287587693</v>
      </c>
      <c r="G8" s="238">
        <f t="shared" ref="G8:G13" si="0">F8-E8</f>
        <v>4.8169952875876945</v>
      </c>
      <c r="H8" s="239">
        <f t="shared" ref="H8:H13" si="1">G8/E8</f>
        <v>0.11829556207238935</v>
      </c>
      <c r="I8" s="240"/>
    </row>
    <row r="9" spans="2:11" x14ac:dyDescent="0.25">
      <c r="B9" s="11"/>
      <c r="C9" s="6">
        <v>6000</v>
      </c>
      <c r="D9" s="38" t="s">
        <v>196</v>
      </c>
      <c r="E9" s="28">
        <f>Rates!F17+Rates!F18+Rates!F18+Rates!F18+Rates!F18</f>
        <v>78.83</v>
      </c>
      <c r="F9" s="28">
        <f>Rates!L17+Rates!L18+Rates!L18+Rates!L18+Rates!L18</f>
        <v>88.155239158166466</v>
      </c>
      <c r="G9" s="16">
        <f t="shared" si="0"/>
        <v>9.3252391581664682</v>
      </c>
      <c r="H9" s="66">
        <f t="shared" si="1"/>
        <v>0.11829556207238955</v>
      </c>
      <c r="I9" s="41"/>
    </row>
    <row r="10" spans="2:11" x14ac:dyDescent="0.25">
      <c r="B10" s="11"/>
      <c r="C10" s="6">
        <v>40000</v>
      </c>
      <c r="D10" s="38" t="s">
        <v>197</v>
      </c>
      <c r="E10" s="28">
        <f>Rates!F24+(Rates!F25*8)+(Rates!F26*30)</f>
        <v>373.27</v>
      </c>
      <c r="F10" s="28">
        <f>Rates!L24+(Rates!L25*8)+(Rates!L26*30)</f>
        <v>417.4261844547608</v>
      </c>
      <c r="G10" s="16">
        <f t="shared" si="0"/>
        <v>44.156184454760819</v>
      </c>
      <c r="H10" s="66">
        <f t="shared" si="1"/>
        <v>0.11829556207238948</v>
      </c>
      <c r="I10" s="41"/>
    </row>
    <row r="11" spans="2:11" x14ac:dyDescent="0.25">
      <c r="B11" s="11"/>
      <c r="C11" s="6">
        <v>40000</v>
      </c>
      <c r="D11" s="38" t="s">
        <v>198</v>
      </c>
      <c r="E11" s="28">
        <f>Rates!F31+(Rates!F32*8)+(Rates!F33*30)</f>
        <v>408.08000000000004</v>
      </c>
      <c r="F11" s="28">
        <f>Rates!L31+(Rates!L32*8)+(Rates!L33*30)</f>
        <v>456.35405297050067</v>
      </c>
      <c r="G11" s="16">
        <f t="shared" si="0"/>
        <v>48.274052970500634</v>
      </c>
      <c r="H11" s="66">
        <f t="shared" si="1"/>
        <v>0.11829556207238931</v>
      </c>
      <c r="I11" s="41"/>
    </row>
    <row r="12" spans="2:11" x14ac:dyDescent="0.25">
      <c r="B12" s="11"/>
      <c r="C12" s="6">
        <v>100000</v>
      </c>
      <c r="D12" s="38" t="s">
        <v>199</v>
      </c>
      <c r="E12" s="28">
        <f>Rates!F38+(Rates!F39*8)+(Rates!F40*40)+(Rates!F41*50)</f>
        <v>911.02</v>
      </c>
      <c r="F12" s="28">
        <f>Rates!L38+(Rates!L39*8)+(Rates!L40*40)+(Rates!L41*50)</f>
        <v>1018.7896229591881</v>
      </c>
      <c r="G12" s="16">
        <f t="shared" si="0"/>
        <v>107.76962295918815</v>
      </c>
      <c r="H12" s="66">
        <f t="shared" si="1"/>
        <v>0.11829556207238937</v>
      </c>
      <c r="I12" s="41"/>
    </row>
    <row r="13" spans="2:11" x14ac:dyDescent="0.25">
      <c r="B13" s="11"/>
      <c r="C13" s="6">
        <v>100000</v>
      </c>
      <c r="D13" s="38" t="s">
        <v>200</v>
      </c>
      <c r="E13" s="28">
        <f>Rates!F45+(Rates!F46*8)+(Rates!F47*40)+(Rates!F48*50)</f>
        <v>950.29</v>
      </c>
      <c r="F13" s="28">
        <f>Rates!L45+(Rates!L46*8)+(Rates!L47*40)+(Rates!L48*50)</f>
        <v>1062.7050896817709</v>
      </c>
      <c r="G13" s="16">
        <f t="shared" si="0"/>
        <v>112.41508968177095</v>
      </c>
      <c r="H13" s="66">
        <f t="shared" si="1"/>
        <v>0.11829556207238943</v>
      </c>
      <c r="I13" s="41"/>
    </row>
    <row r="14" spans="2:11" ht="6" customHeight="1" x14ac:dyDescent="0.25">
      <c r="B14" s="13"/>
      <c r="C14" s="5"/>
      <c r="D14" s="4"/>
      <c r="E14" s="40"/>
      <c r="F14" s="39"/>
      <c r="G14" s="39"/>
      <c r="H14" s="5"/>
      <c r="I14" s="14"/>
    </row>
    <row r="16" spans="2:11" x14ac:dyDescent="0.25">
      <c r="D16" s="44"/>
    </row>
  </sheetData>
  <mergeCells count="2">
    <mergeCell ref="C2:I2"/>
    <mergeCell ref="C3:I3"/>
  </mergeCells>
  <printOptions horizontalCentered="1"/>
  <pageMargins left="0.7" right="0.7" top="1.1000000000000001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F004-73BD-4C2A-85DA-B682B48EA656}">
  <sheetPr>
    <pageSetUpPr fitToPage="1"/>
  </sheetPr>
  <dimension ref="A1:O131"/>
  <sheetViews>
    <sheetView showGridLines="0" topLeftCell="A95" workbookViewId="0">
      <selection sqref="A1:J132"/>
    </sheetView>
  </sheetViews>
  <sheetFormatPr defaultColWidth="8.88671875" defaultRowHeight="15" x14ac:dyDescent="0.2"/>
  <cols>
    <col min="1" max="1" width="7.77734375" style="145" customWidth="1"/>
    <col min="2" max="2" width="8.21875" style="145" customWidth="1"/>
    <col min="3" max="9" width="12.5546875" style="145" customWidth="1"/>
    <col min="10" max="13" width="10.44140625" style="145" customWidth="1"/>
    <col min="14" max="14" width="13.109375" style="145" customWidth="1"/>
    <col min="15" max="16384" width="8.88671875" style="145"/>
  </cols>
  <sheetData>
    <row r="1" spans="1:15" ht="21" x14ac:dyDescent="0.35">
      <c r="A1" s="259" t="s">
        <v>210</v>
      </c>
      <c r="B1" s="259"/>
      <c r="C1" s="259"/>
      <c r="D1" s="259"/>
      <c r="E1" s="259"/>
      <c r="F1" s="259"/>
      <c r="G1" s="259"/>
      <c r="H1" s="195"/>
    </row>
    <row r="2" spans="1:15" ht="18.75" x14ac:dyDescent="0.2">
      <c r="A2" s="260" t="s">
        <v>58</v>
      </c>
      <c r="B2" s="260"/>
      <c r="C2" s="260"/>
      <c r="D2" s="260"/>
      <c r="E2" s="260"/>
      <c r="F2" s="260"/>
      <c r="G2" s="260"/>
      <c r="H2" s="33"/>
    </row>
    <row r="3" spans="1:15" x14ac:dyDescent="0.25">
      <c r="A3" s="24"/>
      <c r="B3" s="25"/>
      <c r="C3" s="25"/>
      <c r="D3" s="25"/>
      <c r="E3" s="25"/>
      <c r="F3" s="25"/>
      <c r="G3" s="25"/>
      <c r="H3" s="25"/>
    </row>
    <row r="4" spans="1:15" ht="15.75" x14ac:dyDescent="0.25">
      <c r="A4" s="1"/>
      <c r="C4" s="261" t="s">
        <v>147</v>
      </c>
      <c r="D4" s="261"/>
      <c r="E4" s="261"/>
      <c r="F4" s="261"/>
      <c r="G4" s="1"/>
      <c r="H4" s="1"/>
    </row>
    <row r="5" spans="1:15" x14ac:dyDescent="0.25">
      <c r="A5" s="1"/>
      <c r="B5" s="1"/>
      <c r="C5" s="148"/>
      <c r="D5" s="148"/>
      <c r="E5" s="149" t="s">
        <v>148</v>
      </c>
      <c r="F5" s="149" t="s">
        <v>149</v>
      </c>
      <c r="G5" s="20" t="s">
        <v>150</v>
      </c>
      <c r="H5" s="20"/>
      <c r="I5" s="20"/>
      <c r="J5" s="147"/>
    </row>
    <row r="6" spans="1:15" x14ac:dyDescent="0.25">
      <c r="A6" s="1"/>
      <c r="B6" s="1"/>
      <c r="C6" s="1" t="s">
        <v>162</v>
      </c>
      <c r="D6" s="1"/>
      <c r="E6" s="2">
        <f>C27</f>
        <v>19002</v>
      </c>
      <c r="F6" s="196">
        <f>J27</f>
        <v>77860320</v>
      </c>
      <c r="G6" s="150">
        <f>F36</f>
        <v>863666.42619999999</v>
      </c>
      <c r="H6" s="150"/>
      <c r="I6" s="151"/>
      <c r="J6" s="152"/>
      <c r="K6" s="197"/>
      <c r="M6" s="146"/>
      <c r="N6" s="146"/>
      <c r="O6" s="146"/>
    </row>
    <row r="7" spans="1:15" x14ac:dyDescent="0.25">
      <c r="A7" s="1"/>
      <c r="B7" s="1"/>
      <c r="C7" s="1" t="s">
        <v>173</v>
      </c>
      <c r="D7" s="1"/>
      <c r="E7" s="2">
        <f>C55</f>
        <v>605</v>
      </c>
      <c r="F7" s="196">
        <f>D55</f>
        <v>9295600</v>
      </c>
      <c r="G7" s="150">
        <f>F55</f>
        <v>93449.449100000013</v>
      </c>
      <c r="H7" s="150"/>
      <c r="I7" s="151"/>
      <c r="J7" s="152"/>
      <c r="K7" s="197"/>
      <c r="M7" s="146"/>
      <c r="N7" s="146"/>
      <c r="O7" s="146"/>
    </row>
    <row r="8" spans="1:15" x14ac:dyDescent="0.25">
      <c r="A8" s="1"/>
      <c r="B8" s="1"/>
      <c r="C8" s="1" t="s">
        <v>176</v>
      </c>
      <c r="D8" s="1"/>
      <c r="E8" s="2">
        <f>C74</f>
        <v>73</v>
      </c>
      <c r="F8" s="196">
        <f>D74</f>
        <v>3636100</v>
      </c>
      <c r="G8" s="150">
        <f>F74</f>
        <v>32169.644</v>
      </c>
      <c r="H8" s="150"/>
      <c r="I8" s="151"/>
      <c r="J8" s="152"/>
      <c r="K8" s="197"/>
      <c r="M8" s="146"/>
      <c r="N8" s="146"/>
      <c r="O8" s="146"/>
    </row>
    <row r="9" spans="1:15" x14ac:dyDescent="0.25">
      <c r="A9" s="1"/>
      <c r="B9" s="1"/>
      <c r="C9" s="1" t="s">
        <v>163</v>
      </c>
      <c r="D9" s="1"/>
      <c r="E9" s="2">
        <f>C93</f>
        <v>241</v>
      </c>
      <c r="F9" s="196">
        <f>D93</f>
        <v>9427400</v>
      </c>
      <c r="G9" s="150">
        <f>F93</f>
        <v>95570.155999999988</v>
      </c>
      <c r="H9" s="150"/>
      <c r="I9" s="151"/>
      <c r="J9" s="152"/>
      <c r="K9" s="197"/>
      <c r="M9" s="146"/>
      <c r="N9" s="146"/>
      <c r="O9" s="146"/>
    </row>
    <row r="10" spans="1:15" x14ac:dyDescent="0.25">
      <c r="A10" s="1"/>
      <c r="B10" s="1"/>
      <c r="C10" s="1" t="s">
        <v>174</v>
      </c>
      <c r="D10" s="1"/>
      <c r="E10" s="2">
        <f>C112</f>
        <v>11</v>
      </c>
      <c r="F10" s="196">
        <f>D112</f>
        <v>4147800</v>
      </c>
      <c r="G10" s="150">
        <f>F112</f>
        <v>32788.286</v>
      </c>
      <c r="H10" s="150"/>
      <c r="I10" s="151"/>
      <c r="J10" s="152"/>
      <c r="K10" s="197"/>
      <c r="M10" s="146"/>
      <c r="N10" s="146"/>
      <c r="O10" s="146"/>
    </row>
    <row r="11" spans="1:15" x14ac:dyDescent="0.25">
      <c r="A11" s="1"/>
      <c r="B11" s="1"/>
      <c r="C11" s="1" t="s">
        <v>175</v>
      </c>
      <c r="D11" s="1"/>
      <c r="E11" s="29">
        <f>C131</f>
        <v>22</v>
      </c>
      <c r="F11" s="198">
        <f>D131</f>
        <v>11012200</v>
      </c>
      <c r="G11" s="194">
        <f>F131</f>
        <v>86475.561999999991</v>
      </c>
      <c r="H11" s="150"/>
      <c r="I11" s="151"/>
      <c r="J11" s="152"/>
      <c r="K11" s="197"/>
      <c r="M11" s="146"/>
      <c r="N11" s="146"/>
      <c r="O11" s="146"/>
    </row>
    <row r="12" spans="1:15" x14ac:dyDescent="0.25">
      <c r="A12" s="1"/>
      <c r="B12" s="1"/>
      <c r="C12" s="1" t="s">
        <v>151</v>
      </c>
      <c r="D12" s="1"/>
      <c r="E12" s="2">
        <v>0</v>
      </c>
      <c r="F12" s="196">
        <f>SUM(F6:F11)</f>
        <v>115379420</v>
      </c>
      <c r="G12" s="150">
        <f>SUM(G6:G11)</f>
        <v>1204119.5233</v>
      </c>
      <c r="H12" s="150"/>
      <c r="I12" s="151"/>
      <c r="J12" s="152"/>
      <c r="K12" s="197"/>
      <c r="M12" s="146"/>
      <c r="N12" s="146"/>
      <c r="O12" s="146"/>
    </row>
    <row r="13" spans="1:15" ht="15.75" customHeight="1" x14ac:dyDescent="0.25">
      <c r="A13" s="1"/>
      <c r="B13" s="1"/>
      <c r="C13" s="148" t="s">
        <v>152</v>
      </c>
      <c r="D13" s="148"/>
      <c r="E13" s="196"/>
      <c r="F13" s="196"/>
      <c r="G13" s="199">
        <v>0</v>
      </c>
      <c r="H13" s="200"/>
      <c r="I13" s="1"/>
      <c r="M13" s="146"/>
      <c r="N13" s="146"/>
      <c r="O13" s="146"/>
    </row>
    <row r="14" spans="1:15" x14ac:dyDescent="0.25">
      <c r="A14" s="1"/>
      <c r="B14" s="1"/>
      <c r="C14" s="153" t="s">
        <v>153</v>
      </c>
      <c r="D14" s="153"/>
      <c r="E14" s="196"/>
      <c r="F14" s="196"/>
      <c r="G14" s="200">
        <f>G12+G13</f>
        <v>1204119.5233</v>
      </c>
      <c r="H14" s="200"/>
      <c r="I14" s="1"/>
    </row>
    <row r="15" spans="1:15" x14ac:dyDescent="0.25">
      <c r="A15" s="1"/>
      <c r="B15" s="1"/>
      <c r="C15" s="153" t="s">
        <v>154</v>
      </c>
      <c r="D15" s="153"/>
      <c r="E15" s="196"/>
      <c r="F15" s="196"/>
      <c r="G15" s="181">
        <f>SAO!D6</f>
        <v>1258900</v>
      </c>
      <c r="H15" s="151"/>
      <c r="I15" s="1"/>
    </row>
    <row r="16" spans="1:15" x14ac:dyDescent="0.25">
      <c r="A16" s="1"/>
      <c r="B16" s="1"/>
      <c r="C16" s="153" t="s">
        <v>155</v>
      </c>
      <c r="D16" s="153"/>
      <c r="E16" s="196"/>
      <c r="F16" s="196"/>
      <c r="G16" s="201">
        <f>G14-G15</f>
        <v>-54780.476699999999</v>
      </c>
      <c r="H16" s="201"/>
      <c r="K16" s="1" t="s">
        <v>156</v>
      </c>
      <c r="L16" s="202">
        <f>G16/G15</f>
        <v>-4.3514557709111126E-2</v>
      </c>
    </row>
    <row r="17" spans="1:14" x14ac:dyDescent="0.25">
      <c r="A17" s="1"/>
      <c r="B17" s="1"/>
      <c r="C17" s="153"/>
      <c r="D17" s="196"/>
      <c r="E17" s="196"/>
      <c r="F17" s="200"/>
      <c r="G17" s="1"/>
      <c r="H17" s="1"/>
    </row>
    <row r="18" spans="1:14" x14ac:dyDescent="0.25">
      <c r="A18" s="1"/>
      <c r="B18" s="1"/>
      <c r="C18" s="18"/>
      <c r="D18" s="150"/>
      <c r="E18" s="1"/>
      <c r="F18" s="1"/>
      <c r="G18" s="1"/>
      <c r="H18" s="1"/>
    </row>
    <row r="19" spans="1:14" ht="15.75" x14ac:dyDescent="0.25">
      <c r="A19" s="203" t="s">
        <v>164</v>
      </c>
      <c r="B19" s="1"/>
      <c r="C19" s="1"/>
      <c r="D19" s="17"/>
      <c r="E19" s="1"/>
      <c r="F19" s="1"/>
      <c r="G19" s="1"/>
      <c r="H19" s="1"/>
      <c r="I19" s="1"/>
      <c r="J19" s="1"/>
      <c r="K19" s="1"/>
      <c r="L19" s="1"/>
      <c r="M19" s="17"/>
      <c r="N19" s="1"/>
    </row>
    <row r="20" spans="1:14" ht="15.75" x14ac:dyDescent="0.25">
      <c r="A20" s="1"/>
      <c r="B20" s="1"/>
      <c r="C20" s="1"/>
      <c r="D20" s="17"/>
      <c r="E20" s="20" t="s">
        <v>157</v>
      </c>
      <c r="F20" s="20" t="s">
        <v>158</v>
      </c>
      <c r="G20" s="20" t="s">
        <v>158</v>
      </c>
      <c r="H20" s="20" t="s">
        <v>158</v>
      </c>
      <c r="I20" s="20" t="s">
        <v>159</v>
      </c>
      <c r="J20" s="1"/>
      <c r="K20" s="1"/>
      <c r="L20"/>
      <c r="M20"/>
    </row>
    <row r="21" spans="1:14" ht="15.75" x14ac:dyDescent="0.25">
      <c r="A21" s="1"/>
      <c r="B21" s="204" t="s">
        <v>160</v>
      </c>
      <c r="C21" s="205" t="s">
        <v>148</v>
      </c>
      <c r="D21" s="121" t="s">
        <v>149</v>
      </c>
      <c r="E21" s="205">
        <f>B22</f>
        <v>2000</v>
      </c>
      <c r="F21" s="205">
        <f>B23</f>
        <v>8000</v>
      </c>
      <c r="G21" s="205">
        <f>B24</f>
        <v>40000</v>
      </c>
      <c r="H21" s="205">
        <f>B25</f>
        <v>50000</v>
      </c>
      <c r="I21" s="205">
        <f>B26</f>
        <v>100000</v>
      </c>
      <c r="J21" s="204" t="s">
        <v>42</v>
      </c>
      <c r="K21" s="1"/>
      <c r="L21"/>
      <c r="M21"/>
    </row>
    <row r="22" spans="1:14" ht="15.75" x14ac:dyDescent="0.25">
      <c r="A22" s="21" t="s">
        <v>157</v>
      </c>
      <c r="B22" s="154">
        <v>2000</v>
      </c>
      <c r="C22" s="206">
        <v>6059</v>
      </c>
      <c r="D22" s="207">
        <v>5837360</v>
      </c>
      <c r="E22" s="207">
        <f>D22</f>
        <v>5837360</v>
      </c>
      <c r="F22" s="207">
        <v>0</v>
      </c>
      <c r="G22" s="207">
        <v>0</v>
      </c>
      <c r="H22" s="207">
        <v>0</v>
      </c>
      <c r="I22" s="207">
        <v>0</v>
      </c>
      <c r="J22" s="207">
        <f>SUM(E22:I22)</f>
        <v>5837360</v>
      </c>
      <c r="K22" s="1"/>
      <c r="L22"/>
      <c r="M22"/>
    </row>
    <row r="23" spans="1:14" ht="15.75" x14ac:dyDescent="0.25">
      <c r="A23" s="21" t="s">
        <v>158</v>
      </c>
      <c r="B23" s="154">
        <v>8000</v>
      </c>
      <c r="C23" s="206">
        <v>11697</v>
      </c>
      <c r="D23" s="207">
        <v>50687010</v>
      </c>
      <c r="E23" s="207">
        <f>C23*$E$21</f>
        <v>23394000</v>
      </c>
      <c r="F23" s="207">
        <f>D23-E23</f>
        <v>27293010</v>
      </c>
      <c r="G23" s="207">
        <v>0</v>
      </c>
      <c r="H23" s="207">
        <v>0</v>
      </c>
      <c r="I23" s="207">
        <v>0</v>
      </c>
      <c r="J23" s="207">
        <f>SUM(E23:I23)</f>
        <v>50687010</v>
      </c>
      <c r="K23" s="1"/>
      <c r="L23"/>
      <c r="M23"/>
    </row>
    <row r="24" spans="1:14" ht="15.75" x14ac:dyDescent="0.25">
      <c r="A24" s="21" t="s">
        <v>158</v>
      </c>
      <c r="B24" s="154">
        <v>40000</v>
      </c>
      <c r="C24" s="206">
        <v>1195</v>
      </c>
      <c r="D24" s="207">
        <v>20415060</v>
      </c>
      <c r="E24" s="207">
        <f t="shared" ref="E24:E26" si="0">C24*$E$21</f>
        <v>2390000</v>
      </c>
      <c r="F24" s="207">
        <f>C24*F21</f>
        <v>9560000</v>
      </c>
      <c r="G24" s="207">
        <f>D24-(F24+E24)</f>
        <v>8465060</v>
      </c>
      <c r="H24" s="207">
        <v>0</v>
      </c>
      <c r="I24" s="207">
        <v>0</v>
      </c>
      <c r="J24" s="207">
        <f>SUM(E24:I24)</f>
        <v>20415060</v>
      </c>
      <c r="K24" s="1"/>
      <c r="L24"/>
      <c r="M24"/>
    </row>
    <row r="25" spans="1:14" ht="15.75" x14ac:dyDescent="0.25">
      <c r="A25" s="21" t="s">
        <v>158</v>
      </c>
      <c r="B25" s="154">
        <v>50000</v>
      </c>
      <c r="C25" s="206">
        <v>46</v>
      </c>
      <c r="D25" s="207">
        <v>3118830</v>
      </c>
      <c r="E25" s="207">
        <f t="shared" si="0"/>
        <v>92000</v>
      </c>
      <c r="F25" s="207">
        <f>C25*F21</f>
        <v>368000</v>
      </c>
      <c r="G25" s="207">
        <f>C25*G21</f>
        <v>1840000</v>
      </c>
      <c r="H25" s="207">
        <f>D25-E25-F25-G25</f>
        <v>818830</v>
      </c>
      <c r="I25" s="207"/>
      <c r="J25" s="207"/>
      <c r="K25" s="1"/>
      <c r="L25"/>
      <c r="M25"/>
    </row>
    <row r="26" spans="1:14" ht="15.75" x14ac:dyDescent="0.25">
      <c r="A26" s="21" t="s">
        <v>159</v>
      </c>
      <c r="B26" s="208">
        <v>100000</v>
      </c>
      <c r="C26" s="209">
        <v>5</v>
      </c>
      <c r="D26" s="210">
        <v>920890</v>
      </c>
      <c r="E26" s="210">
        <f t="shared" si="0"/>
        <v>10000</v>
      </c>
      <c r="F26" s="210">
        <f>C26*F21</f>
        <v>40000</v>
      </c>
      <c r="G26" s="210">
        <f>C26*G21</f>
        <v>200000</v>
      </c>
      <c r="H26" s="210">
        <f>C26*H21</f>
        <v>250000</v>
      </c>
      <c r="I26" s="210">
        <f>D26-E26-F26-G26-H26</f>
        <v>420890</v>
      </c>
      <c r="J26" s="210">
        <f>SUM(E26:I26)</f>
        <v>920890</v>
      </c>
      <c r="K26" s="1"/>
      <c r="L26"/>
      <c r="M26"/>
    </row>
    <row r="27" spans="1:14" ht="15.75" x14ac:dyDescent="0.25">
      <c r="A27" s="21"/>
      <c r="B27" s="154" t="s">
        <v>42</v>
      </c>
      <c r="C27" s="23">
        <f t="shared" ref="C27:J27" si="1">SUM(C22:C26)</f>
        <v>19002</v>
      </c>
      <c r="D27" s="23">
        <f t="shared" si="1"/>
        <v>80979150</v>
      </c>
      <c r="E27" s="23">
        <f t="shared" si="1"/>
        <v>31723360</v>
      </c>
      <c r="F27" s="23">
        <f t="shared" si="1"/>
        <v>37261010</v>
      </c>
      <c r="G27" s="23">
        <f t="shared" si="1"/>
        <v>10505060</v>
      </c>
      <c r="H27" s="23">
        <f>SUM(H22:H26)</f>
        <v>1068830</v>
      </c>
      <c r="I27" s="23">
        <f t="shared" si="1"/>
        <v>420890</v>
      </c>
      <c r="J27" s="23">
        <f t="shared" si="1"/>
        <v>77860320</v>
      </c>
      <c r="K27" s="17"/>
      <c r="L27"/>
      <c r="M27"/>
    </row>
    <row r="28" spans="1:14" x14ac:dyDescent="0.25">
      <c r="A28" s="21"/>
      <c r="B28" s="154"/>
      <c r="C28" s="1"/>
      <c r="D28" s="17"/>
      <c r="E28" s="154"/>
      <c r="F28" s="154"/>
      <c r="G28" s="154"/>
      <c r="H28" s="154"/>
      <c r="I28" s="154"/>
      <c r="J28" s="154"/>
      <c r="K28" s="1"/>
      <c r="L28" s="1"/>
      <c r="M28" s="17"/>
      <c r="N28" s="1"/>
    </row>
    <row r="29" spans="1:14" x14ac:dyDescent="0.25">
      <c r="A29" s="155" t="s">
        <v>165</v>
      </c>
      <c r="B29" s="155"/>
      <c r="C29" s="1"/>
      <c r="D29" s="17"/>
      <c r="E29" s="154"/>
      <c r="F29" s="154"/>
      <c r="G29" s="154"/>
      <c r="H29" s="154"/>
      <c r="I29" s="154"/>
      <c r="J29" s="154"/>
      <c r="K29" s="1"/>
      <c r="L29" s="1"/>
      <c r="M29" s="17"/>
      <c r="N29" s="1"/>
    </row>
    <row r="30" spans="1:14" x14ac:dyDescent="0.25">
      <c r="A30" s="21"/>
      <c r="B30" s="204"/>
      <c r="C30" s="205" t="s">
        <v>148</v>
      </c>
      <c r="D30" s="121" t="s">
        <v>149</v>
      </c>
      <c r="E30" s="205" t="s">
        <v>161</v>
      </c>
      <c r="F30" s="205" t="s">
        <v>150</v>
      </c>
      <c r="G30" s="154"/>
      <c r="H30" s="154"/>
      <c r="I30" s="154"/>
      <c r="J30" s="154"/>
      <c r="K30" s="1"/>
      <c r="L30" s="1"/>
      <c r="M30" s="17"/>
      <c r="N30" s="1"/>
    </row>
    <row r="31" spans="1:14" x14ac:dyDescent="0.25">
      <c r="A31" s="21" t="s">
        <v>157</v>
      </c>
      <c r="B31" s="154">
        <f>B22</f>
        <v>2000</v>
      </c>
      <c r="C31" s="17">
        <f>C27</f>
        <v>19002</v>
      </c>
      <c r="D31" s="207">
        <f>E27</f>
        <v>31723360</v>
      </c>
      <c r="E31" s="211">
        <v>24.02</v>
      </c>
      <c r="F31" s="30">
        <f>E31*C31</f>
        <v>456428.04</v>
      </c>
      <c r="G31" s="154"/>
      <c r="H31" s="154"/>
      <c r="I31" s="1"/>
      <c r="J31" s="1"/>
      <c r="K31" s="1"/>
      <c r="L31" s="1"/>
      <c r="M31" s="17"/>
      <c r="N31" s="1"/>
    </row>
    <row r="32" spans="1:14" x14ac:dyDescent="0.25">
      <c r="A32" s="21" t="s">
        <v>158</v>
      </c>
      <c r="B32" s="154">
        <f>B23</f>
        <v>8000</v>
      </c>
      <c r="C32" s="1"/>
      <c r="D32" s="207">
        <f>F27</f>
        <v>37261010</v>
      </c>
      <c r="E32" s="211">
        <v>8.35</v>
      </c>
      <c r="F32" s="17">
        <f>E32*(D32/1000)</f>
        <v>311129.43349999998</v>
      </c>
      <c r="G32" s="154"/>
      <c r="H32" s="154"/>
      <c r="I32" s="1"/>
      <c r="J32" s="1"/>
      <c r="K32" s="1"/>
      <c r="L32" s="1"/>
      <c r="M32" s="17"/>
      <c r="N32" s="1"/>
    </row>
    <row r="33" spans="1:14" x14ac:dyDescent="0.25">
      <c r="A33" s="21" t="s">
        <v>158</v>
      </c>
      <c r="B33" s="154">
        <f>B24</f>
        <v>40000</v>
      </c>
      <c r="C33" s="1"/>
      <c r="D33" s="207">
        <f>G27</f>
        <v>10505060</v>
      </c>
      <c r="E33" s="211">
        <v>8.06</v>
      </c>
      <c r="F33" s="17">
        <f>E33*(D33/1000)</f>
        <v>84670.783599999995</v>
      </c>
      <c r="G33" s="154"/>
      <c r="H33" s="154"/>
      <c r="I33" s="1"/>
      <c r="J33" s="1"/>
      <c r="K33" s="1"/>
      <c r="L33" s="1"/>
      <c r="M33" s="17"/>
      <c r="N33" s="1"/>
    </row>
    <row r="34" spans="1:14" x14ac:dyDescent="0.25">
      <c r="A34" s="21" t="s">
        <v>158</v>
      </c>
      <c r="B34" s="154">
        <f>B25</f>
        <v>50000</v>
      </c>
      <c r="C34" s="1"/>
      <c r="D34" s="207">
        <f>H27</f>
        <v>1068830</v>
      </c>
      <c r="E34" s="211">
        <v>7.76</v>
      </c>
      <c r="F34" s="17">
        <f>E34*(D34/1000)</f>
        <v>8294.1207999999988</v>
      </c>
      <c r="G34" s="154"/>
      <c r="H34" s="154"/>
      <c r="I34" s="1"/>
      <c r="J34" s="1"/>
      <c r="K34" s="1"/>
      <c r="L34" s="1"/>
      <c r="M34" s="17"/>
      <c r="N34" s="1"/>
    </row>
    <row r="35" spans="1:14" x14ac:dyDescent="0.25">
      <c r="A35" s="21" t="s">
        <v>159</v>
      </c>
      <c r="B35" s="208">
        <f>B26</f>
        <v>100000</v>
      </c>
      <c r="C35" s="212"/>
      <c r="D35" s="210">
        <f>I27</f>
        <v>420890</v>
      </c>
      <c r="E35" s="213">
        <v>7.47</v>
      </c>
      <c r="F35" s="22">
        <f>E35*(D35/1000)</f>
        <v>3144.0482999999999</v>
      </c>
      <c r="G35" s="154"/>
      <c r="H35" s="154"/>
      <c r="I35" s="1"/>
      <c r="J35" s="1"/>
      <c r="K35" s="1"/>
      <c r="L35" s="1"/>
      <c r="M35" s="17"/>
      <c r="N35" s="1"/>
    </row>
    <row r="36" spans="1:14" x14ac:dyDescent="0.25">
      <c r="A36" s="21"/>
      <c r="B36" s="154" t="s">
        <v>42</v>
      </c>
      <c r="C36" s="17">
        <f>SUM(C31:C35)</f>
        <v>19002</v>
      </c>
      <c r="D36" s="23">
        <f>SUM(D31:D35)</f>
        <v>80979150</v>
      </c>
      <c r="E36" s="1"/>
      <c r="F36" s="30">
        <f>SUM(F31:F35)</f>
        <v>863666.42619999999</v>
      </c>
      <c r="G36" s="30"/>
      <c r="H36" s="30"/>
      <c r="I36" s="154"/>
      <c r="J36" s="214"/>
      <c r="K36" s="1"/>
      <c r="L36" s="1"/>
      <c r="M36" s="17"/>
      <c r="N36" s="1"/>
    </row>
    <row r="37" spans="1:14" x14ac:dyDescent="0.25">
      <c r="A37" s="21"/>
      <c r="B37" s="154"/>
      <c r="C37" s="17"/>
      <c r="D37" s="23"/>
      <c r="E37" s="1"/>
      <c r="F37" s="30"/>
      <c r="G37" s="154"/>
      <c r="H37" s="154"/>
      <c r="I37" s="154"/>
      <c r="J37" s="154"/>
      <c r="K37" s="1"/>
      <c r="L37" s="1"/>
      <c r="M37" s="17"/>
      <c r="N37" s="1"/>
    </row>
    <row r="38" spans="1:14" ht="15.75" x14ac:dyDescent="0.25">
      <c r="A38" s="203" t="s">
        <v>171</v>
      </c>
      <c r="B38" s="1"/>
      <c r="C38" s="1"/>
      <c r="D38" s="17"/>
      <c r="E38" s="1"/>
      <c r="F38" s="1"/>
      <c r="G38" s="1"/>
      <c r="H38" s="1"/>
      <c r="I38" s="1"/>
      <c r="J38" s="1"/>
      <c r="K38" s="1"/>
      <c r="L38" s="1"/>
      <c r="M38" s="17"/>
      <c r="N38" s="1"/>
    </row>
    <row r="39" spans="1:14" x14ac:dyDescent="0.25">
      <c r="A39" s="1"/>
      <c r="B39" s="1"/>
      <c r="C39" s="1"/>
      <c r="D39" s="17"/>
      <c r="E39" s="20" t="s">
        <v>157</v>
      </c>
      <c r="F39" s="20" t="s">
        <v>158</v>
      </c>
      <c r="G39" s="20" t="s">
        <v>158</v>
      </c>
      <c r="H39" s="20" t="s">
        <v>158</v>
      </c>
      <c r="I39" s="20" t="s">
        <v>159</v>
      </c>
      <c r="J39" s="1"/>
      <c r="K39" s="1"/>
      <c r="L39" s="1"/>
      <c r="M39" s="17"/>
      <c r="N39" s="1"/>
    </row>
    <row r="40" spans="1:14" x14ac:dyDescent="0.25">
      <c r="A40" s="1"/>
      <c r="B40" s="204" t="s">
        <v>160</v>
      </c>
      <c r="C40" s="205" t="s">
        <v>148</v>
      </c>
      <c r="D40" s="121" t="s">
        <v>149</v>
      </c>
      <c r="E40" s="205">
        <f>B41</f>
        <v>2000</v>
      </c>
      <c r="F40" s="205">
        <f>B42</f>
        <v>8000</v>
      </c>
      <c r="G40" s="205">
        <f>B43</f>
        <v>40000</v>
      </c>
      <c r="H40" s="205">
        <f>B44</f>
        <v>50000</v>
      </c>
      <c r="I40" s="205">
        <f>B45</f>
        <v>100000</v>
      </c>
      <c r="J40" s="204" t="s">
        <v>42</v>
      </c>
      <c r="K40" s="1"/>
      <c r="L40" s="1"/>
      <c r="M40" s="17"/>
      <c r="N40" s="1"/>
    </row>
    <row r="41" spans="1:14" x14ac:dyDescent="0.25">
      <c r="A41" s="21" t="s">
        <v>157</v>
      </c>
      <c r="B41" s="154">
        <v>2000</v>
      </c>
      <c r="C41" s="206">
        <v>206</v>
      </c>
      <c r="D41" s="207">
        <v>149300</v>
      </c>
      <c r="E41" s="207">
        <f>D41</f>
        <v>149300</v>
      </c>
      <c r="F41" s="207">
        <v>0</v>
      </c>
      <c r="G41" s="207">
        <v>0</v>
      </c>
      <c r="H41" s="207">
        <v>0</v>
      </c>
      <c r="I41" s="207">
        <v>0</v>
      </c>
      <c r="J41" s="207">
        <f>SUM(E41:I41)</f>
        <v>149300</v>
      </c>
      <c r="K41" s="1"/>
      <c r="L41" s="1"/>
      <c r="M41" s="17"/>
      <c r="N41" s="1"/>
    </row>
    <row r="42" spans="1:14" x14ac:dyDescent="0.25">
      <c r="A42" s="21" t="s">
        <v>158</v>
      </c>
      <c r="B42" s="154">
        <v>8000</v>
      </c>
      <c r="C42" s="206">
        <v>238</v>
      </c>
      <c r="D42" s="207">
        <v>1201780</v>
      </c>
      <c r="E42" s="207">
        <f>C42*E40</f>
        <v>476000</v>
      </c>
      <c r="F42" s="207">
        <f>D42-E42</f>
        <v>725780</v>
      </c>
      <c r="G42" s="207">
        <v>0</v>
      </c>
      <c r="H42" s="207">
        <v>0</v>
      </c>
      <c r="I42" s="207">
        <v>0</v>
      </c>
      <c r="J42" s="207">
        <f>SUM(E42:I42)</f>
        <v>1201780</v>
      </c>
      <c r="K42" s="1"/>
      <c r="L42" s="1"/>
      <c r="M42" s="17"/>
      <c r="N42" s="1"/>
    </row>
    <row r="43" spans="1:14" x14ac:dyDescent="0.25">
      <c r="A43" s="21" t="s">
        <v>158</v>
      </c>
      <c r="B43" s="154">
        <v>40000</v>
      </c>
      <c r="C43" s="206">
        <v>134</v>
      </c>
      <c r="D43" s="207">
        <v>2838870</v>
      </c>
      <c r="E43" s="207">
        <f>C43*E40</f>
        <v>268000</v>
      </c>
      <c r="F43" s="207">
        <f>C43*F40</f>
        <v>1072000</v>
      </c>
      <c r="G43" s="207">
        <f>D43-E43-F43</f>
        <v>1498870</v>
      </c>
      <c r="H43" s="207">
        <v>0</v>
      </c>
      <c r="I43" s="207">
        <v>0</v>
      </c>
      <c r="J43" s="207">
        <f>SUM(E43:I43)</f>
        <v>2838870</v>
      </c>
      <c r="K43" s="1"/>
      <c r="L43" s="1"/>
      <c r="M43" s="17"/>
      <c r="N43" s="1"/>
    </row>
    <row r="44" spans="1:14" x14ac:dyDescent="0.25">
      <c r="A44" s="21" t="s">
        <v>158</v>
      </c>
      <c r="B44" s="154">
        <v>50000</v>
      </c>
      <c r="C44" s="206">
        <v>12</v>
      </c>
      <c r="D44" s="207">
        <v>914960</v>
      </c>
      <c r="E44" s="207">
        <f>C44*E40</f>
        <v>24000</v>
      </c>
      <c r="F44" s="207">
        <f>C44*F40</f>
        <v>96000</v>
      </c>
      <c r="G44" s="207">
        <f>C44*G40</f>
        <v>480000</v>
      </c>
      <c r="H44" s="207">
        <f>D44-E44-F44-G44</f>
        <v>314960</v>
      </c>
      <c r="I44" s="2">
        <v>0</v>
      </c>
      <c r="J44" s="207">
        <f>SUM(E44:I44)</f>
        <v>914960</v>
      </c>
      <c r="K44" s="1"/>
      <c r="L44" s="1"/>
      <c r="M44" s="17"/>
      <c r="N44" s="1"/>
    </row>
    <row r="45" spans="1:14" x14ac:dyDescent="0.25">
      <c r="A45" s="21" t="s">
        <v>159</v>
      </c>
      <c r="B45" s="208">
        <v>100000</v>
      </c>
      <c r="C45" s="209">
        <v>15</v>
      </c>
      <c r="D45" s="210">
        <v>4190690</v>
      </c>
      <c r="E45" s="210">
        <f>C45*E40</f>
        <v>30000</v>
      </c>
      <c r="F45" s="210">
        <f>C45*F40</f>
        <v>120000</v>
      </c>
      <c r="G45" s="210">
        <f>C45*G40</f>
        <v>600000</v>
      </c>
      <c r="H45" s="210">
        <f>C45*H40</f>
        <v>750000</v>
      </c>
      <c r="I45" s="29">
        <f>D45-E45-F45-G45-H45</f>
        <v>2690690</v>
      </c>
      <c r="J45" s="210">
        <f>SUM(E45:I45)</f>
        <v>4190690</v>
      </c>
      <c r="K45" s="1"/>
      <c r="L45" s="1"/>
      <c r="M45" s="17"/>
      <c r="N45" s="1"/>
    </row>
    <row r="46" spans="1:14" x14ac:dyDescent="0.25">
      <c r="A46" s="21"/>
      <c r="B46" s="154" t="s">
        <v>42</v>
      </c>
      <c r="C46" s="23">
        <f t="shared" ref="C46:H46" si="2">SUM(C41:C45)</f>
        <v>605</v>
      </c>
      <c r="D46" s="23">
        <f t="shared" si="2"/>
        <v>9295600</v>
      </c>
      <c r="E46" s="23">
        <f t="shared" si="2"/>
        <v>947300</v>
      </c>
      <c r="F46" s="23">
        <f t="shared" si="2"/>
        <v>2013780</v>
      </c>
      <c r="G46" s="23">
        <f t="shared" si="2"/>
        <v>2578870</v>
      </c>
      <c r="H46" s="23">
        <f t="shared" si="2"/>
        <v>1064960</v>
      </c>
      <c r="I46" s="23">
        <f>SUM(I41:I45)</f>
        <v>2690690</v>
      </c>
      <c r="J46" s="23">
        <f>SUM(J41:J45)</f>
        <v>9295600</v>
      </c>
      <c r="K46" s="1"/>
      <c r="L46" s="1"/>
      <c r="M46" s="17"/>
      <c r="N46" s="1"/>
    </row>
    <row r="47" spans="1:14" x14ac:dyDescent="0.25">
      <c r="A47" s="21"/>
      <c r="B47" s="154"/>
      <c r="C47" s="1"/>
      <c r="D47" s="17"/>
      <c r="E47" s="154"/>
      <c r="F47" s="154"/>
      <c r="G47" s="154"/>
      <c r="H47" s="154"/>
      <c r="I47" s="154"/>
      <c r="J47" s="154"/>
      <c r="K47" s="1"/>
      <c r="L47" s="1"/>
      <c r="M47" s="17"/>
      <c r="N47" s="1"/>
    </row>
    <row r="48" spans="1:14" x14ac:dyDescent="0.25">
      <c r="A48" s="155" t="s">
        <v>165</v>
      </c>
      <c r="B48" s="155"/>
      <c r="C48" s="1"/>
      <c r="D48" s="17"/>
      <c r="E48" s="154"/>
      <c r="F48" s="154"/>
      <c r="G48" s="154"/>
      <c r="H48" s="154"/>
      <c r="I48" s="154"/>
      <c r="J48" s="154"/>
      <c r="K48" s="1"/>
      <c r="L48" s="1"/>
      <c r="M48" s="17"/>
      <c r="N48" s="1"/>
    </row>
    <row r="49" spans="1:14" x14ac:dyDescent="0.25">
      <c r="A49" s="21"/>
      <c r="B49" s="204"/>
      <c r="C49" s="205" t="s">
        <v>148</v>
      </c>
      <c r="D49" s="121" t="s">
        <v>149</v>
      </c>
      <c r="E49" s="205" t="s">
        <v>161</v>
      </c>
      <c r="F49" s="205" t="s">
        <v>150</v>
      </c>
      <c r="G49" s="154"/>
      <c r="H49" s="154"/>
      <c r="I49" s="154"/>
      <c r="J49" s="154"/>
      <c r="K49" s="1"/>
      <c r="L49" s="1"/>
      <c r="M49" s="17"/>
      <c r="N49" s="1"/>
    </row>
    <row r="50" spans="1:14" x14ac:dyDescent="0.25">
      <c r="A50" s="21" t="s">
        <v>157</v>
      </c>
      <c r="B50" s="154">
        <f>B41</f>
        <v>2000</v>
      </c>
      <c r="C50" s="17">
        <f>C46</f>
        <v>605</v>
      </c>
      <c r="D50" s="207">
        <f>E46</f>
        <v>947300</v>
      </c>
      <c r="E50" s="211">
        <v>45.43</v>
      </c>
      <c r="F50" s="30">
        <f>E50*C50</f>
        <v>27485.15</v>
      </c>
      <c r="G50" s="154"/>
      <c r="H50" s="154"/>
      <c r="I50" s="1"/>
      <c r="J50" s="1"/>
      <c r="K50" s="1"/>
      <c r="L50" s="1"/>
      <c r="M50" s="17"/>
      <c r="N50" s="1"/>
    </row>
    <row r="51" spans="1:14" x14ac:dyDescent="0.25">
      <c r="A51" s="21" t="s">
        <v>158</v>
      </c>
      <c r="B51" s="154">
        <f>B42</f>
        <v>8000</v>
      </c>
      <c r="C51" s="1"/>
      <c r="D51" s="207">
        <f>F46</f>
        <v>2013780</v>
      </c>
      <c r="E51" s="211">
        <v>8.35</v>
      </c>
      <c r="F51" s="17">
        <f>E51*(D51/1000)</f>
        <v>16815.062999999998</v>
      </c>
      <c r="G51" s="154"/>
      <c r="H51" s="154"/>
      <c r="I51" s="1"/>
      <c r="J51" s="1"/>
      <c r="K51" s="1"/>
      <c r="L51" s="1"/>
      <c r="M51" s="17"/>
      <c r="N51" s="1"/>
    </row>
    <row r="52" spans="1:14" x14ac:dyDescent="0.25">
      <c r="A52" s="21" t="s">
        <v>158</v>
      </c>
      <c r="B52" s="154">
        <f>B43</f>
        <v>40000</v>
      </c>
      <c r="C52" s="1"/>
      <c r="D52" s="207">
        <f>G46</f>
        <v>2578870</v>
      </c>
      <c r="E52" s="211">
        <v>8.06</v>
      </c>
      <c r="F52" s="17">
        <f>E52*(D52/1000)</f>
        <v>20785.692200000001</v>
      </c>
      <c r="G52" s="154"/>
      <c r="H52" s="154"/>
      <c r="I52" s="1"/>
      <c r="J52" s="1"/>
      <c r="K52" s="1"/>
      <c r="L52" s="1"/>
      <c r="M52" s="17"/>
      <c r="N52" s="1"/>
    </row>
    <row r="53" spans="1:14" x14ac:dyDescent="0.25">
      <c r="A53" s="21" t="s">
        <v>158</v>
      </c>
      <c r="B53" s="154">
        <f>B44</f>
        <v>50000</v>
      </c>
      <c r="C53" s="1"/>
      <c r="D53" s="207">
        <f>H46</f>
        <v>1064960</v>
      </c>
      <c r="E53" s="211">
        <v>7.76</v>
      </c>
      <c r="F53" s="17">
        <f>E53*(D53/1000)</f>
        <v>8264.0895999999993</v>
      </c>
      <c r="G53" s="154"/>
      <c r="H53" s="154"/>
      <c r="I53" s="1"/>
      <c r="J53" s="1"/>
      <c r="K53" s="1"/>
      <c r="L53" s="1"/>
      <c r="M53" s="17"/>
      <c r="N53" s="1"/>
    </row>
    <row r="54" spans="1:14" x14ac:dyDescent="0.25">
      <c r="A54" s="21" t="s">
        <v>159</v>
      </c>
      <c r="B54" s="208">
        <f>B45</f>
        <v>100000</v>
      </c>
      <c r="C54" s="212"/>
      <c r="D54" s="210">
        <f>I46</f>
        <v>2690690</v>
      </c>
      <c r="E54" s="213">
        <v>7.47</v>
      </c>
      <c r="F54" s="22">
        <f t="shared" ref="F54" si="3">E54*(D54/1000)</f>
        <v>20099.454300000001</v>
      </c>
      <c r="G54" s="154"/>
      <c r="H54" s="154"/>
      <c r="I54" s="1"/>
      <c r="J54" s="1"/>
      <c r="K54" s="1"/>
      <c r="L54" s="1"/>
      <c r="M54" s="17"/>
      <c r="N54" s="1"/>
    </row>
    <row r="55" spans="1:14" x14ac:dyDescent="0.25">
      <c r="A55" s="21"/>
      <c r="B55" s="154" t="s">
        <v>42</v>
      </c>
      <c r="C55" s="17">
        <f>SUM(C50:C54)</f>
        <v>605</v>
      </c>
      <c r="D55" s="23">
        <f>SUM(D50:D54)</f>
        <v>9295600</v>
      </c>
      <c r="E55" s="1"/>
      <c r="F55" s="30">
        <f>SUM(F50:F54)</f>
        <v>93449.449100000013</v>
      </c>
      <c r="G55" s="30"/>
      <c r="H55" s="30"/>
      <c r="I55" s="154"/>
      <c r="J55" s="214"/>
      <c r="K55" s="1"/>
      <c r="L55" s="1"/>
      <c r="M55" s="17"/>
      <c r="N55" s="1"/>
    </row>
    <row r="56" spans="1:14" x14ac:dyDescent="0.25">
      <c r="A56" s="21"/>
      <c r="B56" s="154"/>
      <c r="C56" s="17"/>
      <c r="D56" s="23"/>
      <c r="E56" s="1"/>
      <c r="F56" s="30"/>
      <c r="G56" s="154"/>
      <c r="H56" s="154"/>
      <c r="I56" s="154"/>
      <c r="J56" s="154"/>
      <c r="K56" s="1"/>
      <c r="L56" s="1"/>
      <c r="M56" s="17"/>
      <c r="N56" s="1"/>
    </row>
    <row r="57" spans="1:14" ht="15.75" x14ac:dyDescent="0.25">
      <c r="A57" s="203" t="s">
        <v>168</v>
      </c>
      <c r="B57" s="1"/>
      <c r="C57" s="1"/>
      <c r="D57" s="17"/>
      <c r="E57" s="1"/>
      <c r="F57" s="1"/>
      <c r="G57" s="1"/>
      <c r="H57" s="1"/>
      <c r="I57" s="1"/>
      <c r="J57" s="1"/>
      <c r="K57" s="1"/>
      <c r="L57" s="1"/>
      <c r="M57" s="17"/>
      <c r="N57" s="1"/>
    </row>
    <row r="58" spans="1:14" x14ac:dyDescent="0.25">
      <c r="A58" s="1"/>
      <c r="B58" s="1"/>
      <c r="C58" s="1"/>
      <c r="D58" s="17"/>
      <c r="E58" s="20" t="s">
        <v>157</v>
      </c>
      <c r="F58" s="20" t="s">
        <v>158</v>
      </c>
      <c r="G58" s="20" t="s">
        <v>158</v>
      </c>
      <c r="H58" s="20" t="s">
        <v>158</v>
      </c>
      <c r="I58" s="20" t="s">
        <v>159</v>
      </c>
      <c r="J58" s="1"/>
      <c r="K58" s="1"/>
      <c r="L58" s="1"/>
      <c r="M58" s="1"/>
      <c r="N58" s="1"/>
    </row>
    <row r="59" spans="1:14" x14ac:dyDescent="0.25">
      <c r="A59" s="1"/>
      <c r="B59" s="204" t="s">
        <v>160</v>
      </c>
      <c r="C59" s="205" t="s">
        <v>148</v>
      </c>
      <c r="D59" s="121" t="s">
        <v>149</v>
      </c>
      <c r="E59" s="205">
        <f>B60</f>
        <v>2000</v>
      </c>
      <c r="F59" s="205">
        <f>B61</f>
        <v>8000</v>
      </c>
      <c r="G59" s="205">
        <f>B62</f>
        <v>40000</v>
      </c>
      <c r="H59" s="205">
        <f>B63</f>
        <v>50000</v>
      </c>
      <c r="I59" s="205">
        <f>B64</f>
        <v>100000</v>
      </c>
      <c r="J59" s="204" t="s">
        <v>42</v>
      </c>
      <c r="K59" s="1"/>
      <c r="L59" s="1"/>
      <c r="M59" s="1"/>
      <c r="N59" s="1"/>
    </row>
    <row r="60" spans="1:14" x14ac:dyDescent="0.25">
      <c r="A60" s="21" t="s">
        <v>157</v>
      </c>
      <c r="B60" s="154">
        <v>2000</v>
      </c>
      <c r="C60" s="206">
        <v>24</v>
      </c>
      <c r="D60" s="207">
        <v>15400</v>
      </c>
      <c r="E60" s="207">
        <f>D60</f>
        <v>15400</v>
      </c>
      <c r="F60" s="207">
        <v>0</v>
      </c>
      <c r="G60" s="207">
        <v>0</v>
      </c>
      <c r="H60" s="207">
        <v>0</v>
      </c>
      <c r="I60" s="207">
        <v>0</v>
      </c>
      <c r="J60" s="207">
        <f>SUM(E60:I60)</f>
        <v>15400</v>
      </c>
      <c r="K60" s="1"/>
      <c r="L60" s="1"/>
      <c r="M60" s="1"/>
      <c r="N60" s="1"/>
    </row>
    <row r="61" spans="1:14" x14ac:dyDescent="0.25">
      <c r="A61" s="21" t="s">
        <v>158</v>
      </c>
      <c r="B61" s="154">
        <v>8000</v>
      </c>
      <c r="C61" s="206">
        <v>18</v>
      </c>
      <c r="D61" s="207">
        <v>91100</v>
      </c>
      <c r="E61" s="207">
        <f>C61*E59</f>
        <v>36000</v>
      </c>
      <c r="F61" s="207">
        <f>D61-E61</f>
        <v>55100</v>
      </c>
      <c r="G61" s="207">
        <v>0</v>
      </c>
      <c r="H61" s="207">
        <v>0</v>
      </c>
      <c r="I61" s="207">
        <v>0</v>
      </c>
      <c r="J61" s="207">
        <f>SUM(E61:I61)</f>
        <v>91100</v>
      </c>
      <c r="K61" s="1"/>
      <c r="L61" s="1"/>
      <c r="M61" s="1"/>
      <c r="N61" s="1"/>
    </row>
    <row r="62" spans="1:14" x14ac:dyDescent="0.25">
      <c r="A62" s="21" t="s">
        <v>158</v>
      </c>
      <c r="B62" s="154">
        <v>40000</v>
      </c>
      <c r="C62" s="206">
        <v>11</v>
      </c>
      <c r="D62" s="207">
        <v>373200</v>
      </c>
      <c r="E62" s="207">
        <f>C62*E59</f>
        <v>22000</v>
      </c>
      <c r="F62" s="207">
        <f>C62*F59</f>
        <v>88000</v>
      </c>
      <c r="G62" s="207">
        <f>D62-E62-F62</f>
        <v>263200</v>
      </c>
      <c r="H62" s="207">
        <v>0</v>
      </c>
      <c r="I62" s="207">
        <v>0</v>
      </c>
      <c r="J62" s="207">
        <f>SUM(E62:I62)</f>
        <v>373200</v>
      </c>
      <c r="K62" s="1"/>
      <c r="L62" s="1"/>
      <c r="M62" s="1"/>
      <c r="N62" s="1"/>
    </row>
    <row r="63" spans="1:14" x14ac:dyDescent="0.25">
      <c r="A63" s="21" t="s">
        <v>158</v>
      </c>
      <c r="B63" s="154">
        <v>50000</v>
      </c>
      <c r="C63" s="206">
        <v>5</v>
      </c>
      <c r="D63" s="207">
        <v>328100</v>
      </c>
      <c r="E63" s="207">
        <f>C63*E59</f>
        <v>10000</v>
      </c>
      <c r="F63" s="207">
        <f>C63*F59</f>
        <v>40000</v>
      </c>
      <c r="G63" s="207">
        <f>C63*G59</f>
        <v>200000</v>
      </c>
      <c r="H63" s="207">
        <f>D63-E63-F63-G63</f>
        <v>78100</v>
      </c>
      <c r="I63" s="2">
        <v>0</v>
      </c>
      <c r="J63" s="207">
        <f>SUM(E63:I63)</f>
        <v>328100</v>
      </c>
      <c r="K63" s="1"/>
      <c r="L63" s="1"/>
      <c r="M63" s="1"/>
      <c r="N63" s="1"/>
    </row>
    <row r="64" spans="1:14" x14ac:dyDescent="0.25">
      <c r="A64" s="21" t="s">
        <v>159</v>
      </c>
      <c r="B64" s="208">
        <v>100000</v>
      </c>
      <c r="C64" s="209">
        <v>15</v>
      </c>
      <c r="D64" s="210">
        <v>2828300</v>
      </c>
      <c r="E64" s="210">
        <f>C64*E59</f>
        <v>30000</v>
      </c>
      <c r="F64" s="210">
        <f>C64*F59</f>
        <v>120000</v>
      </c>
      <c r="G64" s="210">
        <f>C64*G59</f>
        <v>600000</v>
      </c>
      <c r="H64" s="210">
        <f>C64*H59</f>
        <v>750000</v>
      </c>
      <c r="I64" s="29">
        <f>D64-E64-F64-G64-H64</f>
        <v>1328300</v>
      </c>
      <c r="J64" s="210">
        <f>SUM(E64:I64)</f>
        <v>2828300</v>
      </c>
      <c r="K64" s="1"/>
      <c r="L64" s="1"/>
      <c r="M64" s="1"/>
      <c r="N64" s="1"/>
    </row>
    <row r="65" spans="1:14" x14ac:dyDescent="0.25">
      <c r="A65" s="21"/>
      <c r="B65" s="154" t="s">
        <v>42</v>
      </c>
      <c r="C65" s="23">
        <f t="shared" ref="C65:H65" si="4">SUM(C60:C64)</f>
        <v>73</v>
      </c>
      <c r="D65" s="23">
        <f t="shared" si="4"/>
        <v>3636100</v>
      </c>
      <c r="E65" s="23">
        <f t="shared" si="4"/>
        <v>113400</v>
      </c>
      <c r="F65" s="23">
        <f t="shared" si="4"/>
        <v>303100</v>
      </c>
      <c r="G65" s="23">
        <f t="shared" si="4"/>
        <v>1063200</v>
      </c>
      <c r="H65" s="23">
        <f t="shared" si="4"/>
        <v>828100</v>
      </c>
      <c r="I65" s="23">
        <f>SUM(I60:I64)</f>
        <v>1328300</v>
      </c>
      <c r="J65" s="23">
        <f>SUM(J60:J64)</f>
        <v>3636100</v>
      </c>
      <c r="K65" s="1"/>
      <c r="L65" s="17"/>
      <c r="M65" s="1"/>
      <c r="N65" s="1"/>
    </row>
    <row r="66" spans="1:14" x14ac:dyDescent="0.25">
      <c r="A66" s="21"/>
      <c r="B66" s="154"/>
      <c r="C66" s="1"/>
      <c r="D66" s="17"/>
      <c r="E66" s="154"/>
      <c r="F66" s="154"/>
      <c r="G66" s="154"/>
      <c r="H66" s="154"/>
      <c r="I66" s="154"/>
      <c r="J66" s="154"/>
      <c r="K66" s="1"/>
      <c r="L66" s="1"/>
      <c r="M66" s="17"/>
      <c r="N66" s="1"/>
    </row>
    <row r="67" spans="1:14" x14ac:dyDescent="0.25">
      <c r="A67" s="155" t="s">
        <v>165</v>
      </c>
      <c r="B67" s="155"/>
      <c r="C67" s="1"/>
      <c r="D67" s="17"/>
      <c r="E67" s="154"/>
      <c r="F67" s="154"/>
      <c r="G67" s="154"/>
      <c r="H67" s="154"/>
      <c r="I67" s="154"/>
      <c r="J67" s="154"/>
      <c r="K67" s="1"/>
      <c r="L67" s="1"/>
      <c r="M67" s="17"/>
      <c r="N67" s="1"/>
    </row>
    <row r="68" spans="1:14" x14ac:dyDescent="0.25">
      <c r="A68" s="21"/>
      <c r="B68" s="204"/>
      <c r="C68" s="205" t="s">
        <v>148</v>
      </c>
      <c r="D68" s="121" t="s">
        <v>149</v>
      </c>
      <c r="E68" s="205" t="s">
        <v>161</v>
      </c>
      <c r="F68" s="205" t="s">
        <v>150</v>
      </c>
      <c r="G68" s="154"/>
      <c r="H68" s="154"/>
      <c r="I68" s="154"/>
      <c r="J68" s="154"/>
      <c r="K68" s="1"/>
      <c r="L68" s="1"/>
      <c r="M68" s="17"/>
      <c r="N68" s="1"/>
    </row>
    <row r="69" spans="1:14" x14ac:dyDescent="0.25">
      <c r="A69" s="21" t="s">
        <v>157</v>
      </c>
      <c r="B69" s="154">
        <f>B60</f>
        <v>2000</v>
      </c>
      <c r="C69" s="17">
        <f>C65</f>
        <v>73</v>
      </c>
      <c r="D69" s="207">
        <f>E65</f>
        <v>113400</v>
      </c>
      <c r="E69" s="211">
        <v>64.67</v>
      </c>
      <c r="F69" s="30">
        <f>E69*C69</f>
        <v>4720.91</v>
      </c>
      <c r="G69" s="154"/>
      <c r="H69" s="154"/>
      <c r="I69" s="1"/>
      <c r="J69" s="1"/>
      <c r="K69" s="1"/>
      <c r="L69" s="1"/>
      <c r="M69" s="17"/>
      <c r="N69" s="1"/>
    </row>
    <row r="70" spans="1:14" x14ac:dyDescent="0.25">
      <c r="A70" s="21" t="s">
        <v>158</v>
      </c>
      <c r="B70" s="154">
        <f>B61</f>
        <v>8000</v>
      </c>
      <c r="C70" s="1"/>
      <c r="D70" s="207">
        <f>F65</f>
        <v>303100</v>
      </c>
      <c r="E70" s="211">
        <v>8.35</v>
      </c>
      <c r="F70" s="17">
        <f>E70*(D70/1000)</f>
        <v>2530.8850000000002</v>
      </c>
      <c r="G70" s="154"/>
      <c r="H70" s="154"/>
      <c r="I70" s="1"/>
      <c r="J70" s="1"/>
      <c r="K70" s="1"/>
      <c r="L70" s="1"/>
      <c r="M70" s="17"/>
      <c r="N70" s="1"/>
    </row>
    <row r="71" spans="1:14" x14ac:dyDescent="0.25">
      <c r="A71" s="21" t="s">
        <v>158</v>
      </c>
      <c r="B71" s="154">
        <f>B62</f>
        <v>40000</v>
      </c>
      <c r="C71" s="1"/>
      <c r="D71" s="207">
        <f>G65</f>
        <v>1063200</v>
      </c>
      <c r="E71" s="211">
        <v>8.06</v>
      </c>
      <c r="F71" s="17">
        <f>E71*(D71/1000)</f>
        <v>8569.3920000000016</v>
      </c>
      <c r="G71" s="154"/>
      <c r="H71" s="154"/>
      <c r="I71" s="1"/>
      <c r="J71" s="1"/>
      <c r="K71" s="1"/>
      <c r="L71" s="1"/>
      <c r="M71" s="17"/>
      <c r="N71" s="1"/>
    </row>
    <row r="72" spans="1:14" x14ac:dyDescent="0.25">
      <c r="A72" s="21" t="s">
        <v>158</v>
      </c>
      <c r="B72" s="154">
        <f>B63</f>
        <v>50000</v>
      </c>
      <c r="C72" s="1"/>
      <c r="D72" s="207">
        <f>H65</f>
        <v>828100</v>
      </c>
      <c r="E72" s="211">
        <v>7.76</v>
      </c>
      <c r="F72" s="17">
        <f>E72*(D72/1000)</f>
        <v>6426.0559999999996</v>
      </c>
      <c r="G72" s="154"/>
      <c r="H72" s="154"/>
      <c r="I72" s="1"/>
      <c r="J72" s="1"/>
      <c r="K72" s="1"/>
      <c r="L72" s="1"/>
      <c r="M72" s="17"/>
      <c r="N72" s="1"/>
    </row>
    <row r="73" spans="1:14" x14ac:dyDescent="0.25">
      <c r="A73" s="21" t="s">
        <v>159</v>
      </c>
      <c r="B73" s="208">
        <f>B64</f>
        <v>100000</v>
      </c>
      <c r="C73" s="212"/>
      <c r="D73" s="210">
        <f>I65</f>
        <v>1328300</v>
      </c>
      <c r="E73" s="213">
        <v>7.47</v>
      </c>
      <c r="F73" s="22">
        <f t="shared" ref="F73" si="5">E73*(D73/1000)</f>
        <v>9922.4009999999998</v>
      </c>
      <c r="G73" s="154"/>
      <c r="H73" s="154"/>
      <c r="I73" s="1"/>
      <c r="J73" s="1"/>
      <c r="K73" s="1"/>
      <c r="L73" s="1"/>
      <c r="M73" s="17"/>
      <c r="N73" s="1"/>
    </row>
    <row r="74" spans="1:14" x14ac:dyDescent="0.25">
      <c r="A74" s="21"/>
      <c r="B74" s="154" t="s">
        <v>42</v>
      </c>
      <c r="C74" s="17">
        <f>SUM(C69:C73)</f>
        <v>73</v>
      </c>
      <c r="D74" s="23">
        <f>SUM(D69:D73)</f>
        <v>3636100</v>
      </c>
      <c r="E74" s="1"/>
      <c r="F74" s="30">
        <f>SUM(F69:F73)</f>
        <v>32169.644</v>
      </c>
      <c r="G74" s="30"/>
      <c r="H74" s="30"/>
      <c r="I74" s="154"/>
      <c r="J74" s="214"/>
      <c r="K74" s="1"/>
      <c r="L74" s="1"/>
      <c r="M74" s="17"/>
      <c r="N74" s="1"/>
    </row>
    <row r="75" spans="1:14" x14ac:dyDescent="0.25">
      <c r="A75" s="21"/>
      <c r="B75" s="154"/>
      <c r="C75" s="17"/>
      <c r="D75" s="23"/>
      <c r="E75" s="1"/>
      <c r="F75" s="30"/>
      <c r="G75" s="30"/>
      <c r="H75" s="30"/>
      <c r="I75" s="154"/>
      <c r="J75" s="214"/>
      <c r="K75" s="1"/>
      <c r="L75" s="1"/>
      <c r="M75" s="17"/>
      <c r="N75" s="1"/>
    </row>
    <row r="76" spans="1:14" ht="15.75" x14ac:dyDescent="0.25">
      <c r="A76" s="203" t="s">
        <v>166</v>
      </c>
      <c r="B76" s="1"/>
      <c r="C76" s="1"/>
      <c r="D76" s="17"/>
      <c r="E76" s="1"/>
      <c r="F76" s="1"/>
      <c r="G76" s="1"/>
      <c r="H76" s="1"/>
      <c r="I76" s="1"/>
      <c r="J76" s="1"/>
      <c r="K76" s="1"/>
      <c r="L76" s="1"/>
      <c r="M76" s="17"/>
      <c r="N76" s="1"/>
    </row>
    <row r="77" spans="1:14" x14ac:dyDescent="0.25">
      <c r="A77" s="1"/>
      <c r="B77" s="1"/>
      <c r="C77" s="1"/>
      <c r="D77" s="17"/>
      <c r="E77" s="20" t="s">
        <v>157</v>
      </c>
      <c r="F77" s="20" t="s">
        <v>158</v>
      </c>
      <c r="G77" s="20" t="s">
        <v>158</v>
      </c>
      <c r="H77" s="20" t="s">
        <v>158</v>
      </c>
      <c r="I77" s="20" t="s">
        <v>159</v>
      </c>
      <c r="J77" s="1"/>
      <c r="K77" s="1"/>
      <c r="L77" s="1"/>
      <c r="M77" s="17"/>
      <c r="N77" s="1"/>
    </row>
    <row r="78" spans="1:14" x14ac:dyDescent="0.25">
      <c r="A78" s="1"/>
      <c r="B78" s="204" t="s">
        <v>160</v>
      </c>
      <c r="C78" s="205" t="s">
        <v>148</v>
      </c>
      <c r="D78" s="121" t="s">
        <v>149</v>
      </c>
      <c r="E78" s="205">
        <f>B79</f>
        <v>2000</v>
      </c>
      <c r="F78" s="205">
        <f>B80</f>
        <v>8000</v>
      </c>
      <c r="G78" s="205">
        <f>B81</f>
        <v>40000</v>
      </c>
      <c r="H78" s="205">
        <f>B82</f>
        <v>50000</v>
      </c>
      <c r="I78" s="205">
        <f>B83</f>
        <v>100000</v>
      </c>
      <c r="J78" s="204" t="s">
        <v>42</v>
      </c>
      <c r="K78" s="1"/>
      <c r="L78" s="1"/>
      <c r="M78" s="17"/>
      <c r="N78" s="1"/>
    </row>
    <row r="79" spans="1:14" x14ac:dyDescent="0.25">
      <c r="A79" s="21" t="s">
        <v>157</v>
      </c>
      <c r="B79" s="154">
        <v>2000</v>
      </c>
      <c r="C79" s="206">
        <v>55</v>
      </c>
      <c r="D79" s="207">
        <v>11500</v>
      </c>
      <c r="E79" s="207">
        <f>D79</f>
        <v>11500</v>
      </c>
      <c r="F79" s="207">
        <v>0</v>
      </c>
      <c r="G79" s="207">
        <v>0</v>
      </c>
      <c r="H79" s="207">
        <v>0</v>
      </c>
      <c r="I79" s="207">
        <v>0</v>
      </c>
      <c r="J79" s="207">
        <f>SUM(E79:I79)</f>
        <v>11500</v>
      </c>
      <c r="K79" s="1"/>
      <c r="L79" s="1"/>
      <c r="M79" s="17"/>
      <c r="N79" s="1"/>
    </row>
    <row r="80" spans="1:14" x14ac:dyDescent="0.25">
      <c r="A80" s="21" t="s">
        <v>158</v>
      </c>
      <c r="B80" s="154">
        <v>8000</v>
      </c>
      <c r="C80" s="206">
        <v>43</v>
      </c>
      <c r="D80" s="207">
        <v>249400</v>
      </c>
      <c r="E80" s="207">
        <f>C80*E78</f>
        <v>86000</v>
      </c>
      <c r="F80" s="207">
        <f>D80-E80</f>
        <v>163400</v>
      </c>
      <c r="G80" s="207">
        <v>0</v>
      </c>
      <c r="H80" s="207">
        <v>0</v>
      </c>
      <c r="I80" s="207">
        <v>0</v>
      </c>
      <c r="J80" s="207">
        <f>SUM(E80:I80)</f>
        <v>249400</v>
      </c>
      <c r="K80" s="1"/>
      <c r="L80" s="1"/>
      <c r="M80" s="17"/>
      <c r="N80" s="1"/>
    </row>
    <row r="81" spans="1:14" x14ac:dyDescent="0.25">
      <c r="A81" s="21" t="s">
        <v>158</v>
      </c>
      <c r="B81" s="154">
        <v>40000</v>
      </c>
      <c r="C81" s="206">
        <v>85</v>
      </c>
      <c r="D81" s="207">
        <v>2357400</v>
      </c>
      <c r="E81" s="207">
        <f>C81*E78</f>
        <v>170000</v>
      </c>
      <c r="F81" s="207">
        <f>C81*F78</f>
        <v>680000</v>
      </c>
      <c r="G81" s="207">
        <f>D81-E81-F81</f>
        <v>1507400</v>
      </c>
      <c r="H81" s="207">
        <v>0</v>
      </c>
      <c r="I81" s="207">
        <v>0</v>
      </c>
      <c r="J81" s="207">
        <f>SUM(E81:I81)</f>
        <v>2357400</v>
      </c>
      <c r="K81" s="1"/>
      <c r="L81" s="1"/>
      <c r="M81" s="17"/>
      <c r="N81" s="1"/>
    </row>
    <row r="82" spans="1:14" x14ac:dyDescent="0.25">
      <c r="A82" s="21" t="s">
        <v>158</v>
      </c>
      <c r="B82" s="154">
        <v>50000</v>
      </c>
      <c r="C82" s="206">
        <v>24</v>
      </c>
      <c r="D82" s="207">
        <v>1668500</v>
      </c>
      <c r="E82" s="207">
        <f>C82*E78</f>
        <v>48000</v>
      </c>
      <c r="F82" s="207">
        <f>C82*F78</f>
        <v>192000</v>
      </c>
      <c r="G82" s="207">
        <f>C82*G78</f>
        <v>960000</v>
      </c>
      <c r="H82" s="207">
        <f>D82-E82-F82-G82</f>
        <v>468500</v>
      </c>
      <c r="I82" s="2">
        <v>0</v>
      </c>
      <c r="J82" s="207">
        <f>SUM(E82:I82)</f>
        <v>1668500</v>
      </c>
      <c r="K82" s="1"/>
      <c r="L82" s="1"/>
      <c r="M82" s="17"/>
      <c r="N82" s="1"/>
    </row>
    <row r="83" spans="1:14" x14ac:dyDescent="0.25">
      <c r="A83" s="21" t="s">
        <v>159</v>
      </c>
      <c r="B83" s="208">
        <v>100000</v>
      </c>
      <c r="C83" s="209">
        <v>34</v>
      </c>
      <c r="D83" s="210">
        <v>5140600</v>
      </c>
      <c r="E83" s="210">
        <f>C83*E78</f>
        <v>68000</v>
      </c>
      <c r="F83" s="210">
        <f>C83*F78</f>
        <v>272000</v>
      </c>
      <c r="G83" s="210">
        <f>C83*G78</f>
        <v>1360000</v>
      </c>
      <c r="H83" s="210">
        <f>C83*H78</f>
        <v>1700000</v>
      </c>
      <c r="I83" s="29">
        <f>D83-E83-F83-G83-H83</f>
        <v>1740600</v>
      </c>
      <c r="J83" s="210">
        <f>SUM(E83:I83)</f>
        <v>5140600</v>
      </c>
      <c r="K83" s="1"/>
      <c r="L83" s="1"/>
      <c r="M83" s="17"/>
      <c r="N83" s="1"/>
    </row>
    <row r="84" spans="1:14" x14ac:dyDescent="0.25">
      <c r="A84" s="21"/>
      <c r="B84" s="154" t="s">
        <v>42</v>
      </c>
      <c r="C84" s="23">
        <f t="shared" ref="C84:H84" si="6">SUM(C79:C83)</f>
        <v>241</v>
      </c>
      <c r="D84" s="23">
        <f t="shared" si="6"/>
        <v>9427400</v>
      </c>
      <c r="E84" s="23">
        <f t="shared" si="6"/>
        <v>383500</v>
      </c>
      <c r="F84" s="23">
        <f t="shared" si="6"/>
        <v>1307400</v>
      </c>
      <c r="G84" s="23">
        <f t="shared" si="6"/>
        <v>3827400</v>
      </c>
      <c r="H84" s="23">
        <f t="shared" si="6"/>
        <v>2168500</v>
      </c>
      <c r="I84" s="23">
        <f>SUM(I79:I83)</f>
        <v>1740600</v>
      </c>
      <c r="J84" s="23">
        <f>SUM(J79:J83)</f>
        <v>9427400</v>
      </c>
      <c r="K84" s="1"/>
      <c r="L84" s="1"/>
      <c r="M84" s="17"/>
      <c r="N84" s="1"/>
    </row>
    <row r="85" spans="1:14" x14ac:dyDescent="0.25">
      <c r="A85" s="21"/>
      <c r="B85" s="154"/>
      <c r="C85" s="1"/>
      <c r="D85" s="17"/>
      <c r="E85" s="154"/>
      <c r="F85" s="154"/>
      <c r="G85" s="154"/>
      <c r="H85" s="154"/>
      <c r="I85" s="154"/>
      <c r="J85" s="154"/>
      <c r="K85" s="1"/>
      <c r="L85" s="1"/>
      <c r="M85" s="17"/>
      <c r="N85" s="1"/>
    </row>
    <row r="86" spans="1:14" x14ac:dyDescent="0.25">
      <c r="A86" s="155" t="s">
        <v>165</v>
      </c>
      <c r="B86" s="155"/>
      <c r="C86" s="1"/>
      <c r="D86" s="17"/>
      <c r="E86" s="154"/>
      <c r="F86" s="154"/>
      <c r="G86" s="154"/>
      <c r="H86" s="154"/>
      <c r="I86" s="154"/>
      <c r="J86" s="154"/>
      <c r="K86" s="1"/>
      <c r="L86" s="1"/>
      <c r="M86" s="17"/>
      <c r="N86" s="1"/>
    </row>
    <row r="87" spans="1:14" x14ac:dyDescent="0.25">
      <c r="A87" s="21"/>
      <c r="B87" s="204"/>
      <c r="C87" s="205" t="s">
        <v>148</v>
      </c>
      <c r="D87" s="121" t="s">
        <v>149</v>
      </c>
      <c r="E87" s="205" t="s">
        <v>161</v>
      </c>
      <c r="F87" s="205" t="s">
        <v>150</v>
      </c>
      <c r="G87" s="154"/>
      <c r="H87" s="154"/>
      <c r="I87" s="154"/>
      <c r="J87" s="154"/>
      <c r="K87" s="1"/>
      <c r="L87" s="1"/>
      <c r="M87" s="17"/>
      <c r="N87" s="1"/>
    </row>
    <row r="88" spans="1:14" x14ac:dyDescent="0.25">
      <c r="A88" s="21" t="s">
        <v>157</v>
      </c>
      <c r="B88" s="154">
        <f>B79</f>
        <v>2000</v>
      </c>
      <c r="C88" s="17">
        <f>C84</f>
        <v>241</v>
      </c>
      <c r="D88" s="207">
        <f>E84</f>
        <v>383500</v>
      </c>
      <c r="E88" s="211">
        <v>99.48</v>
      </c>
      <c r="F88" s="30">
        <f>E88*C88</f>
        <v>23974.68</v>
      </c>
      <c r="G88" s="154"/>
      <c r="H88" s="154"/>
      <c r="I88" s="1"/>
      <c r="J88" s="1"/>
      <c r="K88" s="1"/>
      <c r="L88" s="1"/>
      <c r="M88" s="17"/>
      <c r="N88" s="1"/>
    </row>
    <row r="89" spans="1:14" x14ac:dyDescent="0.25">
      <c r="A89" s="21" t="s">
        <v>158</v>
      </c>
      <c r="B89" s="154">
        <f>B80</f>
        <v>8000</v>
      </c>
      <c r="C89" s="1"/>
      <c r="D89" s="207">
        <f>F84</f>
        <v>1307400</v>
      </c>
      <c r="E89" s="211">
        <v>8.35</v>
      </c>
      <c r="F89" s="17">
        <f>E89*(D89/1000)</f>
        <v>10916.79</v>
      </c>
      <c r="G89" s="154"/>
      <c r="H89" s="154"/>
      <c r="I89" s="1"/>
      <c r="J89" s="1"/>
      <c r="K89" s="1"/>
      <c r="L89" s="1"/>
      <c r="M89" s="17"/>
      <c r="N89" s="1"/>
    </row>
    <row r="90" spans="1:14" x14ac:dyDescent="0.25">
      <c r="A90" s="21" t="s">
        <v>158</v>
      </c>
      <c r="B90" s="154">
        <f>B81</f>
        <v>40000</v>
      </c>
      <c r="C90" s="1"/>
      <c r="D90" s="207">
        <f>G84</f>
        <v>3827400</v>
      </c>
      <c r="E90" s="211">
        <v>8.06</v>
      </c>
      <c r="F90" s="17">
        <f>E90*(D90/1000)</f>
        <v>30848.844000000001</v>
      </c>
      <c r="G90" s="154"/>
      <c r="H90" s="154"/>
      <c r="I90" s="1"/>
      <c r="J90" s="1"/>
      <c r="K90" s="1"/>
      <c r="L90" s="1"/>
      <c r="M90" s="17"/>
      <c r="N90" s="1"/>
    </row>
    <row r="91" spans="1:14" x14ac:dyDescent="0.25">
      <c r="A91" s="21" t="s">
        <v>158</v>
      </c>
      <c r="B91" s="154">
        <f>B82</f>
        <v>50000</v>
      </c>
      <c r="C91" s="1"/>
      <c r="D91" s="207">
        <f>H84</f>
        <v>2168500</v>
      </c>
      <c r="E91" s="211">
        <v>7.76</v>
      </c>
      <c r="F91" s="17">
        <f>E91*(D91/1000)</f>
        <v>16827.560000000001</v>
      </c>
      <c r="G91" s="154"/>
      <c r="H91" s="154"/>
      <c r="I91" s="1"/>
      <c r="J91" s="1"/>
      <c r="K91" s="1"/>
      <c r="L91" s="1"/>
      <c r="M91" s="17"/>
      <c r="N91" s="1"/>
    </row>
    <row r="92" spans="1:14" x14ac:dyDescent="0.25">
      <c r="A92" s="21" t="s">
        <v>159</v>
      </c>
      <c r="B92" s="208">
        <f>B83</f>
        <v>100000</v>
      </c>
      <c r="C92" s="212"/>
      <c r="D92" s="210">
        <f>I84</f>
        <v>1740600</v>
      </c>
      <c r="E92" s="213">
        <v>7.47</v>
      </c>
      <c r="F92" s="22">
        <f t="shared" ref="F92" si="7">E92*(D92/1000)</f>
        <v>13002.281999999999</v>
      </c>
      <c r="G92" s="154"/>
      <c r="H92" s="154"/>
      <c r="I92" s="1"/>
      <c r="J92" s="1"/>
      <c r="K92" s="1"/>
      <c r="L92" s="1"/>
      <c r="M92" s="17"/>
      <c r="N92" s="1"/>
    </row>
    <row r="93" spans="1:14" x14ac:dyDescent="0.25">
      <c r="A93" s="21"/>
      <c r="B93" s="154" t="s">
        <v>42</v>
      </c>
      <c r="C93" s="17">
        <f>SUM(C88:C92)</f>
        <v>241</v>
      </c>
      <c r="D93" s="23">
        <f>SUM(D88:D92)</f>
        <v>9427400</v>
      </c>
      <c r="E93" s="1"/>
      <c r="F93" s="30">
        <f>SUM(F88:F92)</f>
        <v>95570.155999999988</v>
      </c>
      <c r="G93" s="30"/>
      <c r="H93" s="30"/>
      <c r="I93" s="154"/>
      <c r="J93" s="214"/>
      <c r="K93" s="1"/>
      <c r="L93" s="1"/>
      <c r="M93" s="17"/>
      <c r="N93" s="1"/>
    </row>
    <row r="94" spans="1:14" x14ac:dyDescent="0.25">
      <c r="A94" s="21"/>
      <c r="B94" s="154"/>
      <c r="C94" s="17"/>
      <c r="D94" s="207"/>
      <c r="E94" s="211"/>
      <c r="F94" s="23"/>
      <c r="G94" s="154"/>
      <c r="H94" s="154"/>
      <c r="I94" s="1"/>
      <c r="J94" s="214"/>
      <c r="K94" s="1"/>
      <c r="L94" s="1"/>
      <c r="M94" s="17"/>
      <c r="N94" s="1"/>
    </row>
    <row r="95" spans="1:14" ht="15.75" x14ac:dyDescent="0.25">
      <c r="A95" s="203" t="s">
        <v>169</v>
      </c>
      <c r="B95" s="1"/>
      <c r="C95" s="1"/>
      <c r="D95" s="17"/>
      <c r="E95" s="1"/>
      <c r="F95" s="1"/>
      <c r="G95" s="1"/>
      <c r="H95" s="1"/>
      <c r="I95" s="1"/>
      <c r="J95" s="1"/>
      <c r="K95" s="1"/>
      <c r="L95" s="1"/>
      <c r="M95" s="17"/>
      <c r="N95" s="1"/>
    </row>
    <row r="96" spans="1:14" x14ac:dyDescent="0.25">
      <c r="A96" s="1"/>
      <c r="B96" s="1"/>
      <c r="C96" s="1"/>
      <c r="D96" s="17"/>
      <c r="E96" s="20" t="s">
        <v>157</v>
      </c>
      <c r="F96" s="20" t="s">
        <v>158</v>
      </c>
      <c r="G96" s="20" t="s">
        <v>158</v>
      </c>
      <c r="H96" s="20" t="s">
        <v>158</v>
      </c>
      <c r="I96" s="20" t="s">
        <v>159</v>
      </c>
      <c r="J96" s="1"/>
      <c r="K96" s="1"/>
      <c r="L96" s="1"/>
      <c r="M96" s="17"/>
      <c r="N96" s="1"/>
    </row>
    <row r="97" spans="1:14" x14ac:dyDescent="0.25">
      <c r="A97" s="1"/>
      <c r="B97" s="204" t="s">
        <v>160</v>
      </c>
      <c r="C97" s="205" t="s">
        <v>148</v>
      </c>
      <c r="D97" s="121" t="s">
        <v>149</v>
      </c>
      <c r="E97" s="205">
        <f>B98</f>
        <v>2000</v>
      </c>
      <c r="F97" s="205">
        <f>B99</f>
        <v>8000</v>
      </c>
      <c r="G97" s="205">
        <f>B100</f>
        <v>40000</v>
      </c>
      <c r="H97" s="205">
        <f>B101</f>
        <v>50000</v>
      </c>
      <c r="I97" s="205">
        <f>B102</f>
        <v>100000</v>
      </c>
      <c r="J97" s="204" t="s">
        <v>42</v>
      </c>
      <c r="K97" s="1"/>
      <c r="L97" s="1"/>
      <c r="M97" s="17"/>
      <c r="N97" s="1"/>
    </row>
    <row r="98" spans="1:14" x14ac:dyDescent="0.25">
      <c r="A98" s="21" t="s">
        <v>157</v>
      </c>
      <c r="B98" s="154">
        <v>2000</v>
      </c>
      <c r="C98" s="206"/>
      <c r="D98" s="207"/>
      <c r="E98" s="207">
        <f>D98</f>
        <v>0</v>
      </c>
      <c r="F98" s="207">
        <v>0</v>
      </c>
      <c r="G98" s="207">
        <v>0</v>
      </c>
      <c r="H98" s="207">
        <v>0</v>
      </c>
      <c r="I98" s="207">
        <v>0</v>
      </c>
      <c r="J98" s="207">
        <f>SUM(E98:I98)</f>
        <v>0</v>
      </c>
      <c r="K98" s="1"/>
      <c r="L98" s="1"/>
      <c r="M98" s="17"/>
      <c r="N98" s="1"/>
    </row>
    <row r="99" spans="1:14" x14ac:dyDescent="0.25">
      <c r="A99" s="21" t="s">
        <v>158</v>
      </c>
      <c r="B99" s="154">
        <v>8000</v>
      </c>
      <c r="C99" s="206"/>
      <c r="D99" s="207"/>
      <c r="E99" s="207">
        <f>C99*E97</f>
        <v>0</v>
      </c>
      <c r="F99" s="207">
        <f>D99-E99</f>
        <v>0</v>
      </c>
      <c r="G99" s="207">
        <v>0</v>
      </c>
      <c r="H99" s="207">
        <v>0</v>
      </c>
      <c r="I99" s="207">
        <v>0</v>
      </c>
      <c r="J99" s="207">
        <f>SUM(E99:I99)</f>
        <v>0</v>
      </c>
      <c r="K99" s="1"/>
      <c r="L99" s="17"/>
      <c r="M99" s="1"/>
      <c r="N99" s="1"/>
    </row>
    <row r="100" spans="1:14" x14ac:dyDescent="0.25">
      <c r="A100" s="21" t="s">
        <v>158</v>
      </c>
      <c r="B100" s="154">
        <v>40000</v>
      </c>
      <c r="C100" s="206"/>
      <c r="D100" s="207"/>
      <c r="E100" s="207">
        <f>C100*E97</f>
        <v>0</v>
      </c>
      <c r="F100" s="207">
        <f>C100*F97</f>
        <v>0</v>
      </c>
      <c r="G100" s="207">
        <f>D100-E100-F100</f>
        <v>0</v>
      </c>
      <c r="H100" s="207">
        <v>0</v>
      </c>
      <c r="I100" s="207">
        <v>0</v>
      </c>
      <c r="J100" s="207">
        <f>SUM(E100:I100)</f>
        <v>0</v>
      </c>
      <c r="K100" s="1"/>
      <c r="L100" s="1"/>
      <c r="M100" s="1"/>
      <c r="N100" s="1"/>
    </row>
    <row r="101" spans="1:14" x14ac:dyDescent="0.25">
      <c r="A101" s="21" t="s">
        <v>158</v>
      </c>
      <c r="B101" s="154">
        <v>50000</v>
      </c>
      <c r="C101" s="206"/>
      <c r="D101" s="207"/>
      <c r="E101" s="207">
        <f>C101*E97</f>
        <v>0</v>
      </c>
      <c r="F101" s="207">
        <f>C101*F97</f>
        <v>0</v>
      </c>
      <c r="G101" s="207">
        <f>C101*G97</f>
        <v>0</v>
      </c>
      <c r="H101" s="207">
        <f>D101-E101-F101-G101</f>
        <v>0</v>
      </c>
      <c r="I101" s="2">
        <v>0</v>
      </c>
      <c r="J101" s="207">
        <f>SUM(E101:I101)</f>
        <v>0</v>
      </c>
      <c r="K101" s="1"/>
      <c r="L101" s="215"/>
      <c r="M101" s="1"/>
      <c r="N101" s="1"/>
    </row>
    <row r="102" spans="1:14" x14ac:dyDescent="0.25">
      <c r="A102" s="21" t="s">
        <v>159</v>
      </c>
      <c r="B102" s="208">
        <v>100000</v>
      </c>
      <c r="C102" s="209">
        <v>11</v>
      </c>
      <c r="D102" s="210">
        <v>4147800</v>
      </c>
      <c r="E102" s="210">
        <f>C102*E97</f>
        <v>22000</v>
      </c>
      <c r="F102" s="210">
        <f>C102*F97</f>
        <v>88000</v>
      </c>
      <c r="G102" s="210">
        <f>C102*G97</f>
        <v>440000</v>
      </c>
      <c r="H102" s="210">
        <f>C102*H97</f>
        <v>550000</v>
      </c>
      <c r="I102" s="29">
        <f>D102-E102-F102-G102-H102</f>
        <v>3047800</v>
      </c>
      <c r="J102" s="210">
        <f>SUM(E102:I102)</f>
        <v>4147800</v>
      </c>
      <c r="K102" s="1"/>
      <c r="L102" s="20"/>
      <c r="M102" s="1"/>
      <c r="N102" s="1"/>
    </row>
    <row r="103" spans="1:14" x14ac:dyDescent="0.25">
      <c r="A103" s="21"/>
      <c r="B103" s="154" t="s">
        <v>42</v>
      </c>
      <c r="C103" s="23">
        <f t="shared" ref="C103:H103" si="8">SUM(C98:C102)</f>
        <v>11</v>
      </c>
      <c r="D103" s="23">
        <f t="shared" si="8"/>
        <v>4147800</v>
      </c>
      <c r="E103" s="23">
        <f t="shared" si="8"/>
        <v>22000</v>
      </c>
      <c r="F103" s="23">
        <f t="shared" si="8"/>
        <v>88000</v>
      </c>
      <c r="G103" s="23">
        <f t="shared" si="8"/>
        <v>440000</v>
      </c>
      <c r="H103" s="23">
        <f t="shared" si="8"/>
        <v>550000</v>
      </c>
      <c r="I103" s="23">
        <f>SUM(I98:I102)</f>
        <v>3047800</v>
      </c>
      <c r="J103" s="23">
        <f>SUM(J98:J102)</f>
        <v>4147800</v>
      </c>
      <c r="K103" s="1"/>
      <c r="L103" s="1"/>
      <c r="M103" s="17"/>
      <c r="N103" s="1"/>
    </row>
    <row r="104" spans="1:14" x14ac:dyDescent="0.25">
      <c r="A104" s="21"/>
      <c r="B104" s="154"/>
      <c r="C104" s="1"/>
      <c r="D104" s="17"/>
      <c r="E104" s="154"/>
      <c r="F104" s="154"/>
      <c r="G104" s="154"/>
      <c r="H104" s="154"/>
      <c r="I104" s="154"/>
      <c r="J104" s="154"/>
      <c r="K104" s="1"/>
      <c r="L104" s="1"/>
      <c r="M104" s="17"/>
      <c r="N104" s="1"/>
    </row>
    <row r="105" spans="1:14" x14ac:dyDescent="0.25">
      <c r="A105" s="155" t="s">
        <v>165</v>
      </c>
      <c r="B105" s="155"/>
      <c r="C105" s="1"/>
      <c r="D105" s="17"/>
      <c r="E105" s="154"/>
      <c r="F105" s="154"/>
      <c r="G105" s="154"/>
      <c r="H105" s="154"/>
      <c r="I105" s="154"/>
      <c r="J105" s="154"/>
      <c r="K105" s="1"/>
      <c r="L105" s="1"/>
      <c r="M105" s="17"/>
      <c r="N105" s="1"/>
    </row>
    <row r="106" spans="1:14" x14ac:dyDescent="0.25">
      <c r="A106" s="21"/>
      <c r="B106" s="204"/>
      <c r="C106" s="205" t="s">
        <v>148</v>
      </c>
      <c r="D106" s="121" t="s">
        <v>149</v>
      </c>
      <c r="E106" s="205" t="s">
        <v>161</v>
      </c>
      <c r="F106" s="205" t="s">
        <v>150</v>
      </c>
      <c r="G106" s="154"/>
      <c r="H106" s="154"/>
      <c r="I106" s="154"/>
      <c r="J106" s="154"/>
      <c r="K106" s="1"/>
      <c r="L106" s="1"/>
      <c r="M106" s="17"/>
      <c r="N106" s="1"/>
    </row>
    <row r="107" spans="1:14" x14ac:dyDescent="0.25">
      <c r="A107" s="21" t="s">
        <v>157</v>
      </c>
      <c r="B107" s="154">
        <f>B98</f>
        <v>2000</v>
      </c>
      <c r="C107" s="17">
        <f>C103</f>
        <v>11</v>
      </c>
      <c r="D107" s="207">
        <f>E103</f>
        <v>22000</v>
      </c>
      <c r="E107" s="211">
        <v>133.82</v>
      </c>
      <c r="F107" s="30">
        <f>E107*C107</f>
        <v>1472.02</v>
      </c>
      <c r="G107" s="154"/>
      <c r="H107" s="154"/>
      <c r="I107" s="1"/>
      <c r="J107" s="1"/>
      <c r="K107" s="1"/>
      <c r="L107" s="1"/>
      <c r="M107" s="17"/>
      <c r="N107" s="1"/>
    </row>
    <row r="108" spans="1:14" x14ac:dyDescent="0.25">
      <c r="A108" s="21" t="s">
        <v>158</v>
      </c>
      <c r="B108" s="154">
        <f>B99</f>
        <v>8000</v>
      </c>
      <c r="C108" s="1"/>
      <c r="D108" s="207">
        <f>F103</f>
        <v>88000</v>
      </c>
      <c r="E108" s="211">
        <v>8.35</v>
      </c>
      <c r="F108" s="17">
        <f>E108*(D108/1000)</f>
        <v>734.8</v>
      </c>
      <c r="G108" s="154"/>
      <c r="H108" s="154"/>
      <c r="I108" s="1"/>
      <c r="J108" s="1"/>
      <c r="K108" s="1"/>
      <c r="L108" s="1"/>
      <c r="M108" s="17"/>
      <c r="N108" s="1"/>
    </row>
    <row r="109" spans="1:14" x14ac:dyDescent="0.25">
      <c r="A109" s="21" t="s">
        <v>158</v>
      </c>
      <c r="B109" s="154">
        <f>B100</f>
        <v>40000</v>
      </c>
      <c r="C109" s="1"/>
      <c r="D109" s="207">
        <f>G103</f>
        <v>440000</v>
      </c>
      <c r="E109" s="211">
        <v>8.06</v>
      </c>
      <c r="F109" s="17">
        <f>E109*(D109/1000)</f>
        <v>3546.4</v>
      </c>
      <c r="G109" s="154"/>
      <c r="H109" s="154"/>
      <c r="I109" s="1"/>
      <c r="J109" s="1"/>
      <c r="K109" s="1"/>
      <c r="L109" s="1"/>
      <c r="M109" s="17"/>
      <c r="N109" s="1"/>
    </row>
    <row r="110" spans="1:14" x14ac:dyDescent="0.25">
      <c r="A110" s="21" t="s">
        <v>158</v>
      </c>
      <c r="B110" s="154">
        <f>B101</f>
        <v>50000</v>
      </c>
      <c r="C110" s="1"/>
      <c r="D110" s="207">
        <f>H103</f>
        <v>550000</v>
      </c>
      <c r="E110" s="211">
        <v>7.76</v>
      </c>
      <c r="F110" s="17">
        <f>E110*(D110/1000)</f>
        <v>4268</v>
      </c>
      <c r="G110" s="154"/>
      <c r="H110" s="154"/>
      <c r="I110" s="1"/>
      <c r="J110" s="1"/>
      <c r="K110" s="1"/>
      <c r="L110" s="1"/>
      <c r="M110" s="17"/>
      <c r="N110" s="1"/>
    </row>
    <row r="111" spans="1:14" x14ac:dyDescent="0.25">
      <c r="A111" s="21" t="s">
        <v>159</v>
      </c>
      <c r="B111" s="208">
        <f>B102</f>
        <v>100000</v>
      </c>
      <c r="C111" s="212"/>
      <c r="D111" s="210">
        <f>I103</f>
        <v>3047800</v>
      </c>
      <c r="E111" s="213">
        <v>7.47</v>
      </c>
      <c r="F111" s="22">
        <f t="shared" ref="F111" si="9">E111*(D111/1000)</f>
        <v>22767.065999999999</v>
      </c>
      <c r="G111" s="154"/>
      <c r="H111" s="154"/>
      <c r="I111" s="1"/>
      <c r="J111" s="1"/>
    </row>
    <row r="112" spans="1:14" x14ac:dyDescent="0.25">
      <c r="A112" s="21"/>
      <c r="B112" s="154" t="s">
        <v>42</v>
      </c>
      <c r="C112" s="17">
        <f>SUM(C107:C111)</f>
        <v>11</v>
      </c>
      <c r="D112" s="23">
        <f>SUM(D107:D111)</f>
        <v>4147800</v>
      </c>
      <c r="E112" s="1"/>
      <c r="F112" s="30">
        <f>SUM(F107:F111)</f>
        <v>32788.286</v>
      </c>
      <c r="G112" s="30"/>
      <c r="H112" s="30"/>
      <c r="I112" s="154"/>
      <c r="J112" s="214"/>
    </row>
    <row r="114" spans="1:10" ht="15.75" x14ac:dyDescent="0.25">
      <c r="A114" s="203" t="s">
        <v>170</v>
      </c>
      <c r="B114" s="1"/>
      <c r="C114" s="1"/>
      <c r="D114" s="17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7"/>
      <c r="E115" s="20" t="s">
        <v>157</v>
      </c>
      <c r="F115" s="20" t="s">
        <v>158</v>
      </c>
      <c r="G115" s="20" t="s">
        <v>158</v>
      </c>
      <c r="H115" s="20" t="s">
        <v>158</v>
      </c>
      <c r="I115" s="20" t="s">
        <v>159</v>
      </c>
      <c r="J115" s="1"/>
    </row>
    <row r="116" spans="1:10" x14ac:dyDescent="0.25">
      <c r="A116" s="1"/>
      <c r="B116" s="204" t="s">
        <v>160</v>
      </c>
      <c r="C116" s="205" t="s">
        <v>148</v>
      </c>
      <c r="D116" s="121" t="s">
        <v>149</v>
      </c>
      <c r="E116" s="205">
        <f>B117</f>
        <v>2000</v>
      </c>
      <c r="F116" s="205">
        <f>B118</f>
        <v>8000</v>
      </c>
      <c r="G116" s="205">
        <f>B119</f>
        <v>40000</v>
      </c>
      <c r="H116" s="205">
        <f>B120</f>
        <v>50000</v>
      </c>
      <c r="I116" s="205">
        <f>B121</f>
        <v>100000</v>
      </c>
      <c r="J116" s="204" t="s">
        <v>42</v>
      </c>
    </row>
    <row r="117" spans="1:10" x14ac:dyDescent="0.25">
      <c r="A117" s="21" t="s">
        <v>157</v>
      </c>
      <c r="B117" s="154">
        <v>2000</v>
      </c>
      <c r="C117" s="206"/>
      <c r="D117" s="207"/>
      <c r="E117" s="207">
        <f>D117</f>
        <v>0</v>
      </c>
      <c r="F117" s="207">
        <v>0</v>
      </c>
      <c r="G117" s="207">
        <v>0</v>
      </c>
      <c r="H117" s="207">
        <v>0</v>
      </c>
      <c r="I117" s="207">
        <v>0</v>
      </c>
      <c r="J117" s="207">
        <f>SUM(E117:I117)</f>
        <v>0</v>
      </c>
    </row>
    <row r="118" spans="1:10" x14ac:dyDescent="0.25">
      <c r="A118" s="21" t="s">
        <v>158</v>
      </c>
      <c r="B118" s="154">
        <v>8000</v>
      </c>
      <c r="C118" s="206"/>
      <c r="D118" s="207"/>
      <c r="E118" s="207">
        <f>C118*E116</f>
        <v>0</v>
      </c>
      <c r="F118" s="207">
        <f>D118-E118</f>
        <v>0</v>
      </c>
      <c r="G118" s="207">
        <v>0</v>
      </c>
      <c r="H118" s="207">
        <v>0</v>
      </c>
      <c r="I118" s="207">
        <v>0</v>
      </c>
      <c r="J118" s="207">
        <f>SUM(E118:I118)</f>
        <v>0</v>
      </c>
    </row>
    <row r="119" spans="1:10" x14ac:dyDescent="0.25">
      <c r="A119" s="21" t="s">
        <v>158</v>
      </c>
      <c r="B119" s="154">
        <v>40000</v>
      </c>
      <c r="C119" s="206">
        <v>8</v>
      </c>
      <c r="D119" s="207">
        <v>197300</v>
      </c>
      <c r="E119" s="207">
        <f>C119*E116</f>
        <v>16000</v>
      </c>
      <c r="F119" s="207">
        <f>C119*F116</f>
        <v>64000</v>
      </c>
      <c r="G119" s="207">
        <f>D119-E119-F119</f>
        <v>117300</v>
      </c>
      <c r="H119" s="207">
        <v>0</v>
      </c>
      <c r="I119" s="207">
        <v>0</v>
      </c>
      <c r="J119" s="207">
        <f>SUM(E119:I119)</f>
        <v>197300</v>
      </c>
    </row>
    <row r="120" spans="1:10" x14ac:dyDescent="0.25">
      <c r="A120" s="21" t="s">
        <v>158</v>
      </c>
      <c r="B120" s="154">
        <v>50000</v>
      </c>
      <c r="C120" s="206">
        <v>3</v>
      </c>
      <c r="D120" s="207">
        <v>222900</v>
      </c>
      <c r="E120" s="207">
        <f>C120*E116</f>
        <v>6000</v>
      </c>
      <c r="F120" s="207">
        <f>C120*F116</f>
        <v>24000</v>
      </c>
      <c r="G120" s="207">
        <f>C120*G116</f>
        <v>120000</v>
      </c>
      <c r="H120" s="207">
        <f>D120-E120-F120-G120</f>
        <v>72900</v>
      </c>
      <c r="I120" s="2">
        <v>0</v>
      </c>
      <c r="J120" s="207">
        <f>SUM(E120:I120)</f>
        <v>222900</v>
      </c>
    </row>
    <row r="121" spans="1:10" x14ac:dyDescent="0.25">
      <c r="A121" s="21" t="s">
        <v>159</v>
      </c>
      <c r="B121" s="208">
        <v>100000</v>
      </c>
      <c r="C121" s="209">
        <v>11</v>
      </c>
      <c r="D121" s="210">
        <v>10592000</v>
      </c>
      <c r="E121" s="210">
        <f>C121*E116</f>
        <v>22000</v>
      </c>
      <c r="F121" s="210">
        <f>C121*F116</f>
        <v>88000</v>
      </c>
      <c r="G121" s="210">
        <f>C121*G116</f>
        <v>440000</v>
      </c>
      <c r="H121" s="210">
        <f>C121*H116</f>
        <v>550000</v>
      </c>
      <c r="I121" s="29">
        <f>D121-E121-F121-G121-H121</f>
        <v>9492000</v>
      </c>
      <c r="J121" s="210">
        <f>SUM(E121:I121)</f>
        <v>10592000</v>
      </c>
    </row>
    <row r="122" spans="1:10" x14ac:dyDescent="0.25">
      <c r="A122" s="21"/>
      <c r="B122" s="154" t="s">
        <v>42</v>
      </c>
      <c r="C122" s="23">
        <f t="shared" ref="C122:H122" si="10">SUM(C117:C121)</f>
        <v>22</v>
      </c>
      <c r="D122" s="23">
        <f t="shared" si="10"/>
        <v>11012200</v>
      </c>
      <c r="E122" s="23">
        <f t="shared" si="10"/>
        <v>44000</v>
      </c>
      <c r="F122" s="23">
        <f t="shared" si="10"/>
        <v>176000</v>
      </c>
      <c r="G122" s="23">
        <f t="shared" si="10"/>
        <v>677300</v>
      </c>
      <c r="H122" s="23">
        <f t="shared" si="10"/>
        <v>622900</v>
      </c>
      <c r="I122" s="23">
        <f>SUM(I117:I121)</f>
        <v>9492000</v>
      </c>
      <c r="J122" s="23">
        <f>SUM(J117:J121)</f>
        <v>11012200</v>
      </c>
    </row>
    <row r="123" spans="1:10" x14ac:dyDescent="0.25">
      <c r="A123" s="21"/>
      <c r="B123" s="154"/>
      <c r="C123" s="1"/>
      <c r="D123" s="17"/>
      <c r="E123" s="154"/>
      <c r="F123" s="154"/>
      <c r="G123" s="154"/>
      <c r="H123" s="154"/>
      <c r="I123" s="154"/>
      <c r="J123" s="154"/>
    </row>
    <row r="124" spans="1:10" x14ac:dyDescent="0.25">
      <c r="A124" s="155" t="s">
        <v>165</v>
      </c>
      <c r="B124" s="155"/>
      <c r="C124" s="1"/>
      <c r="D124" s="17"/>
      <c r="E124" s="154"/>
      <c r="F124" s="154"/>
      <c r="G124" s="154"/>
      <c r="H124" s="154"/>
      <c r="I124" s="154"/>
      <c r="J124" s="154"/>
    </row>
    <row r="125" spans="1:10" x14ac:dyDescent="0.25">
      <c r="A125" s="21"/>
      <c r="B125" s="204"/>
      <c r="C125" s="205" t="s">
        <v>148</v>
      </c>
      <c r="D125" s="121" t="s">
        <v>149</v>
      </c>
      <c r="E125" s="205" t="s">
        <v>161</v>
      </c>
      <c r="F125" s="205" t="s">
        <v>150</v>
      </c>
      <c r="G125" s="154"/>
      <c r="H125" s="154"/>
      <c r="I125" s="154"/>
      <c r="J125" s="154"/>
    </row>
    <row r="126" spans="1:10" x14ac:dyDescent="0.25">
      <c r="A126" s="21" t="s">
        <v>157</v>
      </c>
      <c r="B126" s="154">
        <f>B117</f>
        <v>2000</v>
      </c>
      <c r="C126" s="17">
        <f>C122</f>
        <v>22</v>
      </c>
      <c r="D126" s="207">
        <f>E122</f>
        <v>44000</v>
      </c>
      <c r="E126" s="211">
        <v>173.09</v>
      </c>
      <c r="F126" s="30">
        <f>E126*C126</f>
        <v>3807.98</v>
      </c>
      <c r="G126" s="154"/>
      <c r="H126" s="154"/>
      <c r="I126" s="1"/>
      <c r="J126" s="1"/>
    </row>
    <row r="127" spans="1:10" x14ac:dyDescent="0.25">
      <c r="A127" s="21" t="s">
        <v>158</v>
      </c>
      <c r="B127" s="154">
        <f>B118</f>
        <v>8000</v>
      </c>
      <c r="C127" s="1"/>
      <c r="D127" s="207">
        <f>F122</f>
        <v>176000</v>
      </c>
      <c r="E127" s="211">
        <v>8.35</v>
      </c>
      <c r="F127" s="17">
        <f>E127*(D127/1000)</f>
        <v>1469.6</v>
      </c>
      <c r="G127" s="154"/>
      <c r="H127" s="154"/>
      <c r="I127" s="1"/>
      <c r="J127" s="1"/>
    </row>
    <row r="128" spans="1:10" x14ac:dyDescent="0.25">
      <c r="A128" s="21" t="s">
        <v>158</v>
      </c>
      <c r="B128" s="154">
        <f>B119</f>
        <v>40000</v>
      </c>
      <c r="C128" s="1"/>
      <c r="D128" s="207">
        <f>G122</f>
        <v>677300</v>
      </c>
      <c r="E128" s="211">
        <v>8.06</v>
      </c>
      <c r="F128" s="17">
        <f>E128*(D128/1000)</f>
        <v>5459.0379999999996</v>
      </c>
      <c r="G128" s="154"/>
      <c r="H128" s="154"/>
      <c r="I128" s="1"/>
      <c r="J128" s="1"/>
    </row>
    <row r="129" spans="1:10" x14ac:dyDescent="0.25">
      <c r="A129" s="21" t="s">
        <v>158</v>
      </c>
      <c r="B129" s="154">
        <f>B120</f>
        <v>50000</v>
      </c>
      <c r="C129" s="1"/>
      <c r="D129" s="207">
        <f>H122</f>
        <v>622900</v>
      </c>
      <c r="E129" s="211">
        <v>7.76</v>
      </c>
      <c r="F129" s="17">
        <f>E129*(D129/1000)</f>
        <v>4833.7039999999997</v>
      </c>
      <c r="G129" s="154"/>
      <c r="H129" s="154"/>
      <c r="I129" s="1"/>
      <c r="J129" s="1"/>
    </row>
    <row r="130" spans="1:10" x14ac:dyDescent="0.25">
      <c r="A130" s="21" t="s">
        <v>159</v>
      </c>
      <c r="B130" s="208">
        <f>B121</f>
        <v>100000</v>
      </c>
      <c r="C130" s="212"/>
      <c r="D130" s="210">
        <f>I122</f>
        <v>9492000</v>
      </c>
      <c r="E130" s="213">
        <v>7.47</v>
      </c>
      <c r="F130" s="22">
        <f t="shared" ref="F130" si="11">E130*(D130/1000)</f>
        <v>70905.239999999991</v>
      </c>
      <c r="G130" s="154"/>
      <c r="H130" s="154"/>
      <c r="I130" s="1"/>
      <c r="J130" s="1"/>
    </row>
    <row r="131" spans="1:10" x14ac:dyDescent="0.25">
      <c r="A131" s="21"/>
      <c r="B131" s="154" t="s">
        <v>42</v>
      </c>
      <c r="C131" s="17">
        <f>SUM(C126:C130)</f>
        <v>22</v>
      </c>
      <c r="D131" s="23">
        <f>SUM(D126:D130)</f>
        <v>11012200</v>
      </c>
      <c r="E131" s="1"/>
      <c r="F131" s="30">
        <f>SUM(F126:F130)</f>
        <v>86475.561999999991</v>
      </c>
      <c r="G131" s="30"/>
      <c r="H131" s="30"/>
      <c r="I131" s="154"/>
      <c r="J131" s="214"/>
    </row>
  </sheetData>
  <mergeCells count="3">
    <mergeCell ref="A1:G1"/>
    <mergeCell ref="A2:G2"/>
    <mergeCell ref="C4:F4"/>
  </mergeCells>
  <pageMargins left="0.7" right="0.7" top="0.75" bottom="0.75" header="0.3" footer="0.3"/>
  <pageSetup scale="75" fitToHeight="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0A63-85C1-4112-A56F-95AD21BF73A8}">
  <sheetPr>
    <pageSetUpPr fitToPage="1"/>
  </sheetPr>
  <dimension ref="A1:O131"/>
  <sheetViews>
    <sheetView showGridLines="0" topLeftCell="A105" workbookViewId="0">
      <selection sqref="A1:J132"/>
    </sheetView>
  </sheetViews>
  <sheetFormatPr defaultColWidth="8.88671875" defaultRowHeight="15" x14ac:dyDescent="0.2"/>
  <cols>
    <col min="1" max="1" width="7.77734375" style="145" customWidth="1"/>
    <col min="2" max="2" width="8.21875" style="145" customWidth="1"/>
    <col min="3" max="9" width="12.5546875" style="145" customWidth="1"/>
    <col min="10" max="13" width="10.44140625" style="145" customWidth="1"/>
    <col min="14" max="14" width="13.109375" style="145" customWidth="1"/>
    <col min="15" max="16384" width="8.88671875" style="145"/>
  </cols>
  <sheetData>
    <row r="1" spans="1:15" ht="21" x14ac:dyDescent="0.35">
      <c r="A1" s="259" t="s">
        <v>211</v>
      </c>
      <c r="B1" s="259"/>
      <c r="C1" s="259"/>
      <c r="D1" s="259"/>
      <c r="E1" s="259"/>
      <c r="F1" s="259"/>
      <c r="G1" s="259"/>
      <c r="H1" s="195"/>
    </row>
    <row r="2" spans="1:15" ht="18.75" x14ac:dyDescent="0.2">
      <c r="A2" s="260" t="s">
        <v>58</v>
      </c>
      <c r="B2" s="260"/>
      <c r="C2" s="260"/>
      <c r="D2" s="260"/>
      <c r="E2" s="260"/>
      <c r="F2" s="260"/>
      <c r="G2" s="260"/>
      <c r="H2" s="33"/>
    </row>
    <row r="3" spans="1:15" x14ac:dyDescent="0.25">
      <c r="A3" s="24"/>
      <c r="B3" s="25"/>
      <c r="C3" s="25"/>
      <c r="D3" s="25"/>
      <c r="E3" s="25"/>
      <c r="F3" s="25"/>
      <c r="G3" s="25"/>
      <c r="H3" s="25"/>
    </row>
    <row r="4" spans="1:15" ht="15.75" x14ac:dyDescent="0.25">
      <c r="A4" s="1"/>
      <c r="C4" s="261" t="s">
        <v>147</v>
      </c>
      <c r="D4" s="261"/>
      <c r="E4" s="261"/>
      <c r="F4" s="261"/>
      <c r="G4" s="1"/>
      <c r="H4" s="1"/>
    </row>
    <row r="5" spans="1:15" x14ac:dyDescent="0.25">
      <c r="A5" s="1"/>
      <c r="B5" s="1"/>
      <c r="C5" s="148"/>
      <c r="D5" s="148"/>
      <c r="E5" s="149" t="s">
        <v>148</v>
      </c>
      <c r="F5" s="149" t="s">
        <v>149</v>
      </c>
      <c r="G5" s="20" t="s">
        <v>150</v>
      </c>
      <c r="H5" s="20"/>
      <c r="I5" s="20"/>
      <c r="J5" s="216">
        <f>SAO!G44</f>
        <v>0.11829556207238938</v>
      </c>
    </row>
    <row r="6" spans="1:15" x14ac:dyDescent="0.25">
      <c r="A6" s="1"/>
      <c r="B6" s="1"/>
      <c r="C6" s="1" t="s">
        <v>162</v>
      </c>
      <c r="D6" s="1"/>
      <c r="E6" s="2">
        <f>C27</f>
        <v>19002</v>
      </c>
      <c r="F6" s="196">
        <f>J27</f>
        <v>77860320</v>
      </c>
      <c r="G6" s="150">
        <f>F36</f>
        <v>965834.33153038053</v>
      </c>
      <c r="H6" s="150"/>
      <c r="I6" s="151"/>
      <c r="J6" s="152"/>
      <c r="K6" s="197"/>
      <c r="M6" s="146"/>
      <c r="N6" s="146"/>
      <c r="O6" s="146"/>
    </row>
    <row r="7" spans="1:15" x14ac:dyDescent="0.25">
      <c r="A7" s="1"/>
      <c r="B7" s="1"/>
      <c r="C7" s="1" t="s">
        <v>173</v>
      </c>
      <c r="D7" s="1"/>
      <c r="E7" s="2">
        <f>C55</f>
        <v>605</v>
      </c>
      <c r="F7" s="196">
        <f>D55</f>
        <v>9295600</v>
      </c>
      <c r="G7" s="150">
        <f>F55</f>
        <v>104504.10420663965</v>
      </c>
      <c r="H7" s="150"/>
      <c r="I7" s="151"/>
      <c r="J7" s="152"/>
      <c r="K7" s="197"/>
      <c r="M7" s="146"/>
      <c r="N7" s="146"/>
      <c r="O7" s="146"/>
    </row>
    <row r="8" spans="1:15" x14ac:dyDescent="0.25">
      <c r="A8" s="1"/>
      <c r="B8" s="1"/>
      <c r="C8" s="1" t="s">
        <v>176</v>
      </c>
      <c r="D8" s="1"/>
      <c r="E8" s="2">
        <f>C74</f>
        <v>73</v>
      </c>
      <c r="F8" s="196">
        <f>D74</f>
        <v>3636100</v>
      </c>
      <c r="G8" s="150">
        <f>F74</f>
        <v>35975.170118648668</v>
      </c>
      <c r="H8" s="150"/>
      <c r="I8" s="151"/>
      <c r="J8" s="152"/>
      <c r="K8" s="197"/>
      <c r="M8" s="146"/>
      <c r="N8" s="146"/>
      <c r="O8" s="146"/>
    </row>
    <row r="9" spans="1:15" x14ac:dyDescent="0.25">
      <c r="A9" s="1"/>
      <c r="B9" s="1"/>
      <c r="C9" s="1" t="s">
        <v>163</v>
      </c>
      <c r="D9" s="1"/>
      <c r="E9" s="2">
        <f>C93</f>
        <v>241</v>
      </c>
      <c r="F9" s="196">
        <f>D93</f>
        <v>9427400</v>
      </c>
      <c r="G9" s="150">
        <f>F93</f>
        <v>106875.68132136596</v>
      </c>
      <c r="H9" s="150"/>
      <c r="I9" s="151"/>
      <c r="J9" s="152"/>
      <c r="K9" s="197"/>
      <c r="M9" s="146"/>
      <c r="N9" s="146"/>
      <c r="O9" s="146"/>
    </row>
    <row r="10" spans="1:15" x14ac:dyDescent="0.25">
      <c r="A10" s="1"/>
      <c r="B10" s="1"/>
      <c r="C10" s="1" t="s">
        <v>174</v>
      </c>
      <c r="D10" s="1"/>
      <c r="E10" s="2">
        <f>C112</f>
        <v>11</v>
      </c>
      <c r="F10" s="196">
        <f>D112</f>
        <v>4147800</v>
      </c>
      <c r="G10" s="150">
        <f>F112</f>
        <v>36666.99472176026</v>
      </c>
      <c r="H10" s="150"/>
      <c r="I10" s="151"/>
      <c r="J10" s="152"/>
      <c r="K10" s="197"/>
      <c r="M10" s="146"/>
      <c r="N10" s="146"/>
      <c r="O10" s="146"/>
    </row>
    <row r="11" spans="1:15" x14ac:dyDescent="0.25">
      <c r="A11" s="1"/>
      <c r="B11" s="1"/>
      <c r="C11" s="1" t="s">
        <v>175</v>
      </c>
      <c r="D11" s="1"/>
      <c r="E11" s="29">
        <f>C131</f>
        <v>22</v>
      </c>
      <c r="F11" s="198">
        <f>D131</f>
        <v>11012200</v>
      </c>
      <c r="G11" s="194">
        <f>F131</f>
        <v>96705.237212315755</v>
      </c>
      <c r="H11" s="150"/>
      <c r="I11" s="151"/>
      <c r="J11" s="152"/>
      <c r="K11" s="197"/>
      <c r="M11" s="146"/>
      <c r="N11" s="146"/>
      <c r="O11" s="146"/>
    </row>
    <row r="12" spans="1:15" x14ac:dyDescent="0.25">
      <c r="A12" s="1"/>
      <c r="B12" s="1"/>
      <c r="C12" s="1" t="s">
        <v>151</v>
      </c>
      <c r="D12" s="1"/>
      <c r="E12" s="2">
        <v>0</v>
      </c>
      <c r="F12" s="196">
        <f>SUM(F6:F11)</f>
        <v>115379420</v>
      </c>
      <c r="G12" s="150">
        <f>SUM(G6:G11)</f>
        <v>1346561.5191111106</v>
      </c>
      <c r="H12" s="150"/>
      <c r="I12" s="151"/>
      <c r="J12" s="152"/>
      <c r="K12" s="197"/>
      <c r="M12" s="146"/>
      <c r="N12" s="146"/>
      <c r="O12" s="146"/>
    </row>
    <row r="13" spans="1:15" ht="15.75" customHeight="1" x14ac:dyDescent="0.25">
      <c r="A13" s="1"/>
      <c r="B13" s="1"/>
      <c r="C13" s="148" t="s">
        <v>152</v>
      </c>
      <c r="D13" s="148"/>
      <c r="E13" s="196"/>
      <c r="F13" s="196"/>
      <c r="G13" s="199">
        <v>0</v>
      </c>
      <c r="H13" s="200"/>
      <c r="I13" s="1"/>
      <c r="M13" s="146"/>
      <c r="N13" s="146"/>
      <c r="O13" s="146"/>
    </row>
    <row r="14" spans="1:15" x14ac:dyDescent="0.25">
      <c r="A14" s="1"/>
      <c r="B14" s="1"/>
      <c r="C14" s="153" t="s">
        <v>153</v>
      </c>
      <c r="D14" s="153"/>
      <c r="E14" s="196"/>
      <c r="F14" s="196"/>
      <c r="G14" s="200">
        <f>G12+G13</f>
        <v>1346561.5191111106</v>
      </c>
      <c r="H14" s="200"/>
      <c r="I14" s="1"/>
    </row>
    <row r="15" spans="1:15" x14ac:dyDescent="0.25">
      <c r="A15" s="1"/>
      <c r="B15" s="1"/>
      <c r="C15" s="153" t="s">
        <v>177</v>
      </c>
      <c r="D15" s="153"/>
      <c r="E15" s="196"/>
      <c r="F15" s="196"/>
      <c r="G15" s="181">
        <f>SAO!G40</f>
        <v>1346561.5191111111</v>
      </c>
      <c r="H15" s="151"/>
      <c r="I15" s="1"/>
    </row>
    <row r="16" spans="1:15" x14ac:dyDescent="0.25">
      <c r="A16" s="1"/>
      <c r="B16" s="1"/>
      <c r="C16" s="153" t="s">
        <v>155</v>
      </c>
      <c r="D16" s="153"/>
      <c r="E16" s="196"/>
      <c r="F16" s="196"/>
      <c r="G16" s="201">
        <f>G14-G15</f>
        <v>0</v>
      </c>
      <c r="H16" s="201"/>
      <c r="I16" s="1"/>
      <c r="L16" s="202"/>
    </row>
    <row r="17" spans="1:14" x14ac:dyDescent="0.25">
      <c r="A17" s="1"/>
      <c r="B17" s="1"/>
      <c r="C17" s="153"/>
      <c r="D17" s="196"/>
      <c r="E17" s="196"/>
      <c r="F17" s="200"/>
      <c r="G17" s="1"/>
      <c r="H17" s="1"/>
    </row>
    <row r="18" spans="1:14" x14ac:dyDescent="0.25">
      <c r="A18" s="1"/>
      <c r="B18" s="1"/>
      <c r="C18" s="18"/>
      <c r="D18" s="150"/>
      <c r="E18" s="1"/>
      <c r="F18" s="1"/>
      <c r="G18" s="1"/>
      <c r="H18" s="1"/>
    </row>
    <row r="19" spans="1:14" ht="15.75" x14ac:dyDescent="0.25">
      <c r="A19" s="203" t="s">
        <v>164</v>
      </c>
      <c r="B19" s="1"/>
      <c r="C19" s="1"/>
      <c r="D19" s="17"/>
      <c r="E19" s="1"/>
      <c r="F19" s="1"/>
      <c r="G19" s="1"/>
      <c r="H19" s="1"/>
      <c r="I19" s="1"/>
      <c r="J19" s="1"/>
      <c r="K19" s="1"/>
      <c r="L19" s="1"/>
      <c r="M19" s="17"/>
      <c r="N19" s="1"/>
    </row>
    <row r="20" spans="1:14" ht="15.75" x14ac:dyDescent="0.25">
      <c r="A20" s="1"/>
      <c r="B20" s="1"/>
      <c r="C20" s="1"/>
      <c r="D20" s="17"/>
      <c r="E20" s="20" t="s">
        <v>157</v>
      </c>
      <c r="F20" s="20" t="s">
        <v>158</v>
      </c>
      <c r="G20" s="20" t="s">
        <v>158</v>
      </c>
      <c r="H20" s="20" t="s">
        <v>158</v>
      </c>
      <c r="I20" s="20" t="s">
        <v>159</v>
      </c>
      <c r="J20" s="1"/>
      <c r="K20" s="1"/>
      <c r="L20"/>
      <c r="M20"/>
    </row>
    <row r="21" spans="1:14" ht="15.75" x14ac:dyDescent="0.25">
      <c r="A21" s="1"/>
      <c r="B21" s="204" t="s">
        <v>160</v>
      </c>
      <c r="C21" s="205" t="s">
        <v>148</v>
      </c>
      <c r="D21" s="121" t="s">
        <v>149</v>
      </c>
      <c r="E21" s="205">
        <f>B22</f>
        <v>2000</v>
      </c>
      <c r="F21" s="205">
        <f>B23</f>
        <v>8000</v>
      </c>
      <c r="G21" s="205">
        <f>B24</f>
        <v>40000</v>
      </c>
      <c r="H21" s="205">
        <f>B25</f>
        <v>50000</v>
      </c>
      <c r="I21" s="205">
        <f>B26</f>
        <v>100000</v>
      </c>
      <c r="J21" s="204" t="s">
        <v>42</v>
      </c>
      <c r="K21" s="1"/>
      <c r="L21"/>
      <c r="M21"/>
    </row>
    <row r="22" spans="1:14" ht="15.75" x14ac:dyDescent="0.25">
      <c r="A22" s="21" t="s">
        <v>157</v>
      </c>
      <c r="B22" s="154">
        <v>2000</v>
      </c>
      <c r="C22" s="206">
        <f>ExBA!C22</f>
        <v>6059</v>
      </c>
      <c r="D22" s="207">
        <f>ExBA!D22</f>
        <v>5837360</v>
      </c>
      <c r="E22" s="207">
        <f>D22</f>
        <v>5837360</v>
      </c>
      <c r="F22" s="207">
        <v>0</v>
      </c>
      <c r="G22" s="207">
        <v>0</v>
      </c>
      <c r="H22" s="207">
        <v>0</v>
      </c>
      <c r="I22" s="207">
        <v>0</v>
      </c>
      <c r="J22" s="207">
        <f>SUM(E22:I22)</f>
        <v>5837360</v>
      </c>
      <c r="K22" s="1"/>
      <c r="L22"/>
      <c r="M22"/>
    </row>
    <row r="23" spans="1:14" ht="15.75" x14ac:dyDescent="0.25">
      <c r="A23" s="21" t="s">
        <v>158</v>
      </c>
      <c r="B23" s="154">
        <v>8000</v>
      </c>
      <c r="C23" s="206">
        <f>ExBA!C23</f>
        <v>11697</v>
      </c>
      <c r="D23" s="207">
        <f>ExBA!D23</f>
        <v>50687010</v>
      </c>
      <c r="E23" s="207">
        <f>C23*$E$21</f>
        <v>23394000</v>
      </c>
      <c r="F23" s="207">
        <f>D23-E23</f>
        <v>27293010</v>
      </c>
      <c r="G23" s="207">
        <v>0</v>
      </c>
      <c r="H23" s="207">
        <v>0</v>
      </c>
      <c r="I23" s="207">
        <v>0</v>
      </c>
      <c r="J23" s="207">
        <f>SUM(E23:I23)</f>
        <v>50687010</v>
      </c>
      <c r="K23" s="1"/>
      <c r="L23"/>
      <c r="M23"/>
    </row>
    <row r="24" spans="1:14" ht="15.75" x14ac:dyDescent="0.25">
      <c r="A24" s="21" t="s">
        <v>158</v>
      </c>
      <c r="B24" s="154">
        <v>40000</v>
      </c>
      <c r="C24" s="206">
        <f>ExBA!C24</f>
        <v>1195</v>
      </c>
      <c r="D24" s="207">
        <f>ExBA!D24</f>
        <v>20415060</v>
      </c>
      <c r="E24" s="207">
        <f t="shared" ref="E24:E26" si="0">C24*$E$21</f>
        <v>2390000</v>
      </c>
      <c r="F24" s="207">
        <f>C24*F21</f>
        <v>9560000</v>
      </c>
      <c r="G24" s="207">
        <f>D24-(F24+E24)</f>
        <v>8465060</v>
      </c>
      <c r="H24" s="207">
        <v>0</v>
      </c>
      <c r="I24" s="207">
        <v>0</v>
      </c>
      <c r="J24" s="207">
        <f>SUM(E24:I24)</f>
        <v>20415060</v>
      </c>
      <c r="K24" s="1"/>
      <c r="L24"/>
      <c r="M24"/>
    </row>
    <row r="25" spans="1:14" ht="15.75" x14ac:dyDescent="0.25">
      <c r="A25" s="21" t="s">
        <v>158</v>
      </c>
      <c r="B25" s="154">
        <v>50000</v>
      </c>
      <c r="C25" s="206">
        <f>ExBA!C25</f>
        <v>46</v>
      </c>
      <c r="D25" s="207">
        <f>ExBA!D25</f>
        <v>3118830</v>
      </c>
      <c r="E25" s="207">
        <f t="shared" si="0"/>
        <v>92000</v>
      </c>
      <c r="F25" s="207">
        <f>C25*F21</f>
        <v>368000</v>
      </c>
      <c r="G25" s="207">
        <f>C25*G21</f>
        <v>1840000</v>
      </c>
      <c r="H25" s="207">
        <f>D25-E25-F25-G25</f>
        <v>818830</v>
      </c>
      <c r="I25" s="207"/>
      <c r="J25" s="207"/>
      <c r="K25" s="1"/>
      <c r="L25"/>
      <c r="M25"/>
    </row>
    <row r="26" spans="1:14" ht="15.75" x14ac:dyDescent="0.25">
      <c r="A26" s="21" t="s">
        <v>159</v>
      </c>
      <c r="B26" s="208">
        <v>100000</v>
      </c>
      <c r="C26" s="209">
        <f>ExBA!C26</f>
        <v>5</v>
      </c>
      <c r="D26" s="210">
        <f>ExBA!D26</f>
        <v>920890</v>
      </c>
      <c r="E26" s="210">
        <f t="shared" si="0"/>
        <v>10000</v>
      </c>
      <c r="F26" s="210">
        <f>C26*F21</f>
        <v>40000</v>
      </c>
      <c r="G26" s="210">
        <f>C26*G21</f>
        <v>200000</v>
      </c>
      <c r="H26" s="210">
        <f>C26*H21</f>
        <v>250000</v>
      </c>
      <c r="I26" s="210">
        <f>D26-E26-F26-G26-H26</f>
        <v>420890</v>
      </c>
      <c r="J26" s="210">
        <f>SUM(E26:I26)</f>
        <v>920890</v>
      </c>
      <c r="K26" s="1"/>
      <c r="L26"/>
      <c r="M26"/>
    </row>
    <row r="27" spans="1:14" ht="15.75" x14ac:dyDescent="0.25">
      <c r="A27" s="21"/>
      <c r="B27" s="154" t="s">
        <v>42</v>
      </c>
      <c r="C27" s="23">
        <f t="shared" ref="C27:J27" si="1">SUM(C22:C26)</f>
        <v>19002</v>
      </c>
      <c r="D27" s="23">
        <f t="shared" si="1"/>
        <v>80979150</v>
      </c>
      <c r="E27" s="23">
        <f t="shared" si="1"/>
        <v>31723360</v>
      </c>
      <c r="F27" s="23">
        <f t="shared" si="1"/>
        <v>37261010</v>
      </c>
      <c r="G27" s="23">
        <f t="shared" si="1"/>
        <v>10505060</v>
      </c>
      <c r="H27" s="23">
        <f>SUM(H22:H26)</f>
        <v>1068830</v>
      </c>
      <c r="I27" s="23">
        <f t="shared" si="1"/>
        <v>420890</v>
      </c>
      <c r="J27" s="23">
        <f t="shared" si="1"/>
        <v>77860320</v>
      </c>
      <c r="K27" s="17"/>
      <c r="L27"/>
      <c r="M27"/>
    </row>
    <row r="28" spans="1:14" x14ac:dyDescent="0.25">
      <c r="A28" s="21"/>
      <c r="B28" s="154"/>
      <c r="C28" s="1"/>
      <c r="D28" s="17"/>
      <c r="E28" s="154"/>
      <c r="F28" s="154"/>
      <c r="G28" s="154"/>
      <c r="H28" s="154"/>
      <c r="I28" s="154"/>
      <c r="J28" s="154"/>
      <c r="K28" s="1"/>
      <c r="L28" s="1"/>
      <c r="M28" s="17"/>
      <c r="N28" s="1"/>
    </row>
    <row r="29" spans="1:14" x14ac:dyDescent="0.25">
      <c r="A29" s="155" t="s">
        <v>165</v>
      </c>
      <c r="B29" s="155"/>
      <c r="C29" s="1"/>
      <c r="D29" s="17"/>
      <c r="E29" s="154"/>
      <c r="F29" s="154"/>
      <c r="G29" s="154"/>
      <c r="H29" s="154"/>
      <c r="I29" s="154"/>
      <c r="J29" s="154"/>
      <c r="K29" s="1"/>
      <c r="L29" s="1"/>
      <c r="M29" s="17"/>
      <c r="N29" s="1"/>
    </row>
    <row r="30" spans="1:14" x14ac:dyDescent="0.25">
      <c r="A30" s="21"/>
      <c r="B30" s="204"/>
      <c r="C30" s="205" t="s">
        <v>148</v>
      </c>
      <c r="D30" s="121" t="s">
        <v>149</v>
      </c>
      <c r="E30" s="205" t="s">
        <v>161</v>
      </c>
      <c r="F30" s="205" t="s">
        <v>150</v>
      </c>
      <c r="G30" s="154"/>
      <c r="H30" s="154"/>
      <c r="I30" s="154"/>
      <c r="J30" s="154"/>
      <c r="K30" s="1"/>
      <c r="L30" s="1"/>
      <c r="M30" s="17"/>
      <c r="N30" s="1"/>
    </row>
    <row r="31" spans="1:14" x14ac:dyDescent="0.25">
      <c r="A31" s="21" t="s">
        <v>157</v>
      </c>
      <c r="B31" s="154">
        <f>B22</f>
        <v>2000</v>
      </c>
      <c r="C31" s="17">
        <f>C27</f>
        <v>19002</v>
      </c>
      <c r="D31" s="207">
        <f>E27</f>
        <v>31723360</v>
      </c>
      <c r="E31" s="211">
        <f>ExBA!E31*(1+PrBA!$J$5)</f>
        <v>26.861459400978791</v>
      </c>
      <c r="F31" s="30">
        <f>E31*C31</f>
        <v>510421.45153739897</v>
      </c>
      <c r="G31" s="154"/>
      <c r="H31" s="154"/>
      <c r="I31" s="1"/>
      <c r="J31" s="1"/>
      <c r="K31" s="1"/>
      <c r="L31" s="1"/>
      <c r="M31" s="17"/>
      <c r="N31" s="1"/>
    </row>
    <row r="32" spans="1:14" x14ac:dyDescent="0.25">
      <c r="A32" s="21" t="s">
        <v>158</v>
      </c>
      <c r="B32" s="154">
        <f>B23</f>
        <v>8000</v>
      </c>
      <c r="C32" s="1"/>
      <c r="D32" s="207">
        <f>F27</f>
        <v>37261010</v>
      </c>
      <c r="E32" s="211">
        <f>ExBA!E32*(1+PrBA!$J$5)</f>
        <v>9.3377679433044509</v>
      </c>
      <c r="F32" s="17">
        <f>E32*(D32/1000)</f>
        <v>347934.66471314657</v>
      </c>
      <c r="G32" s="154"/>
      <c r="H32" s="154"/>
      <c r="I32" s="1"/>
      <c r="J32" s="1"/>
      <c r="K32" s="1"/>
      <c r="L32" s="1"/>
      <c r="M32" s="17"/>
      <c r="N32" s="1"/>
    </row>
    <row r="33" spans="1:14" x14ac:dyDescent="0.25">
      <c r="A33" s="21" t="s">
        <v>158</v>
      </c>
      <c r="B33" s="154">
        <f>B24</f>
        <v>40000</v>
      </c>
      <c r="C33" s="1"/>
      <c r="D33" s="207">
        <f>G27</f>
        <v>10505060</v>
      </c>
      <c r="E33" s="211">
        <f>ExBA!E33*(1+PrBA!$J$5)</f>
        <v>9.0134622303034586</v>
      </c>
      <c r="F33" s="17">
        <f>E33*(D33/1000)</f>
        <v>94686.961537071649</v>
      </c>
      <c r="G33" s="154"/>
      <c r="H33" s="154"/>
      <c r="I33" s="1"/>
      <c r="J33" s="1"/>
      <c r="K33" s="1"/>
      <c r="L33" s="1"/>
      <c r="M33" s="17"/>
      <c r="N33" s="1"/>
    </row>
    <row r="34" spans="1:14" x14ac:dyDescent="0.25">
      <c r="A34" s="21" t="s">
        <v>158</v>
      </c>
      <c r="B34" s="154">
        <f>B25</f>
        <v>50000</v>
      </c>
      <c r="C34" s="1"/>
      <c r="D34" s="207">
        <f>H27</f>
        <v>1068830</v>
      </c>
      <c r="E34" s="211">
        <f>ExBA!E34*(1+PrBA!$J$5)</f>
        <v>8.6779735616817408</v>
      </c>
      <c r="F34" s="17">
        <f>E34*(D34/1000)</f>
        <v>9275.2784819322951</v>
      </c>
      <c r="G34" s="154"/>
      <c r="H34" s="154"/>
      <c r="I34" s="1"/>
      <c r="J34" s="1"/>
      <c r="K34" s="1"/>
      <c r="L34" s="1"/>
      <c r="M34" s="17"/>
      <c r="N34" s="1"/>
    </row>
    <row r="35" spans="1:14" x14ac:dyDescent="0.25">
      <c r="A35" s="21" t="s">
        <v>159</v>
      </c>
      <c r="B35" s="208">
        <f>B26</f>
        <v>100000</v>
      </c>
      <c r="C35" s="212"/>
      <c r="D35" s="210">
        <f>I27</f>
        <v>420890</v>
      </c>
      <c r="E35" s="211">
        <f>ExBA!E35*(1+PrBA!$J$5)</f>
        <v>8.3536678486807485</v>
      </c>
      <c r="F35" s="22">
        <f>E35*(D35/1000)</f>
        <v>3515.9752608312401</v>
      </c>
      <c r="G35" s="154"/>
      <c r="H35" s="154"/>
      <c r="I35" s="1"/>
      <c r="J35" s="1"/>
      <c r="K35" s="1"/>
      <c r="L35" s="1"/>
      <c r="M35" s="17"/>
      <c r="N35" s="1"/>
    </row>
    <row r="36" spans="1:14" x14ac:dyDescent="0.25">
      <c r="A36" s="21"/>
      <c r="B36" s="154" t="s">
        <v>42</v>
      </c>
      <c r="C36" s="17">
        <f>SUM(C31:C35)</f>
        <v>19002</v>
      </c>
      <c r="D36" s="23">
        <f>SUM(D31:D35)</f>
        <v>80979150</v>
      </c>
      <c r="E36" s="1"/>
      <c r="F36" s="30">
        <f>SUM(F31:F35)</f>
        <v>965834.33153038053</v>
      </c>
      <c r="G36" s="30"/>
      <c r="H36" s="30"/>
      <c r="I36" s="154"/>
      <c r="J36" s="214"/>
      <c r="K36" s="1"/>
      <c r="L36" s="1"/>
      <c r="M36" s="17"/>
      <c r="N36" s="1"/>
    </row>
    <row r="37" spans="1:14" x14ac:dyDescent="0.25">
      <c r="A37" s="21"/>
      <c r="B37" s="154"/>
      <c r="C37" s="17"/>
      <c r="D37" s="23"/>
      <c r="E37" s="1"/>
      <c r="F37" s="30"/>
      <c r="G37" s="154"/>
      <c r="H37" s="154"/>
      <c r="I37" s="154"/>
      <c r="J37" s="154"/>
      <c r="K37" s="1"/>
      <c r="L37" s="1"/>
      <c r="M37" s="17"/>
      <c r="N37" s="1"/>
    </row>
    <row r="38" spans="1:14" ht="15.75" x14ac:dyDescent="0.25">
      <c r="A38" s="203" t="s">
        <v>171</v>
      </c>
      <c r="B38" s="1"/>
      <c r="C38" s="1"/>
      <c r="D38" s="17"/>
      <c r="E38" s="1"/>
      <c r="F38" s="1"/>
      <c r="G38" s="1"/>
      <c r="H38" s="1"/>
      <c r="I38" s="1"/>
      <c r="J38" s="1"/>
      <c r="K38" s="1"/>
      <c r="L38" s="1"/>
      <c r="M38" s="17"/>
      <c r="N38" s="1"/>
    </row>
    <row r="39" spans="1:14" x14ac:dyDescent="0.25">
      <c r="A39" s="1"/>
      <c r="B39" s="1"/>
      <c r="C39" s="1"/>
      <c r="D39" s="17"/>
      <c r="E39" s="20" t="s">
        <v>157</v>
      </c>
      <c r="F39" s="20" t="s">
        <v>158</v>
      </c>
      <c r="G39" s="20" t="s">
        <v>158</v>
      </c>
      <c r="H39" s="20" t="s">
        <v>158</v>
      </c>
      <c r="I39" s="20" t="s">
        <v>159</v>
      </c>
      <c r="J39" s="1"/>
      <c r="K39" s="1"/>
      <c r="L39" s="1"/>
      <c r="M39" s="17"/>
      <c r="N39" s="1"/>
    </row>
    <row r="40" spans="1:14" x14ac:dyDescent="0.25">
      <c r="A40" s="1"/>
      <c r="B40" s="204" t="s">
        <v>160</v>
      </c>
      <c r="C40" s="205" t="s">
        <v>148</v>
      </c>
      <c r="D40" s="121" t="s">
        <v>149</v>
      </c>
      <c r="E40" s="205">
        <f>B41</f>
        <v>2000</v>
      </c>
      <c r="F40" s="205">
        <f>B42</f>
        <v>8000</v>
      </c>
      <c r="G40" s="205">
        <f>B43</f>
        <v>40000</v>
      </c>
      <c r="H40" s="205">
        <f>B44</f>
        <v>50000</v>
      </c>
      <c r="I40" s="205">
        <f>B45</f>
        <v>100000</v>
      </c>
      <c r="J40" s="204" t="s">
        <v>42</v>
      </c>
      <c r="K40" s="1"/>
      <c r="L40" s="1"/>
      <c r="M40" s="17"/>
      <c r="N40" s="1"/>
    </row>
    <row r="41" spans="1:14" x14ac:dyDescent="0.25">
      <c r="A41" s="21" t="s">
        <v>157</v>
      </c>
      <c r="B41" s="154">
        <v>2000</v>
      </c>
      <c r="C41" s="206">
        <f>ExBA!C41</f>
        <v>206</v>
      </c>
      <c r="D41" s="206">
        <f>ExBA!D41</f>
        <v>149300</v>
      </c>
      <c r="E41" s="207">
        <f>D41</f>
        <v>149300</v>
      </c>
      <c r="F41" s="207">
        <v>0</v>
      </c>
      <c r="G41" s="207">
        <v>0</v>
      </c>
      <c r="H41" s="207">
        <v>0</v>
      </c>
      <c r="I41" s="207">
        <v>0</v>
      </c>
      <c r="J41" s="207">
        <f>SUM(E41:I41)</f>
        <v>149300</v>
      </c>
      <c r="K41" s="1"/>
      <c r="L41" s="1"/>
      <c r="M41" s="17"/>
      <c r="N41" s="1"/>
    </row>
    <row r="42" spans="1:14" x14ac:dyDescent="0.25">
      <c r="A42" s="21" t="s">
        <v>158</v>
      </c>
      <c r="B42" s="154">
        <v>8000</v>
      </c>
      <c r="C42" s="206">
        <f>ExBA!C42</f>
        <v>238</v>
      </c>
      <c r="D42" s="206">
        <f>ExBA!D42</f>
        <v>1201780</v>
      </c>
      <c r="E42" s="207">
        <f>C42*E40</f>
        <v>476000</v>
      </c>
      <c r="F42" s="207">
        <f>D42-E42</f>
        <v>725780</v>
      </c>
      <c r="G42" s="207">
        <v>0</v>
      </c>
      <c r="H42" s="207">
        <v>0</v>
      </c>
      <c r="I42" s="207">
        <v>0</v>
      </c>
      <c r="J42" s="207">
        <f>SUM(E42:I42)</f>
        <v>1201780</v>
      </c>
      <c r="K42" s="1"/>
      <c r="L42" s="1"/>
      <c r="M42" s="17"/>
      <c r="N42" s="1"/>
    </row>
    <row r="43" spans="1:14" x14ac:dyDescent="0.25">
      <c r="A43" s="21" t="s">
        <v>158</v>
      </c>
      <c r="B43" s="154">
        <v>40000</v>
      </c>
      <c r="C43" s="206">
        <f>ExBA!C43</f>
        <v>134</v>
      </c>
      <c r="D43" s="206">
        <f>ExBA!D43</f>
        <v>2838870</v>
      </c>
      <c r="E43" s="207">
        <f>C43*E40</f>
        <v>268000</v>
      </c>
      <c r="F43" s="207">
        <f>C43*F40</f>
        <v>1072000</v>
      </c>
      <c r="G43" s="207">
        <f>D43-E43-F43</f>
        <v>1498870</v>
      </c>
      <c r="H43" s="207">
        <v>0</v>
      </c>
      <c r="I43" s="207">
        <v>0</v>
      </c>
      <c r="J43" s="207">
        <f>SUM(E43:I43)</f>
        <v>2838870</v>
      </c>
      <c r="K43" s="1"/>
      <c r="L43" s="1"/>
      <c r="M43" s="17"/>
      <c r="N43" s="1"/>
    </row>
    <row r="44" spans="1:14" x14ac:dyDescent="0.25">
      <c r="A44" s="21" t="s">
        <v>158</v>
      </c>
      <c r="B44" s="154">
        <v>50000</v>
      </c>
      <c r="C44" s="206">
        <f>ExBA!C44</f>
        <v>12</v>
      </c>
      <c r="D44" s="206">
        <f>ExBA!D44</f>
        <v>914960</v>
      </c>
      <c r="E44" s="207">
        <f>C44*E40</f>
        <v>24000</v>
      </c>
      <c r="F44" s="207">
        <f>C44*F40</f>
        <v>96000</v>
      </c>
      <c r="G44" s="207">
        <f>C44*G40</f>
        <v>480000</v>
      </c>
      <c r="H44" s="207">
        <f>D44-E44-F44-G44</f>
        <v>314960</v>
      </c>
      <c r="I44" s="2">
        <v>0</v>
      </c>
      <c r="J44" s="207">
        <f>SUM(E44:I44)</f>
        <v>914960</v>
      </c>
      <c r="K44" s="1"/>
      <c r="L44" s="1"/>
      <c r="M44" s="17"/>
      <c r="N44" s="1"/>
    </row>
    <row r="45" spans="1:14" x14ac:dyDescent="0.25">
      <c r="A45" s="21" t="s">
        <v>159</v>
      </c>
      <c r="B45" s="208">
        <v>100000</v>
      </c>
      <c r="C45" s="209">
        <f>ExBA!C45</f>
        <v>15</v>
      </c>
      <c r="D45" s="209">
        <f>ExBA!D45</f>
        <v>4190690</v>
      </c>
      <c r="E45" s="210">
        <f>C45*E40</f>
        <v>30000</v>
      </c>
      <c r="F45" s="210">
        <f>C45*F40</f>
        <v>120000</v>
      </c>
      <c r="G45" s="210">
        <f>C45*G40</f>
        <v>600000</v>
      </c>
      <c r="H45" s="210">
        <f>C45*H40</f>
        <v>750000</v>
      </c>
      <c r="I45" s="29">
        <f>D45-E45-F45-G45-H45</f>
        <v>2690690</v>
      </c>
      <c r="J45" s="210">
        <f>SUM(E45:I45)</f>
        <v>4190690</v>
      </c>
      <c r="K45" s="1"/>
      <c r="L45" s="1"/>
      <c r="M45" s="17"/>
      <c r="N45" s="1"/>
    </row>
    <row r="46" spans="1:14" x14ac:dyDescent="0.25">
      <c r="A46" s="21"/>
      <c r="B46" s="154" t="s">
        <v>42</v>
      </c>
      <c r="C46" s="23">
        <f t="shared" ref="C46:H46" si="2">SUM(C41:C45)</f>
        <v>605</v>
      </c>
      <c r="D46" s="23">
        <f t="shared" si="2"/>
        <v>9295600</v>
      </c>
      <c r="E46" s="23">
        <f t="shared" si="2"/>
        <v>947300</v>
      </c>
      <c r="F46" s="23">
        <f t="shared" si="2"/>
        <v>2013780</v>
      </c>
      <c r="G46" s="23">
        <f t="shared" si="2"/>
        <v>2578870</v>
      </c>
      <c r="H46" s="23">
        <f t="shared" si="2"/>
        <v>1064960</v>
      </c>
      <c r="I46" s="23">
        <f>SUM(I41:I45)</f>
        <v>2690690</v>
      </c>
      <c r="J46" s="23">
        <f>SUM(J41:J45)</f>
        <v>9295600</v>
      </c>
      <c r="K46" s="1"/>
      <c r="L46" s="1"/>
      <c r="M46" s="17"/>
      <c r="N46" s="1"/>
    </row>
    <row r="47" spans="1:14" x14ac:dyDescent="0.25">
      <c r="A47" s="21"/>
      <c r="B47" s="154"/>
      <c r="C47" s="1"/>
      <c r="D47" s="17"/>
      <c r="E47" s="154"/>
      <c r="F47" s="154"/>
      <c r="G47" s="154"/>
      <c r="H47" s="154"/>
      <c r="I47" s="154"/>
      <c r="J47" s="154"/>
      <c r="K47" s="1"/>
      <c r="L47" s="1"/>
      <c r="M47" s="17"/>
      <c r="N47" s="1"/>
    </row>
    <row r="48" spans="1:14" x14ac:dyDescent="0.25">
      <c r="A48" s="155" t="s">
        <v>165</v>
      </c>
      <c r="B48" s="155"/>
      <c r="C48" s="1"/>
      <c r="D48" s="17"/>
      <c r="E48" s="154"/>
      <c r="F48" s="154"/>
      <c r="G48" s="154"/>
      <c r="H48" s="154"/>
      <c r="I48" s="154"/>
      <c r="J48" s="154"/>
      <c r="K48" s="1"/>
      <c r="L48" s="1"/>
      <c r="M48" s="17"/>
      <c r="N48" s="1"/>
    </row>
    <row r="49" spans="1:14" x14ac:dyDescent="0.25">
      <c r="A49" s="21"/>
      <c r="B49" s="204"/>
      <c r="C49" s="205" t="s">
        <v>148</v>
      </c>
      <c r="D49" s="121" t="s">
        <v>149</v>
      </c>
      <c r="E49" s="205" t="s">
        <v>161</v>
      </c>
      <c r="F49" s="205" t="s">
        <v>150</v>
      </c>
      <c r="G49" s="154"/>
      <c r="H49" s="154"/>
      <c r="I49" s="154"/>
      <c r="J49" s="154"/>
      <c r="K49" s="1"/>
      <c r="L49" s="1"/>
      <c r="M49" s="17"/>
      <c r="N49" s="1"/>
    </row>
    <row r="50" spans="1:14" x14ac:dyDescent="0.25">
      <c r="A50" s="21" t="s">
        <v>157</v>
      </c>
      <c r="B50" s="154">
        <f>B41</f>
        <v>2000</v>
      </c>
      <c r="C50" s="17">
        <f>C46</f>
        <v>605</v>
      </c>
      <c r="D50" s="207">
        <f>E46</f>
        <v>947300</v>
      </c>
      <c r="E50" s="211">
        <f>ExBA!E50*(1+PrBA!$J$5)</f>
        <v>50.804167384948649</v>
      </c>
      <c r="F50" s="30">
        <f>E50*C50</f>
        <v>30736.521267893932</v>
      </c>
      <c r="G50" s="154"/>
      <c r="H50" s="154"/>
      <c r="I50" s="1"/>
      <c r="J50" s="1"/>
      <c r="K50" s="1"/>
      <c r="L50" s="1"/>
      <c r="M50" s="17"/>
      <c r="N50" s="1"/>
    </row>
    <row r="51" spans="1:14" x14ac:dyDescent="0.25">
      <c r="A51" s="21" t="s">
        <v>158</v>
      </c>
      <c r="B51" s="154">
        <f>B42</f>
        <v>8000</v>
      </c>
      <c r="C51" s="1"/>
      <c r="D51" s="207">
        <f>F46</f>
        <v>2013780</v>
      </c>
      <c r="E51" s="211">
        <f>ExBA!E51*(1+PrBA!$J$5)</f>
        <v>9.3377679433044509</v>
      </c>
      <c r="F51" s="17">
        <f>E51*(D51/1000)</f>
        <v>18804.210328867637</v>
      </c>
      <c r="G51" s="154"/>
      <c r="H51" s="154"/>
      <c r="I51" s="1"/>
      <c r="J51" s="1"/>
      <c r="K51" s="1"/>
      <c r="L51" s="1"/>
      <c r="M51" s="17"/>
      <c r="N51" s="1"/>
    </row>
    <row r="52" spans="1:14" x14ac:dyDescent="0.25">
      <c r="A52" s="21" t="s">
        <v>158</v>
      </c>
      <c r="B52" s="154">
        <f>B43</f>
        <v>40000</v>
      </c>
      <c r="C52" s="1"/>
      <c r="D52" s="207">
        <f>G46</f>
        <v>2578870</v>
      </c>
      <c r="E52" s="211">
        <f>ExBA!E52*(1+PrBA!$J$5)</f>
        <v>9.0134622303034586</v>
      </c>
      <c r="F52" s="17">
        <f>E52*(D52/1000)</f>
        <v>23244.547341862679</v>
      </c>
      <c r="G52" s="154"/>
      <c r="H52" s="154"/>
      <c r="I52" s="1"/>
      <c r="J52" s="1"/>
      <c r="K52" s="1"/>
      <c r="L52" s="1"/>
      <c r="M52" s="17"/>
      <c r="N52" s="1"/>
    </row>
    <row r="53" spans="1:14" x14ac:dyDescent="0.25">
      <c r="A53" s="21" t="s">
        <v>158</v>
      </c>
      <c r="B53" s="154">
        <f>B44</f>
        <v>50000</v>
      </c>
      <c r="C53" s="1"/>
      <c r="D53" s="207">
        <f>H46</f>
        <v>1064960</v>
      </c>
      <c r="E53" s="211">
        <f>ExBA!E53*(1+PrBA!$J$5)</f>
        <v>8.6779735616817408</v>
      </c>
      <c r="F53" s="17">
        <f>E53*(D53/1000)</f>
        <v>9241.6947242485876</v>
      </c>
      <c r="G53" s="154"/>
      <c r="H53" s="154"/>
      <c r="I53" s="1"/>
      <c r="J53" s="1"/>
      <c r="K53" s="1"/>
      <c r="L53" s="1"/>
      <c r="M53" s="17"/>
      <c r="N53" s="1"/>
    </row>
    <row r="54" spans="1:14" x14ac:dyDescent="0.25">
      <c r="A54" s="21" t="s">
        <v>159</v>
      </c>
      <c r="B54" s="208">
        <f>B45</f>
        <v>100000</v>
      </c>
      <c r="C54" s="212"/>
      <c r="D54" s="210">
        <f>I46</f>
        <v>2690690</v>
      </c>
      <c r="E54" s="211">
        <f>ExBA!E54*(1+PrBA!$J$5)</f>
        <v>8.3536678486807485</v>
      </c>
      <c r="F54" s="22">
        <f t="shared" ref="F54" si="3">E54*(D54/1000)</f>
        <v>22477.130543766805</v>
      </c>
      <c r="G54" s="154"/>
      <c r="H54" s="154"/>
      <c r="I54" s="1"/>
      <c r="J54" s="1"/>
      <c r="K54" s="1"/>
      <c r="L54" s="1"/>
      <c r="M54" s="17"/>
      <c r="N54" s="1"/>
    </row>
    <row r="55" spans="1:14" x14ac:dyDescent="0.25">
      <c r="A55" s="21"/>
      <c r="B55" s="154" t="s">
        <v>42</v>
      </c>
      <c r="C55" s="17">
        <f>SUM(C50:C54)</f>
        <v>605</v>
      </c>
      <c r="D55" s="23">
        <f>SUM(D50:D54)</f>
        <v>9295600</v>
      </c>
      <c r="E55" s="1"/>
      <c r="F55" s="30">
        <f>SUM(F50:F54)</f>
        <v>104504.10420663965</v>
      </c>
      <c r="G55" s="30"/>
      <c r="H55" s="30"/>
      <c r="I55" s="154"/>
      <c r="J55" s="214"/>
      <c r="K55" s="1"/>
      <c r="L55" s="1"/>
      <c r="M55" s="17"/>
      <c r="N55" s="1"/>
    </row>
    <row r="56" spans="1:14" x14ac:dyDescent="0.25">
      <c r="A56" s="21"/>
      <c r="B56" s="154"/>
      <c r="C56" s="17"/>
      <c r="D56" s="23"/>
      <c r="E56" s="1"/>
      <c r="F56" s="30"/>
      <c r="G56" s="154"/>
      <c r="H56" s="154"/>
      <c r="I56" s="154"/>
      <c r="J56" s="154"/>
      <c r="K56" s="1"/>
      <c r="L56" s="1"/>
      <c r="M56" s="17"/>
      <c r="N56" s="1"/>
    </row>
    <row r="57" spans="1:14" ht="15.75" x14ac:dyDescent="0.25">
      <c r="A57" s="203" t="s">
        <v>168</v>
      </c>
      <c r="B57" s="1"/>
      <c r="C57" s="1"/>
      <c r="D57" s="17"/>
      <c r="E57" s="1"/>
      <c r="F57" s="1"/>
      <c r="G57" s="1"/>
      <c r="H57" s="1"/>
      <c r="I57" s="1"/>
      <c r="J57" s="1"/>
      <c r="K57" s="1"/>
      <c r="L57" s="1"/>
      <c r="M57" s="17"/>
      <c r="N57" s="1"/>
    </row>
    <row r="58" spans="1:14" x14ac:dyDescent="0.25">
      <c r="A58" s="1"/>
      <c r="B58" s="1"/>
      <c r="C58" s="1"/>
      <c r="D58" s="17"/>
      <c r="E58" s="20" t="s">
        <v>157</v>
      </c>
      <c r="F58" s="20" t="s">
        <v>158</v>
      </c>
      <c r="G58" s="20" t="s">
        <v>158</v>
      </c>
      <c r="H58" s="20" t="s">
        <v>158</v>
      </c>
      <c r="I58" s="20" t="s">
        <v>159</v>
      </c>
      <c r="J58" s="1"/>
      <c r="K58" s="1"/>
      <c r="L58" s="1"/>
      <c r="M58" s="1"/>
      <c r="N58" s="1"/>
    </row>
    <row r="59" spans="1:14" x14ac:dyDescent="0.25">
      <c r="A59" s="1"/>
      <c r="B59" s="204" t="s">
        <v>160</v>
      </c>
      <c r="C59" s="205" t="s">
        <v>148</v>
      </c>
      <c r="D59" s="121" t="s">
        <v>149</v>
      </c>
      <c r="E59" s="205">
        <f>B60</f>
        <v>2000</v>
      </c>
      <c r="F59" s="205">
        <f>B61</f>
        <v>8000</v>
      </c>
      <c r="G59" s="205">
        <f>B62</f>
        <v>40000</v>
      </c>
      <c r="H59" s="205">
        <f>B63</f>
        <v>50000</v>
      </c>
      <c r="I59" s="205">
        <f>B64</f>
        <v>100000</v>
      </c>
      <c r="J59" s="204" t="s">
        <v>42</v>
      </c>
      <c r="K59" s="1"/>
      <c r="L59" s="1"/>
      <c r="M59" s="1"/>
      <c r="N59" s="1"/>
    </row>
    <row r="60" spans="1:14" x14ac:dyDescent="0.25">
      <c r="A60" s="21" t="s">
        <v>157</v>
      </c>
      <c r="B60" s="154">
        <v>2000</v>
      </c>
      <c r="C60" s="206">
        <f>ExBA!C60</f>
        <v>24</v>
      </c>
      <c r="D60" s="206">
        <f>ExBA!D60</f>
        <v>15400</v>
      </c>
      <c r="E60" s="207">
        <f>D60</f>
        <v>15400</v>
      </c>
      <c r="F60" s="207">
        <v>0</v>
      </c>
      <c r="G60" s="207">
        <v>0</v>
      </c>
      <c r="H60" s="207">
        <v>0</v>
      </c>
      <c r="I60" s="207">
        <v>0</v>
      </c>
      <c r="J60" s="207">
        <f>SUM(E60:I60)</f>
        <v>15400</v>
      </c>
      <c r="K60" s="1"/>
      <c r="L60" s="1"/>
      <c r="M60" s="1"/>
      <c r="N60" s="1"/>
    </row>
    <row r="61" spans="1:14" x14ac:dyDescent="0.25">
      <c r="A61" s="21" t="s">
        <v>158</v>
      </c>
      <c r="B61" s="154">
        <v>8000</v>
      </c>
      <c r="C61" s="206">
        <f>ExBA!C61</f>
        <v>18</v>
      </c>
      <c r="D61" s="206">
        <f>ExBA!D61</f>
        <v>91100</v>
      </c>
      <c r="E61" s="207">
        <f>C61*E59</f>
        <v>36000</v>
      </c>
      <c r="F61" s="207">
        <f>D61-E61</f>
        <v>55100</v>
      </c>
      <c r="G61" s="207">
        <v>0</v>
      </c>
      <c r="H61" s="207">
        <v>0</v>
      </c>
      <c r="I61" s="207">
        <v>0</v>
      </c>
      <c r="J61" s="207">
        <f>SUM(E61:I61)</f>
        <v>91100</v>
      </c>
      <c r="K61" s="1"/>
      <c r="L61" s="1"/>
      <c r="M61" s="1"/>
      <c r="N61" s="1"/>
    </row>
    <row r="62" spans="1:14" x14ac:dyDescent="0.25">
      <c r="A62" s="21" t="s">
        <v>158</v>
      </c>
      <c r="B62" s="154">
        <v>40000</v>
      </c>
      <c r="C62" s="206">
        <f>ExBA!C62</f>
        <v>11</v>
      </c>
      <c r="D62" s="206">
        <f>ExBA!D62</f>
        <v>373200</v>
      </c>
      <c r="E62" s="207">
        <f>C62*E59</f>
        <v>22000</v>
      </c>
      <c r="F62" s="207">
        <f>C62*F59</f>
        <v>88000</v>
      </c>
      <c r="G62" s="207">
        <f>D62-E62-F62</f>
        <v>263200</v>
      </c>
      <c r="H62" s="207">
        <v>0</v>
      </c>
      <c r="I62" s="207">
        <v>0</v>
      </c>
      <c r="J62" s="207">
        <f>SUM(E62:I62)</f>
        <v>373200</v>
      </c>
      <c r="K62" s="1"/>
      <c r="L62" s="1"/>
      <c r="M62" s="1"/>
      <c r="N62" s="1"/>
    </row>
    <row r="63" spans="1:14" x14ac:dyDescent="0.25">
      <c r="A63" s="21" t="s">
        <v>158</v>
      </c>
      <c r="B63" s="154">
        <v>50000</v>
      </c>
      <c r="C63" s="206">
        <f>ExBA!C63</f>
        <v>5</v>
      </c>
      <c r="D63" s="206">
        <f>ExBA!D63</f>
        <v>328100</v>
      </c>
      <c r="E63" s="207">
        <f>C63*E59</f>
        <v>10000</v>
      </c>
      <c r="F63" s="207">
        <f>C63*F59</f>
        <v>40000</v>
      </c>
      <c r="G63" s="207">
        <f>C63*G59</f>
        <v>200000</v>
      </c>
      <c r="H63" s="207">
        <f>D63-E63-F63-G63</f>
        <v>78100</v>
      </c>
      <c r="I63" s="2">
        <v>0</v>
      </c>
      <c r="J63" s="207">
        <f>SUM(E63:I63)</f>
        <v>328100</v>
      </c>
      <c r="K63" s="1"/>
      <c r="L63" s="1"/>
      <c r="M63" s="1"/>
      <c r="N63" s="1"/>
    </row>
    <row r="64" spans="1:14" x14ac:dyDescent="0.25">
      <c r="A64" s="21" t="s">
        <v>159</v>
      </c>
      <c r="B64" s="208">
        <v>100000</v>
      </c>
      <c r="C64" s="209">
        <f>ExBA!C64</f>
        <v>15</v>
      </c>
      <c r="D64" s="209">
        <f>ExBA!D64</f>
        <v>2828300</v>
      </c>
      <c r="E64" s="210">
        <f>C64*E59</f>
        <v>30000</v>
      </c>
      <c r="F64" s="210">
        <f>C64*F59</f>
        <v>120000</v>
      </c>
      <c r="G64" s="210">
        <f>C64*G59</f>
        <v>600000</v>
      </c>
      <c r="H64" s="210">
        <f>C64*H59</f>
        <v>750000</v>
      </c>
      <c r="I64" s="29">
        <f>D64-E64-F64-G64-H64</f>
        <v>1328300</v>
      </c>
      <c r="J64" s="210">
        <f>SUM(E64:I64)</f>
        <v>2828300</v>
      </c>
      <c r="K64" s="1"/>
      <c r="L64" s="1"/>
      <c r="M64" s="1"/>
      <c r="N64" s="1"/>
    </row>
    <row r="65" spans="1:14" x14ac:dyDescent="0.25">
      <c r="A65" s="21"/>
      <c r="B65" s="154" t="s">
        <v>42</v>
      </c>
      <c r="C65" s="23">
        <f t="shared" ref="C65:H65" si="4">SUM(C60:C64)</f>
        <v>73</v>
      </c>
      <c r="D65" s="23">
        <f t="shared" si="4"/>
        <v>3636100</v>
      </c>
      <c r="E65" s="23">
        <f t="shared" si="4"/>
        <v>113400</v>
      </c>
      <c r="F65" s="23">
        <f t="shared" si="4"/>
        <v>303100</v>
      </c>
      <c r="G65" s="23">
        <f t="shared" si="4"/>
        <v>1063200</v>
      </c>
      <c r="H65" s="23">
        <f t="shared" si="4"/>
        <v>828100</v>
      </c>
      <c r="I65" s="23">
        <f>SUM(I60:I64)</f>
        <v>1328300</v>
      </c>
      <c r="J65" s="23">
        <f>SUM(J60:J64)</f>
        <v>3636100</v>
      </c>
      <c r="K65" s="1"/>
      <c r="L65" s="17"/>
      <c r="M65" s="1"/>
      <c r="N65" s="1"/>
    </row>
    <row r="66" spans="1:14" x14ac:dyDescent="0.25">
      <c r="A66" s="21"/>
      <c r="B66" s="154"/>
      <c r="C66" s="1"/>
      <c r="D66" s="17"/>
      <c r="E66" s="154"/>
      <c r="F66" s="154"/>
      <c r="G66" s="154"/>
      <c r="H66" s="154"/>
      <c r="I66" s="154"/>
      <c r="J66" s="154"/>
      <c r="K66" s="1"/>
      <c r="L66" s="1"/>
      <c r="M66" s="17"/>
      <c r="N66" s="1"/>
    </row>
    <row r="67" spans="1:14" x14ac:dyDescent="0.25">
      <c r="A67" s="155" t="s">
        <v>165</v>
      </c>
      <c r="B67" s="155"/>
      <c r="C67" s="1"/>
      <c r="D67" s="17"/>
      <c r="E67" s="154"/>
      <c r="F67" s="154"/>
      <c r="G67" s="154"/>
      <c r="H67" s="154"/>
      <c r="I67" s="154"/>
      <c r="J67" s="154"/>
      <c r="K67" s="1"/>
      <c r="L67" s="1"/>
      <c r="M67" s="17"/>
      <c r="N67" s="1"/>
    </row>
    <row r="68" spans="1:14" x14ac:dyDescent="0.25">
      <c r="A68" s="21"/>
      <c r="B68" s="204"/>
      <c r="C68" s="205" t="s">
        <v>148</v>
      </c>
      <c r="D68" s="121" t="s">
        <v>149</v>
      </c>
      <c r="E68" s="205" t="s">
        <v>161</v>
      </c>
      <c r="F68" s="205" t="s">
        <v>150</v>
      </c>
      <c r="G68" s="154"/>
      <c r="H68" s="154"/>
      <c r="I68" s="154"/>
      <c r="J68" s="154"/>
      <c r="K68" s="1"/>
      <c r="L68" s="1"/>
      <c r="M68" s="17"/>
      <c r="N68" s="1"/>
    </row>
    <row r="69" spans="1:14" x14ac:dyDescent="0.25">
      <c r="A69" s="21" t="s">
        <v>157</v>
      </c>
      <c r="B69" s="154">
        <f>B60</f>
        <v>2000</v>
      </c>
      <c r="C69" s="17">
        <f>C65</f>
        <v>73</v>
      </c>
      <c r="D69" s="207">
        <f>E65</f>
        <v>113400</v>
      </c>
      <c r="E69" s="211">
        <f>ExBA!E69*(1+PrBA!$J$5)</f>
        <v>72.320173999221424</v>
      </c>
      <c r="F69" s="30">
        <f>E69*C69</f>
        <v>5279.3727019431644</v>
      </c>
      <c r="G69" s="154"/>
      <c r="H69" s="154"/>
      <c r="I69" s="1"/>
      <c r="J69" s="1"/>
      <c r="K69" s="1"/>
      <c r="L69" s="1"/>
      <c r="M69" s="17"/>
      <c r="N69" s="1"/>
    </row>
    <row r="70" spans="1:14" x14ac:dyDescent="0.25">
      <c r="A70" s="21" t="s">
        <v>158</v>
      </c>
      <c r="B70" s="154">
        <f>B61</f>
        <v>8000</v>
      </c>
      <c r="C70" s="1"/>
      <c r="D70" s="207">
        <f>F65</f>
        <v>303100</v>
      </c>
      <c r="E70" s="211">
        <f>ExBA!E70*(1+PrBA!$J$5)</f>
        <v>9.3377679433044509</v>
      </c>
      <c r="F70" s="17">
        <f>E70*(D70/1000)</f>
        <v>2830.2774636155791</v>
      </c>
      <c r="G70" s="154"/>
      <c r="H70" s="154"/>
      <c r="I70" s="1"/>
      <c r="J70" s="1"/>
      <c r="K70" s="1"/>
      <c r="L70" s="1"/>
      <c r="M70" s="17"/>
      <c r="N70" s="1"/>
    </row>
    <row r="71" spans="1:14" x14ac:dyDescent="0.25">
      <c r="A71" s="21" t="s">
        <v>158</v>
      </c>
      <c r="B71" s="154">
        <f>B62</f>
        <v>40000</v>
      </c>
      <c r="C71" s="1"/>
      <c r="D71" s="207">
        <f>G65</f>
        <v>1063200</v>
      </c>
      <c r="E71" s="211">
        <f>ExBA!E71*(1+PrBA!$J$5)</f>
        <v>9.0134622303034586</v>
      </c>
      <c r="F71" s="17">
        <f>E71*(D71/1000)</f>
        <v>9583.1130432586378</v>
      </c>
      <c r="G71" s="154"/>
      <c r="H71" s="154"/>
      <c r="I71" s="1"/>
      <c r="J71" s="1"/>
      <c r="K71" s="1"/>
      <c r="L71" s="1"/>
      <c r="M71" s="17"/>
      <c r="N71" s="1"/>
    </row>
    <row r="72" spans="1:14" x14ac:dyDescent="0.25">
      <c r="A72" s="21" t="s">
        <v>158</v>
      </c>
      <c r="B72" s="154">
        <f>B63</f>
        <v>50000</v>
      </c>
      <c r="C72" s="1"/>
      <c r="D72" s="207">
        <f>H65</f>
        <v>828100</v>
      </c>
      <c r="E72" s="211">
        <f>ExBA!E72*(1+PrBA!$J$5)</f>
        <v>8.6779735616817408</v>
      </c>
      <c r="F72" s="17">
        <f>E72*(D72/1000)</f>
        <v>7186.2299064286499</v>
      </c>
      <c r="G72" s="154"/>
      <c r="H72" s="154"/>
      <c r="I72" s="1"/>
      <c r="J72" s="1"/>
      <c r="K72" s="1"/>
      <c r="L72" s="1"/>
      <c r="M72" s="17"/>
      <c r="N72" s="1"/>
    </row>
    <row r="73" spans="1:14" x14ac:dyDescent="0.25">
      <c r="A73" s="21" t="s">
        <v>159</v>
      </c>
      <c r="B73" s="208">
        <f>B64</f>
        <v>100000</v>
      </c>
      <c r="C73" s="212"/>
      <c r="D73" s="210">
        <f>I65</f>
        <v>1328300</v>
      </c>
      <c r="E73" s="211">
        <f>ExBA!E73*(1+PrBA!$J$5)</f>
        <v>8.3536678486807485</v>
      </c>
      <c r="F73" s="22">
        <f t="shared" ref="F73" si="5">E73*(D73/1000)</f>
        <v>11096.177003402638</v>
      </c>
      <c r="G73" s="154"/>
      <c r="H73" s="154"/>
      <c r="I73" s="1"/>
      <c r="J73" s="1"/>
      <c r="K73" s="1"/>
      <c r="L73" s="1"/>
      <c r="M73" s="17"/>
      <c r="N73" s="1"/>
    </row>
    <row r="74" spans="1:14" x14ac:dyDescent="0.25">
      <c r="A74" s="21"/>
      <c r="B74" s="154" t="s">
        <v>42</v>
      </c>
      <c r="C74" s="17">
        <f>SUM(C69:C73)</f>
        <v>73</v>
      </c>
      <c r="D74" s="23">
        <f>SUM(D69:D73)</f>
        <v>3636100</v>
      </c>
      <c r="E74" s="1"/>
      <c r="F74" s="30">
        <f>SUM(F69:F73)</f>
        <v>35975.170118648668</v>
      </c>
      <c r="G74" s="30"/>
      <c r="H74" s="30"/>
      <c r="I74" s="154"/>
      <c r="J74" s="214"/>
      <c r="K74" s="1"/>
      <c r="L74" s="1"/>
      <c r="M74" s="17"/>
      <c r="N74" s="1"/>
    </row>
    <row r="75" spans="1:14" x14ac:dyDescent="0.25">
      <c r="A75" s="21"/>
      <c r="B75" s="154"/>
      <c r="C75" s="17"/>
      <c r="D75" s="23"/>
      <c r="E75" s="1"/>
      <c r="F75" s="30"/>
      <c r="G75" s="30"/>
      <c r="H75" s="30"/>
      <c r="I75" s="154"/>
      <c r="J75" s="214"/>
      <c r="K75" s="1"/>
      <c r="L75" s="1"/>
      <c r="M75" s="17"/>
      <c r="N75" s="1"/>
    </row>
    <row r="76" spans="1:14" ht="15.75" x14ac:dyDescent="0.25">
      <c r="A76" s="203" t="s">
        <v>166</v>
      </c>
      <c r="B76" s="1"/>
      <c r="C76" s="1"/>
      <c r="D76" s="17"/>
      <c r="E76" s="1"/>
      <c r="F76" s="1"/>
      <c r="G76" s="1"/>
      <c r="H76" s="1"/>
      <c r="I76" s="1"/>
      <c r="J76" s="1"/>
      <c r="K76" s="1"/>
      <c r="L76" s="1"/>
      <c r="M76" s="17"/>
      <c r="N76" s="1"/>
    </row>
    <row r="77" spans="1:14" x14ac:dyDescent="0.25">
      <c r="A77" s="1"/>
      <c r="B77" s="1"/>
      <c r="C77" s="1"/>
      <c r="D77" s="17"/>
      <c r="E77" s="20" t="s">
        <v>157</v>
      </c>
      <c r="F77" s="20" t="s">
        <v>158</v>
      </c>
      <c r="G77" s="20" t="s">
        <v>158</v>
      </c>
      <c r="H77" s="20" t="s">
        <v>158</v>
      </c>
      <c r="I77" s="20" t="s">
        <v>159</v>
      </c>
      <c r="J77" s="1"/>
      <c r="K77" s="1"/>
      <c r="L77" s="1"/>
      <c r="M77" s="17"/>
      <c r="N77" s="1"/>
    </row>
    <row r="78" spans="1:14" x14ac:dyDescent="0.25">
      <c r="A78" s="1"/>
      <c r="B78" s="204" t="s">
        <v>160</v>
      </c>
      <c r="C78" s="205" t="s">
        <v>148</v>
      </c>
      <c r="D78" s="121" t="s">
        <v>149</v>
      </c>
      <c r="E78" s="205">
        <f>B79</f>
        <v>2000</v>
      </c>
      <c r="F78" s="205">
        <f>B80</f>
        <v>8000</v>
      </c>
      <c r="G78" s="205">
        <f>B81</f>
        <v>40000</v>
      </c>
      <c r="H78" s="205">
        <f>B82</f>
        <v>50000</v>
      </c>
      <c r="I78" s="205">
        <f>B83</f>
        <v>100000</v>
      </c>
      <c r="J78" s="204" t="s">
        <v>42</v>
      </c>
      <c r="K78" s="1"/>
      <c r="L78" s="1"/>
      <c r="M78" s="17"/>
      <c r="N78" s="1"/>
    </row>
    <row r="79" spans="1:14" x14ac:dyDescent="0.25">
      <c r="A79" s="21" t="s">
        <v>157</v>
      </c>
      <c r="B79" s="154">
        <v>2000</v>
      </c>
      <c r="C79" s="206">
        <f>ExBA!C79</f>
        <v>55</v>
      </c>
      <c r="D79" s="206">
        <f>ExBA!D79</f>
        <v>11500</v>
      </c>
      <c r="E79" s="207">
        <f>D79</f>
        <v>11500</v>
      </c>
      <c r="F79" s="207">
        <v>0</v>
      </c>
      <c r="G79" s="207">
        <v>0</v>
      </c>
      <c r="H79" s="207">
        <v>0</v>
      </c>
      <c r="I79" s="207">
        <v>0</v>
      </c>
      <c r="J79" s="207">
        <f>SUM(E79:I79)</f>
        <v>11500</v>
      </c>
      <c r="K79" s="1"/>
      <c r="L79" s="1"/>
      <c r="M79" s="17"/>
      <c r="N79" s="1"/>
    </row>
    <row r="80" spans="1:14" x14ac:dyDescent="0.25">
      <c r="A80" s="21" t="s">
        <v>158</v>
      </c>
      <c r="B80" s="154">
        <v>8000</v>
      </c>
      <c r="C80" s="206">
        <f>ExBA!C80</f>
        <v>43</v>
      </c>
      <c r="D80" s="206">
        <f>ExBA!D80</f>
        <v>249400</v>
      </c>
      <c r="E80" s="207">
        <f>C80*E78</f>
        <v>86000</v>
      </c>
      <c r="F80" s="207">
        <f>D80-E80</f>
        <v>163400</v>
      </c>
      <c r="G80" s="207">
        <v>0</v>
      </c>
      <c r="H80" s="207">
        <v>0</v>
      </c>
      <c r="I80" s="207">
        <v>0</v>
      </c>
      <c r="J80" s="207">
        <f>SUM(E80:I80)</f>
        <v>249400</v>
      </c>
      <c r="K80" s="1"/>
      <c r="L80" s="1"/>
      <c r="M80" s="17"/>
      <c r="N80" s="1"/>
    </row>
    <row r="81" spans="1:14" x14ac:dyDescent="0.25">
      <c r="A81" s="21" t="s">
        <v>158</v>
      </c>
      <c r="B81" s="154">
        <v>40000</v>
      </c>
      <c r="C81" s="206">
        <f>ExBA!C81</f>
        <v>85</v>
      </c>
      <c r="D81" s="206">
        <f>ExBA!D81</f>
        <v>2357400</v>
      </c>
      <c r="E81" s="207">
        <f>C81*E78</f>
        <v>170000</v>
      </c>
      <c r="F81" s="207">
        <f>C81*F78</f>
        <v>680000</v>
      </c>
      <c r="G81" s="207">
        <f>D81-E81-F81</f>
        <v>1507400</v>
      </c>
      <c r="H81" s="207">
        <v>0</v>
      </c>
      <c r="I81" s="207">
        <v>0</v>
      </c>
      <c r="J81" s="207">
        <f>SUM(E81:I81)</f>
        <v>2357400</v>
      </c>
      <c r="K81" s="1"/>
      <c r="L81" s="1"/>
      <c r="M81" s="17"/>
      <c r="N81" s="1"/>
    </row>
    <row r="82" spans="1:14" x14ac:dyDescent="0.25">
      <c r="A82" s="21" t="s">
        <v>158</v>
      </c>
      <c r="B82" s="154">
        <v>50000</v>
      </c>
      <c r="C82" s="206">
        <f>ExBA!C82</f>
        <v>24</v>
      </c>
      <c r="D82" s="206">
        <f>ExBA!D82</f>
        <v>1668500</v>
      </c>
      <c r="E82" s="207">
        <f>C82*E78</f>
        <v>48000</v>
      </c>
      <c r="F82" s="207">
        <f>C82*F78</f>
        <v>192000</v>
      </c>
      <c r="G82" s="207">
        <f>C82*G78</f>
        <v>960000</v>
      </c>
      <c r="H82" s="207">
        <f>D82-E82-F82-G82</f>
        <v>468500</v>
      </c>
      <c r="I82" s="2">
        <v>0</v>
      </c>
      <c r="J82" s="207">
        <f>SUM(E82:I82)</f>
        <v>1668500</v>
      </c>
      <c r="K82" s="1"/>
      <c r="L82" s="1"/>
      <c r="M82" s="17"/>
      <c r="N82" s="1"/>
    </row>
    <row r="83" spans="1:14" x14ac:dyDescent="0.25">
      <c r="A83" s="21" t="s">
        <v>159</v>
      </c>
      <c r="B83" s="208">
        <v>100000</v>
      </c>
      <c r="C83" s="209">
        <f>ExBA!C83</f>
        <v>34</v>
      </c>
      <c r="D83" s="209">
        <f>ExBA!D83</f>
        <v>5140600</v>
      </c>
      <c r="E83" s="210">
        <f>C83*E78</f>
        <v>68000</v>
      </c>
      <c r="F83" s="210">
        <f>C83*F78</f>
        <v>272000</v>
      </c>
      <c r="G83" s="210">
        <f>C83*G78</f>
        <v>1360000</v>
      </c>
      <c r="H83" s="210">
        <f>C83*H78</f>
        <v>1700000</v>
      </c>
      <c r="I83" s="29">
        <f>D83-E83-F83-G83-H83</f>
        <v>1740600</v>
      </c>
      <c r="J83" s="210">
        <f>SUM(E83:I83)</f>
        <v>5140600</v>
      </c>
      <c r="K83" s="1"/>
      <c r="L83" s="1"/>
      <c r="M83" s="17"/>
      <c r="N83" s="1"/>
    </row>
    <row r="84" spans="1:14" x14ac:dyDescent="0.25">
      <c r="A84" s="21"/>
      <c r="B84" s="154" t="s">
        <v>42</v>
      </c>
      <c r="C84" s="23">
        <f t="shared" ref="C84:H84" si="6">SUM(C79:C83)</f>
        <v>241</v>
      </c>
      <c r="D84" s="23">
        <f t="shared" si="6"/>
        <v>9427400</v>
      </c>
      <c r="E84" s="23">
        <f t="shared" si="6"/>
        <v>383500</v>
      </c>
      <c r="F84" s="23">
        <f t="shared" si="6"/>
        <v>1307400</v>
      </c>
      <c r="G84" s="23">
        <f t="shared" si="6"/>
        <v>3827400</v>
      </c>
      <c r="H84" s="23">
        <f t="shared" si="6"/>
        <v>2168500</v>
      </c>
      <c r="I84" s="23">
        <f>SUM(I79:I83)</f>
        <v>1740600</v>
      </c>
      <c r="J84" s="23">
        <f>SUM(J79:J83)</f>
        <v>9427400</v>
      </c>
      <c r="K84" s="1"/>
      <c r="L84" s="1"/>
      <c r="M84" s="17"/>
      <c r="N84" s="1"/>
    </row>
    <row r="85" spans="1:14" x14ac:dyDescent="0.25">
      <c r="A85" s="21"/>
      <c r="B85" s="154"/>
      <c r="C85" s="1"/>
      <c r="D85" s="17"/>
      <c r="E85" s="154"/>
      <c r="F85" s="154"/>
      <c r="G85" s="154"/>
      <c r="H85" s="154"/>
      <c r="I85" s="154"/>
      <c r="J85" s="154"/>
      <c r="K85" s="1"/>
      <c r="L85" s="1"/>
      <c r="M85" s="17"/>
      <c r="N85" s="1"/>
    </row>
    <row r="86" spans="1:14" x14ac:dyDescent="0.25">
      <c r="A86" s="155" t="s">
        <v>165</v>
      </c>
      <c r="B86" s="155"/>
      <c r="C86" s="1"/>
      <c r="D86" s="17"/>
      <c r="E86" s="154"/>
      <c r="F86" s="154"/>
      <c r="G86" s="154"/>
      <c r="H86" s="154"/>
      <c r="I86" s="154"/>
      <c r="J86" s="154"/>
      <c r="K86" s="1"/>
      <c r="L86" s="1"/>
      <c r="M86" s="17"/>
      <c r="N86" s="1"/>
    </row>
    <row r="87" spans="1:14" x14ac:dyDescent="0.25">
      <c r="A87" s="21"/>
      <c r="B87" s="204"/>
      <c r="C87" s="205" t="s">
        <v>148</v>
      </c>
      <c r="D87" s="121" t="s">
        <v>149</v>
      </c>
      <c r="E87" s="205" t="s">
        <v>161</v>
      </c>
      <c r="F87" s="205" t="s">
        <v>150</v>
      </c>
      <c r="G87" s="154"/>
      <c r="H87" s="154"/>
      <c r="I87" s="154"/>
      <c r="J87" s="154"/>
      <c r="K87" s="1"/>
      <c r="L87" s="1"/>
      <c r="M87" s="17"/>
      <c r="N87" s="1"/>
    </row>
    <row r="88" spans="1:14" x14ac:dyDescent="0.25">
      <c r="A88" s="21" t="s">
        <v>157</v>
      </c>
      <c r="B88" s="154">
        <f>B79</f>
        <v>2000</v>
      </c>
      <c r="C88" s="17">
        <f>C84</f>
        <v>241</v>
      </c>
      <c r="D88" s="207">
        <f>E84</f>
        <v>383500</v>
      </c>
      <c r="E88" s="211">
        <f>ExBA!E88*(1+PrBA!$J$5)</f>
        <v>111.2480425149613</v>
      </c>
      <c r="F88" s="30">
        <f>E88*C88</f>
        <v>26810.778246105674</v>
      </c>
      <c r="G88" s="154"/>
      <c r="H88" s="154"/>
      <c r="I88" s="1"/>
      <c r="J88" s="1"/>
      <c r="K88" s="1"/>
      <c r="L88" s="1"/>
      <c r="M88" s="17"/>
      <c r="N88" s="1"/>
    </row>
    <row r="89" spans="1:14" x14ac:dyDescent="0.25">
      <c r="A89" s="21" t="s">
        <v>158</v>
      </c>
      <c r="B89" s="154">
        <f>B80</f>
        <v>8000</v>
      </c>
      <c r="C89" s="1"/>
      <c r="D89" s="207">
        <f>F84</f>
        <v>1307400</v>
      </c>
      <c r="E89" s="211">
        <f>ExBA!E89*(1+PrBA!$J$5)</f>
        <v>9.3377679433044509</v>
      </c>
      <c r="F89" s="17">
        <f>E89*(D89/1000)</f>
        <v>12208.19780907624</v>
      </c>
      <c r="G89" s="154"/>
      <c r="H89" s="154"/>
      <c r="I89" s="1"/>
      <c r="J89" s="1"/>
      <c r="K89" s="1"/>
      <c r="L89" s="1"/>
      <c r="M89" s="17"/>
      <c r="N89" s="1"/>
    </row>
    <row r="90" spans="1:14" x14ac:dyDescent="0.25">
      <c r="A90" s="21" t="s">
        <v>158</v>
      </c>
      <c r="B90" s="154">
        <f>B81</f>
        <v>40000</v>
      </c>
      <c r="C90" s="1"/>
      <c r="D90" s="207">
        <f>G84</f>
        <v>3827400</v>
      </c>
      <c r="E90" s="211">
        <f>ExBA!E90*(1+PrBA!$J$5)</f>
        <v>9.0134622303034586</v>
      </c>
      <c r="F90" s="17">
        <f>E90*(D90/1000)</f>
        <v>34498.125340263461</v>
      </c>
      <c r="G90" s="154"/>
      <c r="H90" s="154"/>
      <c r="I90" s="1"/>
      <c r="J90" s="1"/>
      <c r="K90" s="1"/>
      <c r="L90" s="1"/>
      <c r="M90" s="17"/>
      <c r="N90" s="1"/>
    </row>
    <row r="91" spans="1:14" x14ac:dyDescent="0.25">
      <c r="A91" s="21" t="s">
        <v>158</v>
      </c>
      <c r="B91" s="154">
        <f>B82</f>
        <v>50000</v>
      </c>
      <c r="C91" s="1"/>
      <c r="D91" s="207">
        <f>H84</f>
        <v>2168500</v>
      </c>
      <c r="E91" s="211">
        <f>ExBA!E91*(1+PrBA!$J$5)</f>
        <v>8.6779735616817408</v>
      </c>
      <c r="F91" s="17">
        <f>E91*(D91/1000)</f>
        <v>18818.185668506856</v>
      </c>
      <c r="G91" s="154"/>
      <c r="H91" s="154"/>
      <c r="I91" s="1"/>
      <c r="J91" s="1"/>
      <c r="K91" s="1"/>
      <c r="L91" s="1"/>
      <c r="M91" s="17"/>
      <c r="N91" s="1"/>
    </row>
    <row r="92" spans="1:14" x14ac:dyDescent="0.25">
      <c r="A92" s="21" t="s">
        <v>159</v>
      </c>
      <c r="B92" s="208">
        <f>B83</f>
        <v>100000</v>
      </c>
      <c r="C92" s="212"/>
      <c r="D92" s="210">
        <f>I84</f>
        <v>1740600</v>
      </c>
      <c r="E92" s="211">
        <f>ExBA!E92*(1+PrBA!$J$5)</f>
        <v>8.3536678486807485</v>
      </c>
      <c r="F92" s="22">
        <f t="shared" ref="F92" si="7">E92*(D92/1000)</f>
        <v>14540.394257413711</v>
      </c>
      <c r="G92" s="154"/>
      <c r="H92" s="154"/>
      <c r="I92" s="1"/>
      <c r="J92" s="1"/>
      <c r="K92" s="1"/>
      <c r="L92" s="1"/>
      <c r="M92" s="17"/>
      <c r="N92" s="1"/>
    </row>
    <row r="93" spans="1:14" x14ac:dyDescent="0.25">
      <c r="A93" s="21"/>
      <c r="B93" s="154" t="s">
        <v>42</v>
      </c>
      <c r="C93" s="17">
        <f>SUM(C88:C92)</f>
        <v>241</v>
      </c>
      <c r="D93" s="23">
        <f>SUM(D88:D92)</f>
        <v>9427400</v>
      </c>
      <c r="E93" s="1"/>
      <c r="F93" s="30">
        <f>SUM(F88:F92)</f>
        <v>106875.68132136596</v>
      </c>
      <c r="G93" s="30"/>
      <c r="H93" s="30"/>
      <c r="I93" s="154"/>
      <c r="J93" s="214"/>
      <c r="K93" s="1"/>
      <c r="L93" s="1"/>
      <c r="M93" s="17"/>
      <c r="N93" s="1"/>
    </row>
    <row r="94" spans="1:14" x14ac:dyDescent="0.25">
      <c r="A94" s="21"/>
      <c r="B94" s="154"/>
      <c r="C94" s="17"/>
      <c r="D94" s="207"/>
      <c r="E94" s="211"/>
      <c r="F94" s="23"/>
      <c r="G94" s="154"/>
      <c r="H94" s="154"/>
      <c r="I94" s="1"/>
      <c r="J94" s="214"/>
      <c r="K94" s="1"/>
      <c r="L94" s="1"/>
      <c r="M94" s="17"/>
      <c r="N94" s="1"/>
    </row>
    <row r="95" spans="1:14" ht="15.75" x14ac:dyDescent="0.25">
      <c r="A95" s="203" t="s">
        <v>169</v>
      </c>
      <c r="B95" s="1"/>
      <c r="C95" s="1"/>
      <c r="D95" s="17"/>
      <c r="E95" s="1"/>
      <c r="F95" s="1"/>
      <c r="G95" s="1"/>
      <c r="H95" s="1"/>
      <c r="I95" s="1"/>
      <c r="J95" s="1"/>
      <c r="K95" s="1"/>
      <c r="L95" s="1"/>
      <c r="M95" s="17"/>
      <c r="N95" s="1"/>
    </row>
    <row r="96" spans="1:14" x14ac:dyDescent="0.25">
      <c r="A96" s="1"/>
      <c r="B96" s="1"/>
      <c r="C96" s="1"/>
      <c r="D96" s="17"/>
      <c r="E96" s="20" t="s">
        <v>157</v>
      </c>
      <c r="F96" s="20" t="s">
        <v>158</v>
      </c>
      <c r="G96" s="20" t="s">
        <v>158</v>
      </c>
      <c r="H96" s="20" t="s">
        <v>158</v>
      </c>
      <c r="I96" s="20" t="s">
        <v>159</v>
      </c>
      <c r="J96" s="1"/>
      <c r="K96" s="1"/>
      <c r="L96" s="1"/>
      <c r="M96" s="17"/>
      <c r="N96" s="1"/>
    </row>
    <row r="97" spans="1:14" x14ac:dyDescent="0.25">
      <c r="A97" s="1"/>
      <c r="B97" s="204" t="s">
        <v>160</v>
      </c>
      <c r="C97" s="205" t="s">
        <v>148</v>
      </c>
      <c r="D97" s="121" t="s">
        <v>149</v>
      </c>
      <c r="E97" s="205">
        <f>B98</f>
        <v>2000</v>
      </c>
      <c r="F97" s="205">
        <f>B99</f>
        <v>8000</v>
      </c>
      <c r="G97" s="205">
        <f>B100</f>
        <v>40000</v>
      </c>
      <c r="H97" s="205">
        <f>B101</f>
        <v>50000</v>
      </c>
      <c r="I97" s="205">
        <f>B102</f>
        <v>100000</v>
      </c>
      <c r="J97" s="204" t="s">
        <v>42</v>
      </c>
      <c r="K97" s="1"/>
      <c r="L97" s="1"/>
      <c r="M97" s="17"/>
      <c r="N97" s="1"/>
    </row>
    <row r="98" spans="1:14" x14ac:dyDescent="0.25">
      <c r="A98" s="21" t="s">
        <v>157</v>
      </c>
      <c r="B98" s="154">
        <v>2000</v>
      </c>
      <c r="C98" s="206"/>
      <c r="D98" s="207"/>
      <c r="E98" s="207">
        <f>D98</f>
        <v>0</v>
      </c>
      <c r="F98" s="207">
        <v>0</v>
      </c>
      <c r="G98" s="207">
        <v>0</v>
      </c>
      <c r="H98" s="207">
        <v>0</v>
      </c>
      <c r="I98" s="207">
        <v>0</v>
      </c>
      <c r="J98" s="207">
        <f>SUM(E98:I98)</f>
        <v>0</v>
      </c>
      <c r="K98" s="1"/>
      <c r="L98" s="1"/>
      <c r="M98" s="17"/>
      <c r="N98" s="1"/>
    </row>
    <row r="99" spans="1:14" x14ac:dyDescent="0.25">
      <c r="A99" s="21" t="s">
        <v>158</v>
      </c>
      <c r="B99" s="154">
        <v>8000</v>
      </c>
      <c r="C99" s="206"/>
      <c r="D99" s="207"/>
      <c r="E99" s="207">
        <f>C99*E97</f>
        <v>0</v>
      </c>
      <c r="F99" s="207">
        <f>D99-E99</f>
        <v>0</v>
      </c>
      <c r="G99" s="207">
        <v>0</v>
      </c>
      <c r="H99" s="207">
        <v>0</v>
      </c>
      <c r="I99" s="207">
        <v>0</v>
      </c>
      <c r="J99" s="207">
        <f>SUM(E99:I99)</f>
        <v>0</v>
      </c>
      <c r="K99" s="1"/>
      <c r="L99" s="17"/>
      <c r="M99" s="1"/>
      <c r="N99" s="1"/>
    </row>
    <row r="100" spans="1:14" x14ac:dyDescent="0.25">
      <c r="A100" s="21" t="s">
        <v>158</v>
      </c>
      <c r="B100" s="154">
        <v>40000</v>
      </c>
      <c r="C100" s="206"/>
      <c r="D100" s="207"/>
      <c r="E100" s="207">
        <f>C100*E97</f>
        <v>0</v>
      </c>
      <c r="F100" s="207">
        <f>C100*F97</f>
        <v>0</v>
      </c>
      <c r="G100" s="207">
        <f>D100-E100-F100</f>
        <v>0</v>
      </c>
      <c r="H100" s="207">
        <v>0</v>
      </c>
      <c r="I100" s="207">
        <v>0</v>
      </c>
      <c r="J100" s="207">
        <f>SUM(E100:I100)</f>
        <v>0</v>
      </c>
      <c r="K100" s="1"/>
      <c r="L100" s="1"/>
      <c r="M100" s="1"/>
      <c r="N100" s="1"/>
    </row>
    <row r="101" spans="1:14" x14ac:dyDescent="0.25">
      <c r="A101" s="21" t="s">
        <v>158</v>
      </c>
      <c r="B101" s="154">
        <v>50000</v>
      </c>
      <c r="C101" s="206"/>
      <c r="D101" s="207"/>
      <c r="E101" s="207">
        <f>C101*E97</f>
        <v>0</v>
      </c>
      <c r="F101" s="207">
        <f>C101*F97</f>
        <v>0</v>
      </c>
      <c r="G101" s="207">
        <f>C101*G97</f>
        <v>0</v>
      </c>
      <c r="H101" s="207">
        <f>D101-E101-F101-G101</f>
        <v>0</v>
      </c>
      <c r="I101" s="2">
        <v>0</v>
      </c>
      <c r="J101" s="207">
        <f>SUM(E101:I101)</f>
        <v>0</v>
      </c>
      <c r="K101" s="1"/>
      <c r="L101" s="215"/>
      <c r="M101" s="1"/>
      <c r="N101" s="1"/>
    </row>
    <row r="102" spans="1:14" x14ac:dyDescent="0.25">
      <c r="A102" s="21" t="s">
        <v>159</v>
      </c>
      <c r="B102" s="208">
        <v>100000</v>
      </c>
      <c r="C102" s="209">
        <f>ExBA!C102</f>
        <v>11</v>
      </c>
      <c r="D102" s="210">
        <f>ExBA!D102</f>
        <v>4147800</v>
      </c>
      <c r="E102" s="210">
        <f>C102*E97</f>
        <v>22000</v>
      </c>
      <c r="F102" s="210">
        <f>C102*F97</f>
        <v>88000</v>
      </c>
      <c r="G102" s="210">
        <f>C102*G97</f>
        <v>440000</v>
      </c>
      <c r="H102" s="210">
        <f>C102*H97</f>
        <v>550000</v>
      </c>
      <c r="I102" s="29">
        <f>D102-E102-F102-G102-H102</f>
        <v>3047800</v>
      </c>
      <c r="J102" s="210">
        <f>SUM(E102:I102)</f>
        <v>4147800</v>
      </c>
      <c r="K102" s="1"/>
      <c r="L102" s="20"/>
      <c r="M102" s="1"/>
      <c r="N102" s="1"/>
    </row>
    <row r="103" spans="1:14" x14ac:dyDescent="0.25">
      <c r="A103" s="21"/>
      <c r="B103" s="154" t="s">
        <v>42</v>
      </c>
      <c r="C103" s="23">
        <f t="shared" ref="C103:H103" si="8">SUM(C98:C102)</f>
        <v>11</v>
      </c>
      <c r="D103" s="23">
        <f t="shared" si="8"/>
        <v>4147800</v>
      </c>
      <c r="E103" s="23">
        <f t="shared" si="8"/>
        <v>22000</v>
      </c>
      <c r="F103" s="23">
        <f t="shared" si="8"/>
        <v>88000</v>
      </c>
      <c r="G103" s="23">
        <f t="shared" si="8"/>
        <v>440000</v>
      </c>
      <c r="H103" s="23">
        <f t="shared" si="8"/>
        <v>550000</v>
      </c>
      <c r="I103" s="23">
        <f>SUM(I98:I102)</f>
        <v>3047800</v>
      </c>
      <c r="J103" s="23">
        <f>SUM(J98:J102)</f>
        <v>4147800</v>
      </c>
      <c r="K103" s="1"/>
      <c r="L103" s="1"/>
      <c r="M103" s="17"/>
      <c r="N103" s="1"/>
    </row>
    <row r="104" spans="1:14" x14ac:dyDescent="0.25">
      <c r="A104" s="21"/>
      <c r="B104" s="154"/>
      <c r="C104" s="1"/>
      <c r="D104" s="17"/>
      <c r="E104" s="154"/>
      <c r="F104" s="154"/>
      <c r="G104" s="154"/>
      <c r="H104" s="154"/>
      <c r="I104" s="154"/>
      <c r="J104" s="154"/>
      <c r="K104" s="1"/>
      <c r="L104" s="1"/>
      <c r="M104" s="17"/>
      <c r="N104" s="1"/>
    </row>
    <row r="105" spans="1:14" x14ac:dyDescent="0.25">
      <c r="A105" s="155" t="s">
        <v>165</v>
      </c>
      <c r="B105" s="155"/>
      <c r="C105" s="1"/>
      <c r="D105" s="17"/>
      <c r="E105" s="154"/>
      <c r="F105" s="154"/>
      <c r="G105" s="154"/>
      <c r="H105" s="154"/>
      <c r="I105" s="154"/>
      <c r="J105" s="154"/>
      <c r="K105" s="1"/>
      <c r="L105" s="1"/>
      <c r="M105" s="17"/>
      <c r="N105" s="1"/>
    </row>
    <row r="106" spans="1:14" x14ac:dyDescent="0.25">
      <c r="A106" s="21"/>
      <c r="B106" s="204"/>
      <c r="C106" s="205" t="s">
        <v>148</v>
      </c>
      <c r="D106" s="121" t="s">
        <v>149</v>
      </c>
      <c r="E106" s="205" t="s">
        <v>161</v>
      </c>
      <c r="F106" s="205" t="s">
        <v>150</v>
      </c>
      <c r="G106" s="154"/>
      <c r="H106" s="154"/>
      <c r="I106" s="154"/>
      <c r="J106" s="154"/>
      <c r="K106" s="1"/>
      <c r="L106" s="1"/>
      <c r="M106" s="17"/>
      <c r="N106" s="1"/>
    </row>
    <row r="107" spans="1:14" x14ac:dyDescent="0.25">
      <c r="A107" s="21" t="s">
        <v>157</v>
      </c>
      <c r="B107" s="154">
        <f>B98</f>
        <v>2000</v>
      </c>
      <c r="C107" s="17">
        <f>C103</f>
        <v>11</v>
      </c>
      <c r="D107" s="207">
        <f>E103</f>
        <v>22000</v>
      </c>
      <c r="E107" s="211">
        <f>ExBA!E107*(1+PrBA!$J$5)</f>
        <v>149.65031211652715</v>
      </c>
      <c r="F107" s="30">
        <f>E107*C107</f>
        <v>1646.1534332817987</v>
      </c>
      <c r="G107" s="154"/>
      <c r="H107" s="154"/>
      <c r="I107" s="1"/>
      <c r="J107" s="1"/>
      <c r="K107" s="1"/>
      <c r="L107" s="1"/>
      <c r="M107" s="17"/>
      <c r="N107" s="1"/>
    </row>
    <row r="108" spans="1:14" x14ac:dyDescent="0.25">
      <c r="A108" s="21" t="s">
        <v>158</v>
      </c>
      <c r="B108" s="154">
        <f>B99</f>
        <v>8000</v>
      </c>
      <c r="C108" s="1"/>
      <c r="D108" s="207">
        <f>F103</f>
        <v>88000</v>
      </c>
      <c r="E108" s="211">
        <f>ExBA!E108*(1+PrBA!$J$5)</f>
        <v>9.3377679433044509</v>
      </c>
      <c r="F108" s="17">
        <f>E108*(D108/1000)</f>
        <v>821.7235790107917</v>
      </c>
      <c r="G108" s="154"/>
      <c r="H108" s="154"/>
      <c r="I108" s="1"/>
      <c r="J108" s="1"/>
      <c r="K108" s="1"/>
      <c r="L108" s="1"/>
      <c r="M108" s="17"/>
      <c r="N108" s="1"/>
    </row>
    <row r="109" spans="1:14" x14ac:dyDescent="0.25">
      <c r="A109" s="21" t="s">
        <v>158</v>
      </c>
      <c r="B109" s="154">
        <f>B100</f>
        <v>40000</v>
      </c>
      <c r="C109" s="1"/>
      <c r="D109" s="207">
        <f>G103</f>
        <v>440000</v>
      </c>
      <c r="E109" s="211">
        <f>ExBA!E109*(1+PrBA!$J$5)</f>
        <v>9.0134622303034586</v>
      </c>
      <c r="F109" s="17">
        <f>E109*(D109/1000)</f>
        <v>3965.9233813335218</v>
      </c>
      <c r="G109" s="154"/>
      <c r="H109" s="154"/>
      <c r="I109" s="1"/>
      <c r="J109" s="1"/>
      <c r="K109" s="1"/>
      <c r="L109" s="1"/>
      <c r="M109" s="17"/>
      <c r="N109" s="1"/>
    </row>
    <row r="110" spans="1:14" x14ac:dyDescent="0.25">
      <c r="A110" s="21" t="s">
        <v>158</v>
      </c>
      <c r="B110" s="154">
        <f>B101</f>
        <v>50000</v>
      </c>
      <c r="C110" s="1"/>
      <c r="D110" s="207">
        <f>H103</f>
        <v>550000</v>
      </c>
      <c r="E110" s="211">
        <f>ExBA!E110*(1+PrBA!$J$5)</f>
        <v>8.6779735616817408</v>
      </c>
      <c r="F110" s="17">
        <f>E110*(D110/1000)</f>
        <v>4772.8854589249577</v>
      </c>
      <c r="G110" s="154"/>
      <c r="H110" s="154"/>
      <c r="I110" s="1"/>
      <c r="J110" s="1"/>
      <c r="K110" s="1"/>
      <c r="L110" s="1"/>
      <c r="M110" s="17"/>
      <c r="N110" s="1"/>
    </row>
    <row r="111" spans="1:14" x14ac:dyDescent="0.25">
      <c r="A111" s="21" t="s">
        <v>159</v>
      </c>
      <c r="B111" s="208">
        <f>B102</f>
        <v>100000</v>
      </c>
      <c r="C111" s="212"/>
      <c r="D111" s="210">
        <f>I103</f>
        <v>3047800</v>
      </c>
      <c r="E111" s="211">
        <f>ExBA!E111*(1+PrBA!$J$5)</f>
        <v>8.3536678486807485</v>
      </c>
      <c r="F111" s="22">
        <f t="shared" ref="F111" si="9">E111*(D111/1000)</f>
        <v>25460.308869209188</v>
      </c>
      <c r="G111" s="154"/>
      <c r="H111" s="154"/>
      <c r="I111" s="1"/>
      <c r="J111" s="1"/>
    </row>
    <row r="112" spans="1:14" x14ac:dyDescent="0.25">
      <c r="A112" s="21"/>
      <c r="B112" s="154" t="s">
        <v>42</v>
      </c>
      <c r="C112" s="17">
        <f>SUM(C107:C111)</f>
        <v>11</v>
      </c>
      <c r="D112" s="23">
        <f>SUM(D107:D111)</f>
        <v>4147800</v>
      </c>
      <c r="E112" s="1"/>
      <c r="F112" s="30">
        <f>SUM(F107:F111)</f>
        <v>36666.99472176026</v>
      </c>
      <c r="G112" s="30"/>
      <c r="H112" s="30"/>
      <c r="I112" s="154"/>
      <c r="J112" s="214"/>
    </row>
    <row r="114" spans="1:10" ht="15.75" x14ac:dyDescent="0.25">
      <c r="A114" s="203" t="s">
        <v>170</v>
      </c>
      <c r="B114" s="1"/>
      <c r="C114" s="1"/>
      <c r="D114" s="17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7"/>
      <c r="E115" s="20" t="s">
        <v>157</v>
      </c>
      <c r="F115" s="20" t="s">
        <v>158</v>
      </c>
      <c r="G115" s="20" t="s">
        <v>158</v>
      </c>
      <c r="H115" s="20" t="s">
        <v>158</v>
      </c>
      <c r="I115" s="20" t="s">
        <v>159</v>
      </c>
      <c r="J115" s="1"/>
    </row>
    <row r="116" spans="1:10" x14ac:dyDescent="0.25">
      <c r="A116" s="1"/>
      <c r="B116" s="204" t="s">
        <v>160</v>
      </c>
      <c r="C116" s="205" t="s">
        <v>148</v>
      </c>
      <c r="D116" s="121" t="s">
        <v>149</v>
      </c>
      <c r="E116" s="205">
        <f>B117</f>
        <v>2000</v>
      </c>
      <c r="F116" s="205">
        <f>B118</f>
        <v>8000</v>
      </c>
      <c r="G116" s="205">
        <f>B119</f>
        <v>40000</v>
      </c>
      <c r="H116" s="205">
        <f>B120</f>
        <v>50000</v>
      </c>
      <c r="I116" s="205">
        <f>B121</f>
        <v>100000</v>
      </c>
      <c r="J116" s="204" t="s">
        <v>42</v>
      </c>
    </row>
    <row r="117" spans="1:10" x14ac:dyDescent="0.25">
      <c r="A117" s="21" t="s">
        <v>157</v>
      </c>
      <c r="B117" s="154">
        <v>2000</v>
      </c>
      <c r="C117" s="206"/>
      <c r="D117" s="207"/>
      <c r="E117" s="207">
        <f>D117</f>
        <v>0</v>
      </c>
      <c r="F117" s="207">
        <v>0</v>
      </c>
      <c r="G117" s="207">
        <v>0</v>
      </c>
      <c r="H117" s="207">
        <v>0</v>
      </c>
      <c r="I117" s="207">
        <v>0</v>
      </c>
      <c r="J117" s="207">
        <f>SUM(E117:I117)</f>
        <v>0</v>
      </c>
    </row>
    <row r="118" spans="1:10" x14ac:dyDescent="0.25">
      <c r="A118" s="21" t="s">
        <v>158</v>
      </c>
      <c r="B118" s="154">
        <v>8000</v>
      </c>
      <c r="C118" s="206"/>
      <c r="D118" s="207"/>
      <c r="E118" s="207">
        <f>C118*E116</f>
        <v>0</v>
      </c>
      <c r="F118" s="207">
        <f>D118-E118</f>
        <v>0</v>
      </c>
      <c r="G118" s="207">
        <v>0</v>
      </c>
      <c r="H118" s="207">
        <v>0</v>
      </c>
      <c r="I118" s="207">
        <v>0</v>
      </c>
      <c r="J118" s="207">
        <f>SUM(E118:I118)</f>
        <v>0</v>
      </c>
    </row>
    <row r="119" spans="1:10" x14ac:dyDescent="0.25">
      <c r="A119" s="21" t="s">
        <v>158</v>
      </c>
      <c r="B119" s="154">
        <v>40000</v>
      </c>
      <c r="C119" s="206">
        <f>ExBA!C119</f>
        <v>8</v>
      </c>
      <c r="D119" s="206">
        <f>ExBA!D119</f>
        <v>197300</v>
      </c>
      <c r="E119" s="207">
        <f>C119*E116</f>
        <v>16000</v>
      </c>
      <c r="F119" s="207">
        <f>C119*F116</f>
        <v>64000</v>
      </c>
      <c r="G119" s="207">
        <f>D119-E119-F119</f>
        <v>117300</v>
      </c>
      <c r="H119" s="207">
        <v>0</v>
      </c>
      <c r="I119" s="207">
        <v>0</v>
      </c>
      <c r="J119" s="207">
        <f>SUM(E119:I119)</f>
        <v>197300</v>
      </c>
    </row>
    <row r="120" spans="1:10" x14ac:dyDescent="0.25">
      <c r="A120" s="21" t="s">
        <v>158</v>
      </c>
      <c r="B120" s="154">
        <v>50000</v>
      </c>
      <c r="C120" s="206">
        <f>ExBA!C120</f>
        <v>3</v>
      </c>
      <c r="D120" s="206">
        <f>ExBA!D120</f>
        <v>222900</v>
      </c>
      <c r="E120" s="207">
        <f>C120*E116</f>
        <v>6000</v>
      </c>
      <c r="F120" s="207">
        <f>C120*F116</f>
        <v>24000</v>
      </c>
      <c r="G120" s="207">
        <f>C120*G116</f>
        <v>120000</v>
      </c>
      <c r="H120" s="207">
        <f>D120-E120-F120-G120</f>
        <v>72900</v>
      </c>
      <c r="I120" s="2">
        <v>0</v>
      </c>
      <c r="J120" s="207">
        <f>SUM(E120:I120)</f>
        <v>222900</v>
      </c>
    </row>
    <row r="121" spans="1:10" x14ac:dyDescent="0.25">
      <c r="A121" s="21" t="s">
        <v>159</v>
      </c>
      <c r="B121" s="208">
        <v>100000</v>
      </c>
      <c r="C121" s="209">
        <f>ExBA!C121</f>
        <v>11</v>
      </c>
      <c r="D121" s="209">
        <f>ExBA!D121</f>
        <v>10592000</v>
      </c>
      <c r="E121" s="210">
        <f>C121*E116</f>
        <v>22000</v>
      </c>
      <c r="F121" s="210">
        <f>C121*F116</f>
        <v>88000</v>
      </c>
      <c r="G121" s="210">
        <f>C121*G116</f>
        <v>440000</v>
      </c>
      <c r="H121" s="210">
        <f>C121*H116</f>
        <v>550000</v>
      </c>
      <c r="I121" s="29">
        <f>D121-E121-F121-G121-H121</f>
        <v>9492000</v>
      </c>
      <c r="J121" s="210">
        <f>SUM(E121:I121)</f>
        <v>10592000</v>
      </c>
    </row>
    <row r="122" spans="1:10" x14ac:dyDescent="0.25">
      <c r="A122" s="21"/>
      <c r="B122" s="154" t="s">
        <v>42</v>
      </c>
      <c r="C122" s="23">
        <f t="shared" ref="C122:H122" si="10">SUM(C117:C121)</f>
        <v>22</v>
      </c>
      <c r="D122" s="23">
        <f t="shared" si="10"/>
        <v>11012200</v>
      </c>
      <c r="E122" s="23">
        <f t="shared" si="10"/>
        <v>44000</v>
      </c>
      <c r="F122" s="23">
        <f t="shared" si="10"/>
        <v>176000</v>
      </c>
      <c r="G122" s="23">
        <f t="shared" si="10"/>
        <v>677300</v>
      </c>
      <c r="H122" s="23">
        <f t="shared" si="10"/>
        <v>622900</v>
      </c>
      <c r="I122" s="23">
        <f>SUM(I117:I121)</f>
        <v>9492000</v>
      </c>
      <c r="J122" s="23">
        <f>SUM(J117:J121)</f>
        <v>11012200</v>
      </c>
    </row>
    <row r="123" spans="1:10" x14ac:dyDescent="0.25">
      <c r="A123" s="21"/>
      <c r="B123" s="154"/>
      <c r="C123" s="1"/>
      <c r="D123" s="17"/>
      <c r="E123" s="154"/>
      <c r="F123" s="154"/>
      <c r="G123" s="154"/>
      <c r="H123" s="154"/>
      <c r="I123" s="154"/>
      <c r="J123" s="154"/>
    </row>
    <row r="124" spans="1:10" x14ac:dyDescent="0.25">
      <c r="A124" s="155" t="s">
        <v>165</v>
      </c>
      <c r="B124" s="155"/>
      <c r="C124" s="1"/>
      <c r="D124" s="17"/>
      <c r="E124" s="154"/>
      <c r="F124" s="154"/>
      <c r="G124" s="154"/>
      <c r="H124" s="154"/>
      <c r="I124" s="154"/>
      <c r="J124" s="154"/>
    </row>
    <row r="125" spans="1:10" x14ac:dyDescent="0.25">
      <c r="A125" s="21"/>
      <c r="B125" s="204"/>
      <c r="C125" s="205" t="s">
        <v>148</v>
      </c>
      <c r="D125" s="121" t="s">
        <v>149</v>
      </c>
      <c r="E125" s="205" t="s">
        <v>161</v>
      </c>
      <c r="F125" s="205" t="s">
        <v>150</v>
      </c>
      <c r="G125" s="154"/>
      <c r="H125" s="154"/>
      <c r="I125" s="154"/>
      <c r="J125" s="154"/>
    </row>
    <row r="126" spans="1:10" x14ac:dyDescent="0.25">
      <c r="A126" s="21" t="s">
        <v>157</v>
      </c>
      <c r="B126" s="154">
        <f>B117</f>
        <v>2000</v>
      </c>
      <c r="C126" s="17">
        <f>C122</f>
        <v>22</v>
      </c>
      <c r="D126" s="207">
        <f>E122</f>
        <v>44000</v>
      </c>
      <c r="E126" s="211">
        <f>ExBA!E126*(1+PrBA!$J$5)</f>
        <v>193.56577883910987</v>
      </c>
      <c r="F126" s="30">
        <f>E126*C126</f>
        <v>4258.4471344604171</v>
      </c>
      <c r="G126" s="154"/>
      <c r="H126" s="154"/>
      <c r="I126" s="1"/>
      <c r="J126" s="1"/>
    </row>
    <row r="127" spans="1:10" x14ac:dyDescent="0.25">
      <c r="A127" s="21" t="s">
        <v>158</v>
      </c>
      <c r="B127" s="154">
        <f>B118</f>
        <v>8000</v>
      </c>
      <c r="C127" s="1"/>
      <c r="D127" s="207">
        <f>F122</f>
        <v>176000</v>
      </c>
      <c r="E127" s="211">
        <f>ExBA!E127*(1+PrBA!$J$5)</f>
        <v>9.3377679433044509</v>
      </c>
      <c r="F127" s="17">
        <f>E127*(D127/1000)</f>
        <v>1643.4471580215834</v>
      </c>
      <c r="G127" s="154"/>
      <c r="H127" s="154"/>
      <c r="I127" s="1"/>
      <c r="J127" s="1"/>
    </row>
    <row r="128" spans="1:10" x14ac:dyDescent="0.25">
      <c r="A128" s="21" t="s">
        <v>158</v>
      </c>
      <c r="B128" s="154">
        <f>B119</f>
        <v>40000</v>
      </c>
      <c r="C128" s="1"/>
      <c r="D128" s="207">
        <f>G122</f>
        <v>677300</v>
      </c>
      <c r="E128" s="211">
        <f>ExBA!E128*(1+PrBA!$J$5)</f>
        <v>9.0134622303034586</v>
      </c>
      <c r="F128" s="17">
        <f>E128*(D128/1000)</f>
        <v>6104.8179685845325</v>
      </c>
      <c r="G128" s="154"/>
      <c r="H128" s="154"/>
      <c r="I128" s="1"/>
      <c r="J128" s="1"/>
    </row>
    <row r="129" spans="1:10" x14ac:dyDescent="0.25">
      <c r="A129" s="21" t="s">
        <v>158</v>
      </c>
      <c r="B129" s="154">
        <f>B120</f>
        <v>50000</v>
      </c>
      <c r="C129" s="1"/>
      <c r="D129" s="207">
        <f>H122</f>
        <v>622900</v>
      </c>
      <c r="E129" s="211">
        <f>ExBA!E129*(1+PrBA!$J$5)</f>
        <v>8.6779735616817408</v>
      </c>
      <c r="F129" s="17">
        <f>E129*(D129/1000)</f>
        <v>5405.5097315715566</v>
      </c>
      <c r="G129" s="154"/>
      <c r="H129" s="154"/>
      <c r="I129" s="1"/>
      <c r="J129" s="1"/>
    </row>
    <row r="130" spans="1:10" x14ac:dyDescent="0.25">
      <c r="A130" s="21" t="s">
        <v>159</v>
      </c>
      <c r="B130" s="208">
        <f>B121</f>
        <v>100000</v>
      </c>
      <c r="C130" s="212"/>
      <c r="D130" s="210">
        <f>I122</f>
        <v>9492000</v>
      </c>
      <c r="E130" s="211">
        <f>ExBA!E130*(1+PrBA!$J$5)</f>
        <v>8.3536678486807485</v>
      </c>
      <c r="F130" s="22">
        <f t="shared" ref="F130" si="11">E130*(D130/1000)</f>
        <v>79293.015219677662</v>
      </c>
      <c r="G130" s="154"/>
      <c r="H130" s="154"/>
      <c r="I130" s="1"/>
      <c r="J130" s="1"/>
    </row>
    <row r="131" spans="1:10" x14ac:dyDescent="0.25">
      <c r="A131" s="21"/>
      <c r="B131" s="154" t="s">
        <v>42</v>
      </c>
      <c r="C131" s="17">
        <f>SUM(C126:C130)</f>
        <v>22</v>
      </c>
      <c r="D131" s="23">
        <f>SUM(D126:D130)</f>
        <v>11012200</v>
      </c>
      <c r="E131" s="211"/>
      <c r="F131" s="30">
        <f>SUM(F126:F130)</f>
        <v>96705.237212315755</v>
      </c>
      <c r="G131" s="30"/>
      <c r="H131" s="30"/>
      <c r="I131" s="154"/>
      <c r="J131" s="214"/>
    </row>
  </sheetData>
  <mergeCells count="3">
    <mergeCell ref="A1:G1"/>
    <mergeCell ref="A2:G2"/>
    <mergeCell ref="C4:F4"/>
  </mergeCells>
  <pageMargins left="0.7" right="0.7" top="0.75" bottom="0.75" header="0.3" footer="0.3"/>
  <pageSetup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SAO</vt:lpstr>
      <vt:lpstr>Debt Service</vt:lpstr>
      <vt:lpstr>Depreciation</vt:lpstr>
      <vt:lpstr>Capital</vt:lpstr>
      <vt:lpstr>Purchased Water</vt:lpstr>
      <vt:lpstr>Rates</vt:lpstr>
      <vt:lpstr>Bills</vt:lpstr>
      <vt:lpstr>ExBA</vt:lpstr>
      <vt:lpstr>PrBA</vt:lpstr>
      <vt:lpstr>Bills!Print_Area</vt:lpstr>
      <vt:lpstr>'Debt Service'!Print_Area</vt:lpstr>
      <vt:lpstr>Depreciation!Print_Area</vt:lpstr>
      <vt:lpstr>ExBA!Print_Area</vt:lpstr>
      <vt:lpstr>PrBA!Print_Area</vt:lpstr>
      <vt:lpstr>Rates!Print_Area</vt:lpstr>
      <vt:lpstr>SAO!Print_Area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Ariel Miller</cp:lastModifiedBy>
  <cp:revision/>
  <cp:lastPrinted>2024-07-15T13:50:15Z</cp:lastPrinted>
  <dcterms:created xsi:type="dcterms:W3CDTF">2016-05-18T14:12:06Z</dcterms:created>
  <dcterms:modified xsi:type="dcterms:W3CDTF">2024-11-26T17:08:22Z</dcterms:modified>
  <cp:category/>
  <cp:contentStatus/>
</cp:coreProperties>
</file>