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Water Districts/Warren Co. WD/Sewer Rate Case 2024/PSC 3/To File/"/>
    </mc:Choice>
  </mc:AlternateContent>
  <xr:revisionPtr revIDLastSave="0" documentId="8_{0E2B87D0-FB1C-40F8-88D8-187FEAA7C612}" xr6:coauthVersionLast="47" xr6:coauthVersionMax="47" xr10:uidLastSave="{00000000-0000-0000-0000-000000000000}"/>
  <bookViews>
    <workbookView xWindow="4740" yWindow="-20730" windowWidth="29385" windowHeight="17430" xr2:uid="{6C86BF08-4322-48CB-8A33-484CAAC68C75}"/>
  </bookViews>
  <sheets>
    <sheet name="New Employees" sheetId="3" r:id="rId1"/>
    <sheet name="CSR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D17" i="4"/>
  <c r="H16" i="4"/>
  <c r="G16" i="4"/>
  <c r="E16" i="4"/>
  <c r="I16" i="4" s="1"/>
  <c r="L15" i="4"/>
  <c r="J15" i="4"/>
  <c r="K15" i="4" s="1"/>
  <c r="I15" i="4"/>
  <c r="H15" i="4"/>
  <c r="G15" i="4"/>
  <c r="E15" i="4"/>
  <c r="H14" i="4"/>
  <c r="G14" i="4"/>
  <c r="E14" i="4"/>
  <c r="I14" i="4" s="1"/>
  <c r="H13" i="4"/>
  <c r="G13" i="4"/>
  <c r="E13" i="4"/>
  <c r="I13" i="4" s="1"/>
  <c r="H12" i="4"/>
  <c r="H17" i="4" s="1"/>
  <c r="G12" i="4"/>
  <c r="I12" i="4" s="1"/>
  <c r="E12" i="4"/>
  <c r="H11" i="4"/>
  <c r="G11" i="4"/>
  <c r="E11" i="4"/>
  <c r="I11" i="4" s="1"/>
  <c r="I10" i="4"/>
  <c r="H10" i="4"/>
  <c r="G10" i="4"/>
  <c r="E10" i="4"/>
  <c r="E17" i="4" s="1"/>
  <c r="J13" i="4" l="1"/>
  <c r="K13" i="4" s="1"/>
  <c r="L13" i="4"/>
  <c r="L11" i="4"/>
  <c r="J11" i="4"/>
  <c r="K11" i="4" s="1"/>
  <c r="L12" i="4"/>
  <c r="J12" i="4"/>
  <c r="K12" i="4" s="1"/>
  <c r="L16" i="4"/>
  <c r="J16" i="4"/>
  <c r="K16" i="4" s="1"/>
  <c r="L14" i="4"/>
  <c r="J14" i="4"/>
  <c r="K14" i="4" s="1"/>
  <c r="J10" i="4"/>
  <c r="G17" i="4"/>
  <c r="L10" i="4"/>
  <c r="I17" i="4"/>
  <c r="L17" i="4" l="1"/>
  <c r="J17" i="4"/>
  <c r="K10" i="4"/>
  <c r="K17" i="4" s="1"/>
  <c r="K25" i="4" l="1"/>
  <c r="J25" i="4"/>
  <c r="I25" i="4"/>
  <c r="H25" i="4"/>
  <c r="G25" i="4"/>
  <c r="L25" i="4" s="1"/>
  <c r="G64" i="3" l="1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G37" i="3"/>
  <c r="I37" i="3" s="1"/>
  <c r="J37" i="3" s="1"/>
  <c r="K37" i="3" s="1"/>
  <c r="G36" i="3"/>
  <c r="I36" i="3" s="1"/>
  <c r="J36" i="3" s="1"/>
  <c r="K36" i="3" s="1"/>
  <c r="G35" i="3"/>
  <c r="I35" i="3" s="1"/>
  <c r="J35" i="3" s="1"/>
  <c r="K35" i="3" s="1"/>
  <c r="G34" i="3"/>
  <c r="I34" i="3" s="1"/>
  <c r="J34" i="3" s="1"/>
  <c r="K34" i="3" s="1"/>
  <c r="G33" i="3"/>
  <c r="I33" i="3" s="1"/>
  <c r="J33" i="3" s="1"/>
  <c r="G32" i="3"/>
  <c r="I32" i="3" s="1"/>
  <c r="J32" i="3" s="1"/>
  <c r="K32" i="3" s="1"/>
  <c r="G31" i="3"/>
  <c r="I31" i="3" s="1"/>
  <c r="J31" i="3" s="1"/>
  <c r="K31" i="3" s="1"/>
  <c r="G30" i="3"/>
  <c r="I30" i="3" s="1"/>
  <c r="J30" i="3" s="1"/>
  <c r="G29" i="3"/>
  <c r="I29" i="3" s="1"/>
  <c r="E18" i="3"/>
  <c r="O17" i="3"/>
  <c r="L17" i="3"/>
  <c r="I17" i="3"/>
  <c r="N17" i="3" s="1"/>
  <c r="P17" i="3" s="1"/>
  <c r="G17" i="3"/>
  <c r="F17" i="3"/>
  <c r="L16" i="3"/>
  <c r="I16" i="3"/>
  <c r="G16" i="3"/>
  <c r="O16" i="3" s="1"/>
  <c r="F16" i="3"/>
  <c r="L15" i="3"/>
  <c r="I15" i="3"/>
  <c r="N15" i="3" s="1"/>
  <c r="G15" i="3"/>
  <c r="O15" i="3" s="1"/>
  <c r="F15" i="3"/>
  <c r="P15" i="3" s="1"/>
  <c r="O14" i="3"/>
  <c r="L14" i="3"/>
  <c r="I14" i="3"/>
  <c r="G14" i="3"/>
  <c r="F14" i="3"/>
  <c r="L13" i="3"/>
  <c r="I13" i="3"/>
  <c r="N13" i="3" s="1"/>
  <c r="G13" i="3"/>
  <c r="O13" i="3" s="1"/>
  <c r="F13" i="3"/>
  <c r="P13" i="3" s="1"/>
  <c r="L12" i="3"/>
  <c r="I12" i="3"/>
  <c r="N12" i="3" s="1"/>
  <c r="P12" i="3" s="1"/>
  <c r="G12" i="3"/>
  <c r="O12" i="3" s="1"/>
  <c r="F12" i="3"/>
  <c r="L11" i="3"/>
  <c r="I11" i="3"/>
  <c r="G11" i="3"/>
  <c r="O11" i="3" s="1"/>
  <c r="F11" i="3"/>
  <c r="L10" i="3"/>
  <c r="I10" i="3"/>
  <c r="N10" i="3" s="1"/>
  <c r="G10" i="3"/>
  <c r="O10" i="3" s="1"/>
  <c r="F10" i="3"/>
  <c r="L9" i="3"/>
  <c r="I9" i="3"/>
  <c r="H9" i="3"/>
  <c r="G9" i="3"/>
  <c r="O9" i="3" s="1"/>
  <c r="F9" i="3"/>
  <c r="E47" i="3" l="1"/>
  <c r="F47" i="3" s="1"/>
  <c r="K30" i="3"/>
  <c r="P10" i="3"/>
  <c r="N16" i="3"/>
  <c r="G38" i="3"/>
  <c r="N11" i="3"/>
  <c r="E50" i="3"/>
  <c r="F50" i="3" s="1"/>
  <c r="K33" i="3"/>
  <c r="N9" i="3"/>
  <c r="P9" i="3" s="1"/>
  <c r="N14" i="3"/>
  <c r="P14" i="3" s="1"/>
  <c r="E52" i="3"/>
  <c r="F52" i="3" s="1"/>
  <c r="L35" i="3"/>
  <c r="L36" i="3"/>
  <c r="Q32" i="3" s="1"/>
  <c r="E53" i="3"/>
  <c r="F53" i="3" s="1"/>
  <c r="E54" i="3"/>
  <c r="F54" i="3" s="1"/>
  <c r="L37" i="3"/>
  <c r="O18" i="3"/>
  <c r="I38" i="3"/>
  <c r="J29" i="3"/>
  <c r="K29" i="3" s="1"/>
  <c r="K38" i="3" s="1"/>
  <c r="P16" i="3"/>
  <c r="P11" i="3"/>
  <c r="E48" i="3"/>
  <c r="F48" i="3" s="1"/>
  <c r="L31" i="3"/>
  <c r="E49" i="3"/>
  <c r="F49" i="3" s="1"/>
  <c r="L32" i="3"/>
  <c r="L34" i="3"/>
  <c r="E51" i="3"/>
  <c r="F51" i="3" s="1"/>
  <c r="P18" i="3" l="1"/>
  <c r="K48" i="3"/>
  <c r="G48" i="3"/>
  <c r="I48" i="3"/>
  <c r="J48" i="3"/>
  <c r="H48" i="3"/>
  <c r="Q31" i="3"/>
  <c r="J54" i="3"/>
  <c r="G54" i="3"/>
  <c r="I54" i="3"/>
  <c r="H54" i="3"/>
  <c r="K54" i="3"/>
  <c r="I49" i="3"/>
  <c r="H49" i="3"/>
  <c r="K49" i="3"/>
  <c r="G49" i="3"/>
  <c r="J49" i="3"/>
  <c r="E46" i="3"/>
  <c r="L29" i="3"/>
  <c r="J38" i="3"/>
  <c r="H51" i="3"/>
  <c r="I51" i="3"/>
  <c r="I63" i="3" s="1"/>
  <c r="G51" i="3"/>
  <c r="G63" i="3" s="1"/>
  <c r="K51" i="3"/>
  <c r="K63" i="3" s="1"/>
  <c r="J51" i="3"/>
  <c r="K52" i="3"/>
  <c r="H52" i="3"/>
  <c r="J52" i="3"/>
  <c r="I52" i="3"/>
  <c r="G52" i="3"/>
  <c r="J63" i="3" l="1"/>
  <c r="H63" i="3"/>
  <c r="L38" i="3"/>
  <c r="Q30" i="3"/>
  <c r="Q33" i="3" s="1"/>
  <c r="E55" i="3"/>
  <c r="F46" i="3"/>
  <c r="G46" i="3" l="1"/>
  <c r="F55" i="3"/>
  <c r="J46" i="3"/>
  <c r="K46" i="3"/>
  <c r="I46" i="3"/>
  <c r="H46" i="3"/>
  <c r="K55" i="3" l="1"/>
  <c r="K62" i="3"/>
  <c r="K65" i="3" s="1"/>
  <c r="I62" i="3"/>
  <c r="I65" i="3" s="1"/>
  <c r="I55" i="3"/>
  <c r="H62" i="3"/>
  <c r="H65" i="3" s="1"/>
  <c r="H55" i="3"/>
  <c r="J62" i="3"/>
  <c r="J65" i="3" s="1"/>
  <c r="J55" i="3"/>
  <c r="G62" i="3"/>
  <c r="G65" i="3" s="1"/>
  <c r="G55" i="3"/>
</calcChain>
</file>

<file path=xl/sharedStrings.xml><?xml version="1.0" encoding="utf-8"?>
<sst xmlns="http://schemas.openxmlformats.org/spreadsheetml/2006/main" count="197" uniqueCount="116">
  <si>
    <t>Wage</t>
  </si>
  <si>
    <t>Position</t>
  </si>
  <si>
    <t>Job Title</t>
  </si>
  <si>
    <t>Wages</t>
  </si>
  <si>
    <t>Adjustment</t>
  </si>
  <si>
    <t>Engineering Technician</t>
  </si>
  <si>
    <t>Customer Service Supervisor</t>
  </si>
  <si>
    <t xml:space="preserve">Customer Service Representative </t>
  </si>
  <si>
    <t>Operations Clerk</t>
  </si>
  <si>
    <t>Accountant</t>
  </si>
  <si>
    <t>Lead Dispatch Operator</t>
  </si>
  <si>
    <t>IT Supervisor</t>
  </si>
  <si>
    <t>GIS Analyst</t>
  </si>
  <si>
    <t>Customer Service Representative</t>
  </si>
  <si>
    <t>Utility Locate Specialist</t>
  </si>
  <si>
    <t>Applications Clerk</t>
  </si>
  <si>
    <t>CMMS Administrator</t>
  </si>
  <si>
    <t>Hire Date</t>
  </si>
  <si>
    <t>Safety Specialist</t>
  </si>
  <si>
    <t>Lead Meter Technician</t>
  </si>
  <si>
    <t>Benefit Wages</t>
  </si>
  <si>
    <t>NEW EMPLOYEE DATA</t>
  </si>
  <si>
    <t>Hourly</t>
  </si>
  <si>
    <t>Wages Not in Base Year</t>
  </si>
  <si>
    <t>No.</t>
  </si>
  <si>
    <t>Title</t>
  </si>
  <si>
    <t>Category</t>
  </si>
  <si>
    <t>Annual</t>
  </si>
  <si>
    <t>Rate</t>
  </si>
  <si>
    <t>Factor</t>
  </si>
  <si>
    <t>Total</t>
  </si>
  <si>
    <t>Holiday</t>
  </si>
  <si>
    <t>BH</t>
  </si>
  <si>
    <t>UWD</t>
  </si>
  <si>
    <t>SL</t>
  </si>
  <si>
    <t>AL</t>
  </si>
  <si>
    <t>Working</t>
  </si>
  <si>
    <t>2H-225</t>
  </si>
  <si>
    <t>Admin</t>
  </si>
  <si>
    <t>2B-198</t>
  </si>
  <si>
    <t>Capital (Not Included)</t>
  </si>
  <si>
    <t>2K-235</t>
  </si>
  <si>
    <t>2H-154</t>
  </si>
  <si>
    <t>2F-218</t>
  </si>
  <si>
    <t>2O-113</t>
  </si>
  <si>
    <t>T&amp;D Operations</t>
  </si>
  <si>
    <t>2J-238</t>
  </si>
  <si>
    <t>T&amp;D Maint</t>
  </si>
  <si>
    <t>2B-210</t>
  </si>
  <si>
    <t>Expense</t>
  </si>
  <si>
    <t>Capital</t>
  </si>
  <si>
    <t>Rates &amp; Allocation Memo</t>
  </si>
  <si>
    <t>Direct Time - Engineering</t>
  </si>
  <si>
    <t>Direct Time - Operations</t>
  </si>
  <si>
    <t>Year 2024</t>
  </si>
  <si>
    <t>Hire</t>
  </si>
  <si>
    <t>WCWD</t>
  </si>
  <si>
    <t>Expense Wages</t>
  </si>
  <si>
    <t>Date</t>
  </si>
  <si>
    <t>Allocation %</t>
  </si>
  <si>
    <t>Comments</t>
  </si>
  <si>
    <t>Allocation Memo- No. of Customers</t>
  </si>
  <si>
    <t>Total Wages by Category</t>
  </si>
  <si>
    <t>Allocation Memo - No. of Customers</t>
  </si>
  <si>
    <t>T&amp;D Oper</t>
  </si>
  <si>
    <t xml:space="preserve">Allocation Memo - No. of Customers </t>
  </si>
  <si>
    <t xml:space="preserve">     Total</t>
  </si>
  <si>
    <t>Employee OH</t>
  </si>
  <si>
    <t>Description</t>
  </si>
  <si>
    <t>Payroll Taxes</t>
  </si>
  <si>
    <t>Worker Comp</t>
  </si>
  <si>
    <t>Insurance</t>
  </si>
  <si>
    <t>Retirement</t>
  </si>
  <si>
    <t xml:space="preserve">Employee Overhead </t>
  </si>
  <si>
    <t xml:space="preserve"> Pay Rate</t>
  </si>
  <si>
    <t>OT Hours</t>
  </si>
  <si>
    <t>Wage Adjustment</t>
  </si>
  <si>
    <t>Applied to Expense Wages</t>
  </si>
  <si>
    <t>2I-49</t>
  </si>
  <si>
    <t>2I-60</t>
  </si>
  <si>
    <t>2I-199</t>
  </si>
  <si>
    <t>2I-217</t>
  </si>
  <si>
    <t>2I-222</t>
  </si>
  <si>
    <t>2I-224</t>
  </si>
  <si>
    <t>New Employees- SEWER DIVISION</t>
  </si>
  <si>
    <t>WCWD Call</t>
  </si>
  <si>
    <t>Guffey, Ross started the meeting</t>
  </si>
  <si>
    <t>(Excl Wage Adj)</t>
  </si>
  <si>
    <t>New Employees</t>
  </si>
  <si>
    <t>Proforma</t>
  </si>
  <si>
    <t>Wages Worked</t>
  </si>
  <si>
    <t>2K-41</t>
  </si>
  <si>
    <t>Employees who did not work the entire test year.</t>
  </si>
  <si>
    <t>Employees hired after the test year.</t>
  </si>
  <si>
    <t>New Employee Wages</t>
  </si>
  <si>
    <t>(Revised)</t>
  </si>
  <si>
    <t>Employee Overhead by Category</t>
  </si>
  <si>
    <t>Employee Overhead - New Employees</t>
  </si>
  <si>
    <t>CSR Wage Shift to 100% Expense</t>
  </si>
  <si>
    <t>Proforma uses the customer service representative (CSR) hours allocated to capital in year 2023 to calculate the amount that will be recorded to expense.</t>
  </si>
  <si>
    <t>Captial Wages - CSR's (Year 2023)</t>
  </si>
  <si>
    <t>Total Capital Wages</t>
  </si>
  <si>
    <t>Regular Hours</t>
  </si>
  <si>
    <t>Regular Wages</t>
  </si>
  <si>
    <t>OT Wages</t>
  </si>
  <si>
    <t>Capital Hrs</t>
  </si>
  <si>
    <t>(Shift to Expense)</t>
  </si>
  <si>
    <t>CSR's Shift from Capital to Expense</t>
  </si>
  <si>
    <t xml:space="preserve">Employee Overhead - CSR Shift from Capital to Expense </t>
  </si>
  <si>
    <t>K</t>
  </si>
  <si>
    <t>Wages Not In Base Year</t>
  </si>
  <si>
    <t>Hours</t>
  </si>
  <si>
    <t>A3</t>
  </si>
  <si>
    <t>B2</t>
  </si>
  <si>
    <t>A4</t>
  </si>
  <si>
    <t>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</si>
</sst>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E+00"/>
    <numFmt numFmtId="167" formatCode="0.0%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singleAccounting"/>
      <sz val="11"/>
      <color theme="1"/>
      <name val="Aptos Narrow"/>
      <family val="2"/>
      <scheme val="minor"/>
    </font>
    <font>
      <sz val="11"/>
      <color rgb="FFFFFFFF"/>
      <name val="Var(--fontFamilyBase)"/>
    </font>
    <font>
      <sz val="11"/>
      <color rgb="FFFFFFFF"/>
      <name val="Segoe UI"/>
      <family val="2"/>
    </font>
    <font>
      <b/>
      <sz val="9"/>
      <color theme="1"/>
      <name val="Arial"/>
      <family val="2"/>
    </font>
    <font>
      <sz val="11"/>
      <name val="Aptos Narrow"/>
      <family val="2"/>
      <scheme val="minor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u val="doubleAccounting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0" applyNumberFormat="1" applyFont="1"/>
    <xf numFmtId="166" fontId="3" fillId="0" borderId="0" xfId="0" applyNumberFormat="1" applyFont="1" applyAlignment="1">
      <alignment horizontal="center"/>
    </xf>
    <xf numFmtId="43" fontId="3" fillId="0" borderId="0" xfId="1" applyFont="1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3" applyFont="1" applyAlignment="1">
      <alignment horizontal="center"/>
    </xf>
    <xf numFmtId="9" fontId="2" fillId="0" borderId="0" xfId="3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14" fontId="0" fillId="0" borderId="0" xfId="0" applyNumberFormat="1" applyAlignment="1">
      <alignment horizontal="center"/>
    </xf>
    <xf numFmtId="44" fontId="0" fillId="0" borderId="0" xfId="2" applyFont="1" applyFill="1"/>
    <xf numFmtId="164" fontId="0" fillId="0" borderId="0" xfId="1" applyNumberFormat="1" applyFont="1" applyFill="1" applyAlignment="1"/>
    <xf numFmtId="167" fontId="0" fillId="0" borderId="0" xfId="3" applyNumberFormat="1" applyFont="1" applyFill="1" applyAlignment="1">
      <alignment horizontal="center"/>
    </xf>
    <xf numFmtId="43" fontId="0" fillId="0" borderId="0" xfId="1" applyFont="1" applyFill="1"/>
    <xf numFmtId="44" fontId="2" fillId="0" borderId="6" xfId="2" applyFont="1" applyFill="1" applyBorder="1"/>
    <xf numFmtId="43" fontId="2" fillId="0" borderId="8" xfId="1" applyFont="1" applyFill="1" applyBorder="1"/>
    <xf numFmtId="43" fontId="2" fillId="0" borderId="10" xfId="1" applyFont="1" applyFill="1" applyBorder="1"/>
    <xf numFmtId="44" fontId="0" fillId="0" borderId="0" xfId="0" applyNumberFormat="1"/>
    <xf numFmtId="44" fontId="0" fillId="0" borderId="0" xfId="0" applyNumberFormat="1" applyAlignment="1">
      <alignment horizontal="center"/>
    </xf>
    <xf numFmtId="164" fontId="2" fillId="0" borderId="0" xfId="1" applyNumberFormat="1" applyFont="1" applyFill="1" applyBorder="1" applyAlignment="1"/>
    <xf numFmtId="44" fontId="0" fillId="0" borderId="0" xfId="2" applyFont="1" applyBorder="1"/>
    <xf numFmtId="43" fontId="0" fillId="0" borderId="0" xfId="1" applyFont="1" applyFill="1" applyBorder="1" applyAlignment="1">
      <alignment horizontal="center"/>
    </xf>
    <xf numFmtId="43" fontId="0" fillId="0" borderId="8" xfId="1" applyFont="1" applyFill="1" applyBorder="1"/>
    <xf numFmtId="43" fontId="0" fillId="0" borderId="0" xfId="1" applyFont="1" applyBorder="1"/>
    <xf numFmtId="43" fontId="2" fillId="0" borderId="0" xfId="1" applyFont="1" applyBorder="1"/>
    <xf numFmtId="43" fontId="1" fillId="0" borderId="0" xfId="1" applyFont="1" applyBorder="1"/>
    <xf numFmtId="44" fontId="2" fillId="0" borderId="8" xfId="2" applyFont="1" applyFill="1" applyBorder="1"/>
    <xf numFmtId="43" fontId="6" fillId="0" borderId="0" xfId="1" applyFont="1" applyFill="1" applyBorder="1"/>
    <xf numFmtId="43" fontId="6" fillId="0" borderId="0" xfId="1" applyFont="1" applyFill="1"/>
    <xf numFmtId="43" fontId="5" fillId="0" borderId="0" xfId="1" applyFont="1" applyFill="1"/>
    <xf numFmtId="43" fontId="5" fillId="0" borderId="9" xfId="1" applyFont="1" applyFill="1" applyBorder="1"/>
    <xf numFmtId="10" fontId="0" fillId="0" borderId="8" xfId="0" applyNumberFormat="1" applyBorder="1" applyAlignment="1">
      <alignment horizontal="center"/>
    </xf>
    <xf numFmtId="10" fontId="3" fillId="0" borderId="0" xfId="3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2" fillId="0" borderId="6" xfId="0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0" fillId="0" borderId="9" xfId="3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4" fontId="0" fillId="0" borderId="0" xfId="2" applyFont="1" applyFill="1" applyBorder="1"/>
    <xf numFmtId="167" fontId="0" fillId="0" borderId="0" xfId="3" applyNumberFormat="1" applyFont="1" applyFill="1" applyBorder="1" applyAlignment="1">
      <alignment horizontal="center"/>
    </xf>
    <xf numFmtId="167" fontId="0" fillId="0" borderId="9" xfId="3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0" fillId="0" borderId="0" xfId="1" applyNumberFormat="1" applyFont="1" applyFill="1" applyBorder="1"/>
    <xf numFmtId="10" fontId="1" fillId="0" borderId="0" xfId="3" applyNumberFormat="1" applyFont="1" applyAlignment="1">
      <alignment horizontal="center"/>
    </xf>
    <xf numFmtId="165" fontId="0" fillId="0" borderId="0" xfId="0" applyNumberFormat="1"/>
    <xf numFmtId="9" fontId="10" fillId="0" borderId="0" xfId="3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4" fillId="0" borderId="0" xfId="0" applyNumberFormat="1" applyFont="1"/>
    <xf numFmtId="165" fontId="0" fillId="0" borderId="0" xfId="2" applyNumberFormat="1" applyFont="1" applyFill="1"/>
    <xf numFmtId="165" fontId="0" fillId="0" borderId="3" xfId="1" applyNumberFormat="1" applyFont="1" applyFill="1" applyBorder="1"/>
    <xf numFmtId="164" fontId="0" fillId="0" borderId="0" xfId="1" applyNumberFormat="1" applyFont="1" applyFill="1"/>
    <xf numFmtId="165" fontId="0" fillId="0" borderId="3" xfId="0" applyNumberFormat="1" applyBorder="1"/>
    <xf numFmtId="165" fontId="1" fillId="0" borderId="0" xfId="2" applyNumberFormat="1" applyFont="1" applyFill="1" applyBorder="1"/>
    <xf numFmtId="164" fontId="1" fillId="0" borderId="0" xfId="1" applyNumberFormat="1" applyFont="1" applyFill="1" applyBorder="1"/>
    <xf numFmtId="164" fontId="3" fillId="0" borderId="0" xfId="1" applyNumberFormat="1" applyFont="1" applyFill="1"/>
    <xf numFmtId="165" fontId="3" fillId="0" borderId="0" xfId="2" applyNumberFormat="1" applyFont="1" applyFill="1"/>
    <xf numFmtId="44" fontId="3" fillId="0" borderId="3" xfId="2" applyFont="1" applyBorder="1"/>
    <xf numFmtId="165" fontId="4" fillId="0" borderId="0" xfId="2" applyNumberFormat="1" applyFont="1"/>
    <xf numFmtId="164" fontId="0" fillId="0" borderId="3" xfId="1" applyNumberFormat="1" applyFont="1" applyBorder="1"/>
    <xf numFmtId="165" fontId="0" fillId="0" borderId="8" xfId="2" applyNumberFormat="1" applyFont="1" applyFill="1" applyBorder="1"/>
    <xf numFmtId="165" fontId="0" fillId="0" borderId="0" xfId="2" applyNumberFormat="1" applyFont="1" applyFill="1" applyBorder="1"/>
    <xf numFmtId="165" fontId="0" fillId="0" borderId="9" xfId="2" applyNumberFormat="1" applyFont="1" applyFill="1" applyBorder="1"/>
    <xf numFmtId="164" fontId="0" fillId="0" borderId="8" xfId="1" applyNumberFormat="1" applyFont="1" applyFill="1" applyBorder="1"/>
    <xf numFmtId="164" fontId="0" fillId="0" borderId="9" xfId="1" applyNumberFormat="1" applyFont="1" applyFill="1" applyBorder="1"/>
    <xf numFmtId="164" fontId="3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/>
    <xf numFmtId="164" fontId="0" fillId="0" borderId="1" xfId="1" applyNumberFormat="1" applyFont="1" applyFill="1" applyBorder="1"/>
    <xf numFmtId="164" fontId="0" fillId="0" borderId="11" xfId="1" applyNumberFormat="1" applyFont="1" applyFill="1" applyBorder="1"/>
    <xf numFmtId="165" fontId="3" fillId="0" borderId="0" xfId="0" applyNumberFormat="1" applyFont="1"/>
    <xf numFmtId="165" fontId="3" fillId="0" borderId="9" xfId="0" applyNumberFormat="1" applyFont="1" applyBorder="1"/>
    <xf numFmtId="164" fontId="3" fillId="0" borderId="9" xfId="1" applyNumberFormat="1" applyFont="1" applyFill="1" applyBorder="1"/>
    <xf numFmtId="164" fontId="0" fillId="0" borderId="9" xfId="0" applyNumberFormat="1" applyBorder="1"/>
    <xf numFmtId="164" fontId="0" fillId="0" borderId="11" xfId="0" applyNumberFormat="1" applyBorder="1"/>
    <xf numFmtId="165" fontId="0" fillId="0" borderId="7" xfId="2" applyNumberFormat="1" applyFont="1" applyBorder="1"/>
    <xf numFmtId="165" fontId="3" fillId="0" borderId="3" xfId="2" applyNumberFormat="1" applyFont="1" applyBorder="1"/>
    <xf numFmtId="165" fontId="3" fillId="0" borderId="0" xfId="2" applyNumberFormat="1" applyFont="1" applyFill="1" applyBorder="1"/>
    <xf numFmtId="164" fontId="3" fillId="0" borderId="0" xfId="0" applyNumberFormat="1" applyFont="1"/>
    <xf numFmtId="165" fontId="3" fillId="0" borderId="0" xfId="2" applyNumberFormat="1" applyFont="1"/>
    <xf numFmtId="165" fontId="3" fillId="0" borderId="10" xfId="2" applyNumberFormat="1" applyFont="1" applyFill="1" applyBorder="1"/>
    <xf numFmtId="165" fontId="4" fillId="2" borderId="1" xfId="2" applyNumberFormat="1" applyFont="1" applyFill="1" applyBorder="1"/>
    <xf numFmtId="165" fontId="3" fillId="0" borderId="1" xfId="2" applyNumberFormat="1" applyFont="1" applyFill="1" applyBorder="1"/>
    <xf numFmtId="165" fontId="3" fillId="0" borderId="11" xfId="2" applyNumberFormat="1" applyFont="1" applyFill="1" applyBorder="1"/>
    <xf numFmtId="0" fontId="12" fillId="0" borderId="0" xfId="0" applyFont="1"/>
    <xf numFmtId="9" fontId="4" fillId="0" borderId="0" xfId="3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165" fontId="2" fillId="2" borderId="3" xfId="2" applyNumberFormat="1" applyFont="1" applyFill="1" applyBorder="1"/>
    <xf numFmtId="165" fontId="2" fillId="2" borderId="13" xfId="2" applyNumberFormat="1" applyFont="1" applyFill="1" applyBorder="1"/>
    <xf numFmtId="165" fontId="1" fillId="0" borderId="13" xfId="2" applyNumberFormat="1" applyFont="1" applyFill="1" applyBorder="1"/>
    <xf numFmtId="164" fontId="1" fillId="0" borderId="3" xfId="1" applyNumberFormat="1" applyFont="1" applyFill="1" applyBorder="1"/>
    <xf numFmtId="165" fontId="1" fillId="0" borderId="3" xfId="2" applyNumberFormat="1" applyFont="1" applyFill="1" applyBorder="1"/>
    <xf numFmtId="10" fontId="3" fillId="0" borderId="0" xfId="3" applyNumberFormat="1" applyFont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4" fillId="0" borderId="0" xfId="2" applyNumberFormat="1" applyFont="1" applyFill="1"/>
    <xf numFmtId="164" fontId="3" fillId="0" borderId="0" xfId="1" applyNumberFormat="1" applyFont="1" applyBorder="1"/>
    <xf numFmtId="43" fontId="5" fillId="0" borderId="0" xfId="1" applyFont="1" applyBorder="1"/>
    <xf numFmtId="164" fontId="5" fillId="0" borderId="0" xfId="1" applyNumberFormat="1" applyFont="1" applyBorder="1"/>
    <xf numFmtId="43" fontId="5" fillId="0" borderId="0" xfId="0" applyNumberFormat="1" applyFont="1"/>
    <xf numFmtId="164" fontId="5" fillId="0" borderId="0" xfId="0" applyNumberFormat="1" applyFont="1"/>
    <xf numFmtId="164" fontId="16" fillId="0" borderId="0" xfId="0" applyNumberFormat="1" applyFont="1"/>
    <xf numFmtId="164" fontId="5" fillId="0" borderId="0" xfId="1" applyNumberFormat="1" applyFont="1" applyFill="1"/>
    <xf numFmtId="165" fontId="3" fillId="0" borderId="0" xfId="2" applyNumberFormat="1" applyFont="1" applyBorder="1"/>
    <xf numFmtId="0" fontId="4" fillId="2" borderId="0" xfId="0" applyFont="1" applyFill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3" fillId="0" borderId="9" xfId="3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" fillId="0" borderId="0" xfId="0" applyFont="1"/>
    <xf numFmtId="44" fontId="3" fillId="0" borderId="0" xfId="0" applyNumberFormat="1" applyFont="1"/>
    <xf numFmtId="165" fontId="18" fillId="0" borderId="0" xfId="0" applyNumberFormat="1" applyFont="1"/>
    <xf numFmtId="165" fontId="1" fillId="0" borderId="15" xfId="2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5" fontId="1" fillId="0" borderId="12" xfId="2" applyNumberFormat="1" applyFont="1" applyFill="1" applyBorder="1"/>
    <xf numFmtId="165" fontId="13" fillId="2" borderId="3" xfId="2" applyNumberFormat="1" applyFont="1" applyFill="1" applyBorder="1"/>
    <xf numFmtId="43" fontId="4" fillId="2" borderId="0" xfId="0" applyNumberFormat="1" applyFont="1" applyFill="1" applyAlignment="1">
      <alignment horizontal="center"/>
    </xf>
    <xf numFmtId="43" fontId="13" fillId="2" borderId="0" xfId="0" applyNumberFormat="1" applyFont="1" applyFill="1" applyAlignment="1">
      <alignment horizontal="center"/>
    </xf>
    <xf numFmtId="165" fontId="17" fillId="2" borderId="0" xfId="2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9">
    <cellStyle name="Comma" xfId="1" builtinId="3"/>
    <cellStyle name="Comma 2" xfId="5" xr:uid="{DC92F9B1-215F-4B49-8081-B876008B8526}"/>
    <cellStyle name="Comma 2 2" xfId="7" xr:uid="{C48129CB-EC90-427E-934C-A094C4DCBF27}"/>
    <cellStyle name="Currency" xfId="2" builtinId="4"/>
    <cellStyle name="Currency 2" xfId="6" xr:uid="{1CA2A089-5C6A-4008-81A7-C02BF740E027}"/>
    <cellStyle name="Normal" xfId="0" builtinId="0"/>
    <cellStyle name="Normal 2" xfId="4" xr:uid="{8AD4DF4C-384A-441A-9612-82EF28A0B814}"/>
    <cellStyle name="Percent" xfId="3" builtinId="5"/>
    <cellStyle name="Percent 2" xfId="8" xr:uid="{C1BE0F31-CA93-4711-AB49-F84DF1F37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58</xdr:row>
      <xdr:rowOff>0</xdr:rowOff>
    </xdr:from>
    <xdr:to>
      <xdr:col>16</xdr:col>
      <xdr:colOff>304800</xdr:colOff>
      <xdr:row>59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4FFAA3B-C872-44E7-BA32-4E2CC2276C0F}"/>
            </a:ext>
          </a:extLst>
        </xdr:cNvPr>
        <xdr:cNvSpPr>
          <a:spLocks noChangeAspect="1" noChangeArrowheads="1"/>
        </xdr:cNvSpPr>
      </xdr:nvSpPr>
      <xdr:spPr bwMode="auto">
        <a:xfrm>
          <a:off x="16640175" y="1015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304800</xdr:colOff>
      <xdr:row>27</xdr:row>
      <xdr:rowOff>104775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58CF130-7A47-4216-85ED-35D83C733050}"/>
            </a:ext>
          </a:extLst>
        </xdr:cNvPr>
        <xdr:cNvSpPr>
          <a:spLocks noChangeAspect="1" noChangeArrowheads="1"/>
        </xdr:cNvSpPr>
      </xdr:nvSpPr>
      <xdr:spPr bwMode="auto">
        <a:xfrm>
          <a:off x="15773400" y="44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304800</xdr:colOff>
      <xdr:row>35</xdr:row>
      <xdr:rowOff>114300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59FF46B1-E78C-4BFC-B2E2-6499BAF92B2E}"/>
            </a:ext>
          </a:extLst>
        </xdr:cNvPr>
        <xdr:cNvSpPr>
          <a:spLocks noChangeAspect="1" noChangeArrowheads="1"/>
        </xdr:cNvSpPr>
      </xdr:nvSpPr>
      <xdr:spPr bwMode="auto">
        <a:xfrm>
          <a:off x="15773400" y="592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29</xdr:row>
      <xdr:rowOff>0</xdr:rowOff>
    </xdr:from>
    <xdr:to>
      <xdr:col>16</xdr:col>
      <xdr:colOff>304800</xdr:colOff>
      <xdr:row>30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CAE93C3-E20F-4BBA-9ABA-55FCD91804BB}"/>
            </a:ext>
          </a:extLst>
        </xdr:cNvPr>
        <xdr:cNvSpPr>
          <a:spLocks noChangeAspect="1" noChangeArrowheads="1"/>
        </xdr:cNvSpPr>
      </xdr:nvSpPr>
      <xdr:spPr bwMode="auto">
        <a:xfrm>
          <a:off x="16640175" y="1015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A1AC-F07E-467A-A2DC-12D1F5F04341}">
  <dimension ref="A1:R68"/>
  <sheetViews>
    <sheetView tabSelected="1" zoomScale="55" zoomScaleNormal="55" workbookViewId="0">
      <selection activeCell="C58" sqref="C58"/>
    </sheetView>
  </sheetViews>
  <sheetFormatPr defaultColWidth="8.83203125" defaultRowHeight="12.5" x14ac:dyDescent="0.25"/>
  <cols>
    <col min="1" max="1" width="9.25" style="6" customWidth="1"/>
    <col min="2" max="2" width="21" style="6" customWidth="1"/>
    <col min="3" max="3" width="19.4140625" style="6" customWidth="1"/>
    <col min="4" max="4" width="12.58203125" style="6" customWidth="1"/>
    <col min="5" max="5" width="12.25" style="6" bestFit="1" customWidth="1"/>
    <col min="6" max="6" width="13.83203125" style="6" customWidth="1"/>
    <col min="7" max="7" width="12.75" style="6" bestFit="1" customWidth="1"/>
    <col min="8" max="8" width="16.75" style="6" bestFit="1" customWidth="1"/>
    <col min="9" max="9" width="15.4140625" style="6" customWidth="1"/>
    <col min="10" max="10" width="11.58203125" style="6" bestFit="1" customWidth="1"/>
    <col min="11" max="11" width="15" style="6" customWidth="1"/>
    <col min="12" max="12" width="22.83203125" style="6" bestFit="1" customWidth="1"/>
    <col min="13" max="13" width="20.75" style="6" customWidth="1"/>
    <col min="14" max="14" width="13.25" style="6" customWidth="1"/>
    <col min="15" max="16" width="14.4140625" style="6" bestFit="1" customWidth="1"/>
    <col min="17" max="17" width="13.75" style="6" customWidth="1"/>
    <col min="18" max="18" width="14.25" style="6" bestFit="1" customWidth="1"/>
    <col min="19" max="19" width="13.58203125" style="6" bestFit="1" customWidth="1"/>
    <col min="20" max="21" width="11.25" style="6" bestFit="1" customWidth="1"/>
    <col min="22" max="16384" width="8.83203125" style="6"/>
  </cols>
  <sheetData>
    <row r="1" spans="1:16" ht="15.5" x14ac:dyDescent="0.35">
      <c r="A1" s="103" t="s">
        <v>88</v>
      </c>
    </row>
    <row r="2" spans="1:16" x14ac:dyDescent="0.25">
      <c r="A2" s="6" t="s">
        <v>92</v>
      </c>
    </row>
    <row r="3" spans="1:16" x14ac:dyDescent="0.25">
      <c r="A3" s="6" t="s">
        <v>93</v>
      </c>
    </row>
    <row r="4" spans="1:16" x14ac:dyDescent="0.25">
      <c r="A4" s="7"/>
    </row>
    <row r="5" spans="1:16" x14ac:dyDescent="0.25">
      <c r="A5" s="7"/>
    </row>
    <row r="6" spans="1:16" ht="13" x14ac:dyDescent="0.3">
      <c r="A6" s="8" t="s">
        <v>21</v>
      </c>
    </row>
    <row r="7" spans="1:16" x14ac:dyDescent="0.25">
      <c r="A7" s="9"/>
      <c r="G7" s="10">
        <v>44927</v>
      </c>
      <c r="O7" s="145" t="s">
        <v>23</v>
      </c>
      <c r="P7" s="145"/>
    </row>
    <row r="8" spans="1:16" s="12" customFormat="1" x14ac:dyDescent="0.25">
      <c r="A8" s="11" t="s">
        <v>24</v>
      </c>
      <c r="B8" s="11" t="s">
        <v>25</v>
      </c>
      <c r="C8" s="11" t="s">
        <v>26</v>
      </c>
      <c r="D8" s="11" t="s">
        <v>17</v>
      </c>
      <c r="E8" s="11" t="s">
        <v>27</v>
      </c>
      <c r="F8" s="11" t="s">
        <v>22</v>
      </c>
      <c r="G8" s="11" t="s">
        <v>29</v>
      </c>
      <c r="H8" s="11" t="s">
        <v>30</v>
      </c>
      <c r="I8" s="11" t="s">
        <v>31</v>
      </c>
      <c r="J8" s="11" t="s">
        <v>32</v>
      </c>
      <c r="K8" s="11" t="s">
        <v>33</v>
      </c>
      <c r="L8" s="11" t="s">
        <v>34</v>
      </c>
      <c r="M8" s="11" t="s">
        <v>35</v>
      </c>
      <c r="N8" s="11" t="s">
        <v>36</v>
      </c>
      <c r="O8" s="11" t="s">
        <v>30</v>
      </c>
      <c r="P8" s="11" t="s">
        <v>36</v>
      </c>
    </row>
    <row r="9" spans="1:16" x14ac:dyDescent="0.25">
      <c r="A9" s="12" t="s">
        <v>37</v>
      </c>
      <c r="B9" s="6" t="s">
        <v>16</v>
      </c>
      <c r="C9" s="6" t="s">
        <v>38</v>
      </c>
      <c r="D9" s="10">
        <v>44995</v>
      </c>
      <c r="E9" s="96">
        <v>70183.23</v>
      </c>
      <c r="F9" s="13">
        <f t="shared" ref="F9:F17" si="0">+E9/2080</f>
        <v>33.741937499999999</v>
      </c>
      <c r="G9" s="14">
        <f t="shared" ref="G9:G17" si="1">IF((D9-$G$7)/365&lt;1,(D9-$G$7)/365,1)</f>
        <v>0.18630136986301371</v>
      </c>
      <c r="H9" s="12">
        <f>52*40</f>
        <v>2080</v>
      </c>
      <c r="I9" s="12">
        <f>11*8</f>
        <v>88</v>
      </c>
      <c r="J9" s="12">
        <v>8</v>
      </c>
      <c r="K9" s="12">
        <v>8</v>
      </c>
      <c r="L9" s="12">
        <f>8*12</f>
        <v>96</v>
      </c>
      <c r="M9" s="12">
        <v>120</v>
      </c>
      <c r="N9" s="12">
        <f>+H9-I9-J9-K9-L9-M9</f>
        <v>1760</v>
      </c>
      <c r="O9" s="98">
        <f t="shared" ref="O9:O17" si="2">+E9*G9</f>
        <v>13075.23189041096</v>
      </c>
      <c r="P9" s="98">
        <f t="shared" ref="P9:P17" si="3">+F9*N9*G9</f>
        <v>11063.657753424657</v>
      </c>
    </row>
    <row r="10" spans="1:16" x14ac:dyDescent="0.25">
      <c r="A10" s="12" t="s">
        <v>39</v>
      </c>
      <c r="B10" s="6" t="s">
        <v>12</v>
      </c>
      <c r="C10" s="6" t="s">
        <v>40</v>
      </c>
      <c r="D10" s="10">
        <v>45257</v>
      </c>
      <c r="E10" s="83">
        <v>68139.058000000005</v>
      </c>
      <c r="F10" s="13">
        <f t="shared" si="0"/>
        <v>32.759162500000002</v>
      </c>
      <c r="G10" s="14">
        <f t="shared" si="1"/>
        <v>0.90410958904109584</v>
      </c>
      <c r="H10" s="12">
        <v>2080</v>
      </c>
      <c r="I10" s="12">
        <f t="shared" ref="I10:I17" si="4">11*8</f>
        <v>88</v>
      </c>
      <c r="J10" s="12">
        <v>8</v>
      </c>
      <c r="K10" s="12">
        <v>8</v>
      </c>
      <c r="L10" s="12">
        <f t="shared" ref="L10:L17" si="5">8*12</f>
        <v>96</v>
      </c>
      <c r="M10" s="12">
        <v>120</v>
      </c>
      <c r="N10" s="12">
        <f t="shared" ref="N10:N17" si="6">+H10-I10-J10-K10-L10-M10</f>
        <v>1760</v>
      </c>
      <c r="O10" s="97">
        <f t="shared" si="2"/>
        <v>61605.175726027395</v>
      </c>
      <c r="P10" s="97">
        <f t="shared" si="3"/>
        <v>52127.456383561643</v>
      </c>
    </row>
    <row r="11" spans="1:16" x14ac:dyDescent="0.25">
      <c r="A11" s="12" t="s">
        <v>41</v>
      </c>
      <c r="B11" s="6" t="s">
        <v>18</v>
      </c>
      <c r="C11" s="6" t="s">
        <v>38</v>
      </c>
      <c r="D11" s="10">
        <v>45397</v>
      </c>
      <c r="E11" s="83">
        <v>89999.987999999998</v>
      </c>
      <c r="F11" s="13">
        <f t="shared" si="0"/>
        <v>43.269224999999999</v>
      </c>
      <c r="G11" s="14">
        <f t="shared" si="1"/>
        <v>1</v>
      </c>
      <c r="H11" s="12">
        <v>2080</v>
      </c>
      <c r="I11" s="12">
        <f t="shared" si="4"/>
        <v>88</v>
      </c>
      <c r="J11" s="12">
        <v>8</v>
      </c>
      <c r="K11" s="12">
        <v>0</v>
      </c>
      <c r="L11" s="12">
        <f t="shared" si="5"/>
        <v>96</v>
      </c>
      <c r="M11" s="12">
        <v>120</v>
      </c>
      <c r="N11" s="12">
        <f t="shared" si="6"/>
        <v>1768</v>
      </c>
      <c r="O11" s="97">
        <f t="shared" si="2"/>
        <v>89999.987999999998</v>
      </c>
      <c r="P11" s="97">
        <f t="shared" si="3"/>
        <v>76499.989799999996</v>
      </c>
    </row>
    <row r="12" spans="1:16" x14ac:dyDescent="0.25">
      <c r="A12" s="12" t="s">
        <v>42</v>
      </c>
      <c r="B12" s="6" t="s">
        <v>11</v>
      </c>
      <c r="C12" s="6" t="s">
        <v>38</v>
      </c>
      <c r="D12" s="10">
        <v>45339</v>
      </c>
      <c r="E12" s="83">
        <v>109565.04</v>
      </c>
      <c r="F12" s="13">
        <f t="shared" si="0"/>
        <v>52.6755</v>
      </c>
      <c r="G12" s="14">
        <f t="shared" si="1"/>
        <v>1</v>
      </c>
      <c r="H12" s="12">
        <v>2080</v>
      </c>
      <c r="I12" s="12">
        <f t="shared" si="4"/>
        <v>88</v>
      </c>
      <c r="J12" s="12">
        <v>8</v>
      </c>
      <c r="K12" s="12">
        <v>16</v>
      </c>
      <c r="L12" s="12">
        <f t="shared" si="5"/>
        <v>96</v>
      </c>
      <c r="M12" s="12">
        <v>120</v>
      </c>
      <c r="N12" s="12">
        <f t="shared" si="6"/>
        <v>1752</v>
      </c>
      <c r="O12" s="97">
        <f t="shared" si="2"/>
        <v>109565.04</v>
      </c>
      <c r="P12" s="97">
        <f t="shared" si="3"/>
        <v>92287.475999999995</v>
      </c>
    </row>
    <row r="13" spans="1:16" x14ac:dyDescent="0.25">
      <c r="A13" s="12" t="s">
        <v>43</v>
      </c>
      <c r="B13" s="6" t="s">
        <v>5</v>
      </c>
      <c r="C13" s="6" t="s">
        <v>40</v>
      </c>
      <c r="D13" s="10">
        <v>45325</v>
      </c>
      <c r="E13" s="83">
        <v>60320</v>
      </c>
      <c r="F13" s="13">
        <f t="shared" si="0"/>
        <v>29</v>
      </c>
      <c r="G13" s="14">
        <f t="shared" si="1"/>
        <v>1</v>
      </c>
      <c r="H13" s="12">
        <v>2080</v>
      </c>
      <c r="I13" s="12">
        <f t="shared" si="4"/>
        <v>88</v>
      </c>
      <c r="J13" s="12">
        <v>8</v>
      </c>
      <c r="K13" s="12">
        <v>16</v>
      </c>
      <c r="L13" s="12">
        <f t="shared" si="5"/>
        <v>96</v>
      </c>
      <c r="M13" s="12">
        <v>120</v>
      </c>
      <c r="N13" s="12">
        <f t="shared" si="6"/>
        <v>1752</v>
      </c>
      <c r="O13" s="97">
        <f t="shared" si="2"/>
        <v>60320</v>
      </c>
      <c r="P13" s="97">
        <f t="shared" si="3"/>
        <v>50808</v>
      </c>
    </row>
    <row r="14" spans="1:16" x14ac:dyDescent="0.25">
      <c r="A14" s="12" t="s">
        <v>44</v>
      </c>
      <c r="B14" s="6" t="s">
        <v>10</v>
      </c>
      <c r="C14" s="6" t="s">
        <v>45</v>
      </c>
      <c r="D14" s="10">
        <v>45325</v>
      </c>
      <c r="E14" s="83">
        <v>70720</v>
      </c>
      <c r="F14" s="13">
        <f t="shared" si="0"/>
        <v>34</v>
      </c>
      <c r="G14" s="14">
        <f t="shared" si="1"/>
        <v>1</v>
      </c>
      <c r="H14" s="12">
        <v>2080</v>
      </c>
      <c r="I14" s="12">
        <f t="shared" si="4"/>
        <v>88</v>
      </c>
      <c r="J14" s="12">
        <v>8</v>
      </c>
      <c r="K14" s="12">
        <v>16</v>
      </c>
      <c r="L14" s="12">
        <f t="shared" si="5"/>
        <v>96</v>
      </c>
      <c r="M14" s="12">
        <v>120</v>
      </c>
      <c r="N14" s="12">
        <f t="shared" si="6"/>
        <v>1752</v>
      </c>
      <c r="O14" s="97">
        <f t="shared" si="2"/>
        <v>70720</v>
      </c>
      <c r="P14" s="97">
        <f t="shared" si="3"/>
        <v>59568</v>
      </c>
    </row>
    <row r="15" spans="1:16" x14ac:dyDescent="0.25">
      <c r="A15" s="12" t="s">
        <v>46</v>
      </c>
      <c r="B15" s="6" t="s">
        <v>9</v>
      </c>
      <c r="C15" s="6" t="s">
        <v>38</v>
      </c>
      <c r="D15" s="10">
        <v>45453</v>
      </c>
      <c r="E15" s="83">
        <v>68016</v>
      </c>
      <c r="F15" s="13">
        <f t="shared" si="0"/>
        <v>32.700000000000003</v>
      </c>
      <c r="G15" s="14">
        <f t="shared" si="1"/>
        <v>1</v>
      </c>
      <c r="H15" s="12">
        <v>2080</v>
      </c>
      <c r="I15" s="12">
        <f t="shared" si="4"/>
        <v>88</v>
      </c>
      <c r="J15" s="12">
        <v>8</v>
      </c>
      <c r="K15" s="12">
        <v>0</v>
      </c>
      <c r="L15" s="12">
        <f t="shared" si="5"/>
        <v>96</v>
      </c>
      <c r="M15" s="12">
        <v>120</v>
      </c>
      <c r="N15" s="12">
        <f t="shared" si="6"/>
        <v>1768</v>
      </c>
      <c r="O15" s="97">
        <f t="shared" si="2"/>
        <v>68016</v>
      </c>
      <c r="P15" s="97">
        <f t="shared" si="3"/>
        <v>57813.600000000006</v>
      </c>
    </row>
    <row r="16" spans="1:16" x14ac:dyDescent="0.25">
      <c r="A16" s="16">
        <v>2.0000000000000001E-196</v>
      </c>
      <c r="B16" s="6" t="s">
        <v>19</v>
      </c>
      <c r="C16" s="6" t="s">
        <v>47</v>
      </c>
      <c r="D16" s="10">
        <v>45353</v>
      </c>
      <c r="E16" s="83">
        <v>52000</v>
      </c>
      <c r="F16" s="13">
        <f t="shared" si="0"/>
        <v>25</v>
      </c>
      <c r="G16" s="14">
        <f t="shared" si="1"/>
        <v>1</v>
      </c>
      <c r="H16" s="12">
        <v>2080</v>
      </c>
      <c r="I16" s="12">
        <f t="shared" si="4"/>
        <v>88</v>
      </c>
      <c r="J16" s="12">
        <v>8</v>
      </c>
      <c r="K16" s="12">
        <v>16</v>
      </c>
      <c r="L16" s="12">
        <f t="shared" si="5"/>
        <v>96</v>
      </c>
      <c r="M16" s="12">
        <v>120</v>
      </c>
      <c r="N16" s="12">
        <f t="shared" si="6"/>
        <v>1752</v>
      </c>
      <c r="O16" s="97">
        <f t="shared" si="2"/>
        <v>52000</v>
      </c>
      <c r="P16" s="97">
        <f t="shared" si="3"/>
        <v>43800</v>
      </c>
    </row>
    <row r="17" spans="1:17" x14ac:dyDescent="0.25">
      <c r="A17" s="12" t="s">
        <v>48</v>
      </c>
      <c r="B17" s="6" t="s">
        <v>14</v>
      </c>
      <c r="C17" s="6" t="s">
        <v>45</v>
      </c>
      <c r="D17" s="10">
        <v>45061</v>
      </c>
      <c r="E17" s="83">
        <v>46169.759999999995</v>
      </c>
      <c r="F17" s="13">
        <f t="shared" si="0"/>
        <v>22.196999999999999</v>
      </c>
      <c r="G17" s="14">
        <f t="shared" si="1"/>
        <v>0.36712328767123287</v>
      </c>
      <c r="H17" s="12">
        <v>2080</v>
      </c>
      <c r="I17" s="12">
        <f t="shared" si="4"/>
        <v>88</v>
      </c>
      <c r="J17" s="12">
        <v>8</v>
      </c>
      <c r="K17" s="12">
        <v>0</v>
      </c>
      <c r="L17" s="12">
        <f t="shared" si="5"/>
        <v>96</v>
      </c>
      <c r="M17" s="12">
        <v>120</v>
      </c>
      <c r="N17" s="12">
        <f t="shared" si="6"/>
        <v>1768</v>
      </c>
      <c r="O17" s="97">
        <f t="shared" si="2"/>
        <v>16949.994082191777</v>
      </c>
      <c r="P17" s="97">
        <f t="shared" si="3"/>
        <v>14407.494969863013</v>
      </c>
    </row>
    <row r="18" spans="1:17" ht="13" thickBot="1" x14ac:dyDescent="0.3">
      <c r="E18" s="95">
        <f>SUM(E9:E17)</f>
        <v>635113.076</v>
      </c>
      <c r="F18" s="17"/>
      <c r="O18" s="95">
        <f>SUM(O9:O17)</f>
        <v>542251.42969863</v>
      </c>
      <c r="P18" s="95">
        <f>SUM(P9:P17)</f>
        <v>458375.67490684934</v>
      </c>
    </row>
    <row r="19" spans="1:17" ht="13.5" thickTop="1" x14ac:dyDescent="0.3">
      <c r="P19" s="18"/>
    </row>
    <row r="21" spans="1:17" ht="14" x14ac:dyDescent="0.3">
      <c r="A21" s="5"/>
      <c r="F21"/>
      <c r="G21"/>
      <c r="J21"/>
      <c r="K21" s="19" t="s">
        <v>49</v>
      </c>
      <c r="L21" s="19" t="s">
        <v>50</v>
      </c>
      <c r="M21"/>
      <c r="N21"/>
      <c r="O21"/>
      <c r="P21"/>
    </row>
    <row r="22" spans="1:17" ht="14" x14ac:dyDescent="0.3">
      <c r="A22" s="5"/>
      <c r="F22"/>
      <c r="G22"/>
      <c r="I22" t="s">
        <v>51</v>
      </c>
      <c r="K22" s="20">
        <v>0.57999999999999996</v>
      </c>
      <c r="L22" s="20">
        <v>0.42</v>
      </c>
      <c r="M22"/>
      <c r="N22"/>
      <c r="O22"/>
      <c r="P22"/>
    </row>
    <row r="23" spans="1:17" ht="14" x14ac:dyDescent="0.3">
      <c r="A23" s="5"/>
      <c r="F23"/>
      <c r="G23"/>
      <c r="I23" t="s">
        <v>52</v>
      </c>
      <c r="K23" s="20">
        <v>0</v>
      </c>
      <c r="L23" s="20">
        <v>1</v>
      </c>
      <c r="M23"/>
      <c r="N23"/>
      <c r="O23"/>
      <c r="P23"/>
    </row>
    <row r="24" spans="1:17" ht="14" x14ac:dyDescent="0.3">
      <c r="A24" s="5"/>
      <c r="F24"/>
      <c r="G24"/>
      <c r="I24" t="s">
        <v>53</v>
      </c>
      <c r="K24" s="20">
        <v>1</v>
      </c>
      <c r="L24" s="20">
        <v>0</v>
      </c>
      <c r="M24"/>
      <c r="N24"/>
      <c r="O24"/>
      <c r="P24"/>
    </row>
    <row r="25" spans="1:17" ht="14" x14ac:dyDescent="0.3">
      <c r="A25" s="5"/>
      <c r="F25"/>
      <c r="G25"/>
      <c r="I25"/>
      <c r="K25" s="20"/>
      <c r="L25" s="20"/>
      <c r="M25"/>
      <c r="N25"/>
      <c r="O25"/>
      <c r="P25"/>
    </row>
    <row r="26" spans="1:17" ht="14" x14ac:dyDescent="0.3">
      <c r="A26" s="3" t="s">
        <v>84</v>
      </c>
      <c r="D26"/>
      <c r="E26"/>
      <c r="F26"/>
      <c r="G26"/>
      <c r="H26" s="5" t="s">
        <v>54</v>
      </c>
      <c r="I26"/>
      <c r="J26" s="5"/>
      <c r="K26" s="64">
        <v>0.05</v>
      </c>
      <c r="L26" s="21"/>
      <c r="N26"/>
      <c r="O26"/>
      <c r="P26"/>
    </row>
    <row r="27" spans="1:17" ht="14.5" thickBot="1" x14ac:dyDescent="0.35">
      <c r="A27" s="5"/>
      <c r="B27"/>
      <c r="C27"/>
      <c r="D27" s="5" t="s">
        <v>55</v>
      </c>
      <c r="E27" s="5" t="s">
        <v>22</v>
      </c>
      <c r="F27" s="146" t="s">
        <v>110</v>
      </c>
      <c r="G27" s="146"/>
      <c r="H27" s="5" t="s">
        <v>56</v>
      </c>
      <c r="I27" s="5" t="s">
        <v>56</v>
      </c>
      <c r="J27" s="5" t="s">
        <v>49</v>
      </c>
      <c r="K27" s="12" t="s">
        <v>0</v>
      </c>
      <c r="L27" s="104" t="s">
        <v>89</v>
      </c>
      <c r="O27"/>
      <c r="P27"/>
    </row>
    <row r="28" spans="1:17" ht="14" x14ac:dyDescent="0.3">
      <c r="A28" s="11" t="s">
        <v>24</v>
      </c>
      <c r="B28" s="25" t="s">
        <v>68</v>
      </c>
      <c r="C28" s="11" t="s">
        <v>26</v>
      </c>
      <c r="D28" s="22" t="s">
        <v>58</v>
      </c>
      <c r="E28" s="19" t="s">
        <v>28</v>
      </c>
      <c r="F28" s="11" t="s">
        <v>111</v>
      </c>
      <c r="G28" s="11" t="s">
        <v>3</v>
      </c>
      <c r="H28" s="19" t="s">
        <v>59</v>
      </c>
      <c r="I28" s="19" t="s">
        <v>3</v>
      </c>
      <c r="J28" s="19" t="s">
        <v>3</v>
      </c>
      <c r="K28" s="11" t="s">
        <v>4</v>
      </c>
      <c r="L28" s="23" t="s">
        <v>57</v>
      </c>
      <c r="M28" s="24" t="s">
        <v>60</v>
      </c>
      <c r="O28"/>
      <c r="P28"/>
    </row>
    <row r="29" spans="1:17" ht="14" x14ac:dyDescent="0.3">
      <c r="A29" s="5" t="s">
        <v>37</v>
      </c>
      <c r="B29" t="s">
        <v>16</v>
      </c>
      <c r="C29" s="6" t="s">
        <v>38</v>
      </c>
      <c r="D29" s="26">
        <v>44995</v>
      </c>
      <c r="E29" s="27">
        <v>33.741937499999999</v>
      </c>
      <c r="F29" s="28">
        <v>327.89041095890411</v>
      </c>
      <c r="G29" s="67">
        <f>+E29*F29</f>
        <v>11063.657753424657</v>
      </c>
      <c r="H29" s="29">
        <v>0.19400000000000001</v>
      </c>
      <c r="I29" s="67">
        <f>+G29*H29</f>
        <v>2146.3496041643834</v>
      </c>
      <c r="J29" s="71">
        <f>+I29*$K$22</f>
        <v>1244.8827704153423</v>
      </c>
      <c r="K29" s="74">
        <f>+J29*$K$26</f>
        <v>62.244138520767116</v>
      </c>
      <c r="L29" s="76">
        <f>+J29+K29</f>
        <v>1307.1269089361094</v>
      </c>
      <c r="M29" s="6" t="s">
        <v>61</v>
      </c>
      <c r="P29" s="142" t="s">
        <v>62</v>
      </c>
      <c r="Q29" s="144"/>
    </row>
    <row r="30" spans="1:17" ht="14" x14ac:dyDescent="0.3">
      <c r="A30" s="5" t="s">
        <v>39</v>
      </c>
      <c r="B30" t="s">
        <v>12</v>
      </c>
      <c r="C30" s="6" t="s">
        <v>40</v>
      </c>
      <c r="D30" s="26">
        <v>45257</v>
      </c>
      <c r="E30" s="30">
        <v>32.759162500000002</v>
      </c>
      <c r="F30" s="28">
        <v>1591.2328767123288</v>
      </c>
      <c r="G30" s="69">
        <f t="shared" ref="G30:G37" si="7">+E30*F30</f>
        <v>52127.45638356165</v>
      </c>
      <c r="H30" s="29">
        <v>0.19400000000000001</v>
      </c>
      <c r="I30" s="69">
        <f>+G30*H30</f>
        <v>10112.72653841096</v>
      </c>
      <c r="J30" s="72">
        <f>+I30*$K$23</f>
        <v>0</v>
      </c>
      <c r="K30" s="73">
        <f t="shared" ref="K30:K37" si="8">+J30*$K$26</f>
        <v>0</v>
      </c>
      <c r="L30" s="66">
        <v>0</v>
      </c>
      <c r="M30" s="6" t="s">
        <v>63</v>
      </c>
      <c r="P30" s="31" t="s">
        <v>38</v>
      </c>
      <c r="Q30" s="94">
        <f>SUM(L29,L31,L32,L35)</f>
        <v>34624.01655629211</v>
      </c>
    </row>
    <row r="31" spans="1:17" ht="14" x14ac:dyDescent="0.3">
      <c r="A31" s="5" t="s">
        <v>41</v>
      </c>
      <c r="B31" t="s">
        <v>18</v>
      </c>
      <c r="C31" s="6" t="s">
        <v>38</v>
      </c>
      <c r="D31" s="26">
        <v>45397</v>
      </c>
      <c r="E31" s="30">
        <v>43.269224999999999</v>
      </c>
      <c r="F31" s="28">
        <v>1768</v>
      </c>
      <c r="G31" s="69">
        <f t="shared" si="7"/>
        <v>76499.989799999996</v>
      </c>
      <c r="H31" s="29">
        <v>0.19400000000000001</v>
      </c>
      <c r="I31" s="69">
        <f t="shared" ref="I31:I37" si="9">+G31*H31</f>
        <v>14840.998021199999</v>
      </c>
      <c r="J31" s="72">
        <f>+I31*$K$24</f>
        <v>14840.998021199999</v>
      </c>
      <c r="K31" s="73">
        <f t="shared" si="8"/>
        <v>742.04990106000002</v>
      </c>
      <c r="L31" s="66">
        <f>+J31+K31</f>
        <v>15583.047922259999</v>
      </c>
      <c r="M31" s="6" t="s">
        <v>63</v>
      </c>
      <c r="P31" s="32" t="s">
        <v>64</v>
      </c>
      <c r="Q31" s="92">
        <f>SUM(L34,L37)</f>
        <v>9972.5276533610959</v>
      </c>
    </row>
    <row r="32" spans="1:17" ht="14" x14ac:dyDescent="0.3">
      <c r="A32" s="5" t="s">
        <v>42</v>
      </c>
      <c r="B32" t="s">
        <v>11</v>
      </c>
      <c r="C32" s="6" t="s">
        <v>38</v>
      </c>
      <c r="D32" s="26">
        <v>45339</v>
      </c>
      <c r="E32" s="30">
        <v>52.6755</v>
      </c>
      <c r="F32" s="28">
        <v>1752</v>
      </c>
      <c r="G32" s="69">
        <f t="shared" si="7"/>
        <v>92287.475999999995</v>
      </c>
      <c r="H32" s="29">
        <v>0.19400000000000001</v>
      </c>
      <c r="I32" s="69">
        <f t="shared" si="9"/>
        <v>17903.770344</v>
      </c>
      <c r="J32" s="72">
        <f>+I32*$K$22</f>
        <v>10384.186799519999</v>
      </c>
      <c r="K32" s="73">
        <f t="shared" si="8"/>
        <v>519.20933997600002</v>
      </c>
      <c r="L32" s="66">
        <f>+J32+K32</f>
        <v>10903.396139495999</v>
      </c>
      <c r="M32" s="6" t="s">
        <v>63</v>
      </c>
      <c r="P32" s="33" t="s">
        <v>47</v>
      </c>
      <c r="Q32" s="93">
        <f>SUM(L36)</f>
        <v>0</v>
      </c>
    </row>
    <row r="33" spans="1:17" ht="14" x14ac:dyDescent="0.3">
      <c r="A33" s="5" t="s">
        <v>43</v>
      </c>
      <c r="B33" t="s">
        <v>5</v>
      </c>
      <c r="C33" s="6" t="s">
        <v>40</v>
      </c>
      <c r="D33" s="26">
        <v>45325</v>
      </c>
      <c r="E33" s="30">
        <v>29</v>
      </c>
      <c r="F33" s="28">
        <v>1752</v>
      </c>
      <c r="G33" s="69">
        <f t="shared" si="7"/>
        <v>50808</v>
      </c>
      <c r="H33" s="29">
        <v>0.19400000000000001</v>
      </c>
      <c r="I33" s="69">
        <f t="shared" si="9"/>
        <v>9856.7520000000004</v>
      </c>
      <c r="J33" s="72">
        <f>+I33*$K$23</f>
        <v>0</v>
      </c>
      <c r="K33" s="73">
        <f t="shared" si="8"/>
        <v>0</v>
      </c>
      <c r="L33" s="66">
        <v>0</v>
      </c>
      <c r="M33" s="6" t="s">
        <v>63</v>
      </c>
      <c r="O33"/>
      <c r="P33"/>
      <c r="Q33" s="76">
        <f>SUM(Q30:Q32)</f>
        <v>44596.544209653206</v>
      </c>
    </row>
    <row r="34" spans="1:17" ht="14" x14ac:dyDescent="0.3">
      <c r="A34" s="5" t="s">
        <v>44</v>
      </c>
      <c r="B34" t="s">
        <v>10</v>
      </c>
      <c r="C34" s="6" t="s">
        <v>45</v>
      </c>
      <c r="D34" s="26">
        <v>45325</v>
      </c>
      <c r="E34" s="30">
        <v>34</v>
      </c>
      <c r="F34" s="28">
        <v>1752</v>
      </c>
      <c r="G34" s="69">
        <f t="shared" si="7"/>
        <v>59568</v>
      </c>
      <c r="H34" s="29">
        <v>0.19400000000000001</v>
      </c>
      <c r="I34" s="69">
        <f t="shared" si="9"/>
        <v>11556.192000000001</v>
      </c>
      <c r="J34" s="72">
        <f>+I34*$K$22</f>
        <v>6702.5913600000003</v>
      </c>
      <c r="K34" s="73">
        <f t="shared" si="8"/>
        <v>335.12956800000006</v>
      </c>
      <c r="L34" s="66">
        <f>+J34+K34</f>
        <v>7037.7209280000006</v>
      </c>
      <c r="M34" s="6" t="s">
        <v>63</v>
      </c>
      <c r="O34"/>
      <c r="P34"/>
    </row>
    <row r="35" spans="1:17" ht="14" x14ac:dyDescent="0.3">
      <c r="A35" s="5" t="s">
        <v>46</v>
      </c>
      <c r="B35" t="s">
        <v>9</v>
      </c>
      <c r="C35" s="6" t="s">
        <v>38</v>
      </c>
      <c r="D35" s="26">
        <v>45453</v>
      </c>
      <c r="E35" s="30">
        <v>32.700000000000003</v>
      </c>
      <c r="F35" s="28">
        <v>1768</v>
      </c>
      <c r="G35" s="69">
        <f t="shared" si="7"/>
        <v>57813.600000000006</v>
      </c>
      <c r="H35" s="29">
        <v>0.19400000000000001</v>
      </c>
      <c r="I35" s="69">
        <f t="shared" si="9"/>
        <v>11215.838400000002</v>
      </c>
      <c r="J35" s="72">
        <f>+I35*$K$22</f>
        <v>6505.1862720000008</v>
      </c>
      <c r="K35" s="73">
        <f t="shared" si="8"/>
        <v>325.25931360000004</v>
      </c>
      <c r="L35" s="66">
        <f>+J35+K35</f>
        <v>6830.4455856000004</v>
      </c>
      <c r="M35" s="6" t="s">
        <v>63</v>
      </c>
      <c r="O35"/>
      <c r="P35"/>
      <c r="Q35"/>
    </row>
    <row r="36" spans="1:17" ht="14" x14ac:dyDescent="0.3">
      <c r="A36" s="5">
        <v>2.0000000000000001E-196</v>
      </c>
      <c r="B36" t="s">
        <v>19</v>
      </c>
      <c r="C36" s="6" t="s">
        <v>47</v>
      </c>
      <c r="D36" s="26">
        <v>45353</v>
      </c>
      <c r="E36" s="30">
        <v>25</v>
      </c>
      <c r="F36" s="28">
        <v>1752</v>
      </c>
      <c r="G36" s="69">
        <f t="shared" si="7"/>
        <v>43800</v>
      </c>
      <c r="H36" s="29">
        <v>0</v>
      </c>
      <c r="I36" s="69">
        <f t="shared" si="9"/>
        <v>0</v>
      </c>
      <c r="J36" s="72">
        <f>+I36*$K$24</f>
        <v>0</v>
      </c>
      <c r="K36" s="73">
        <f t="shared" si="8"/>
        <v>0</v>
      </c>
      <c r="L36" s="66">
        <f>+J36+K36</f>
        <v>0</v>
      </c>
      <c r="M36" s="6" t="s">
        <v>65</v>
      </c>
      <c r="O36"/>
      <c r="P36"/>
      <c r="Q36" s="51" t="s">
        <v>85</v>
      </c>
    </row>
    <row r="37" spans="1:17" ht="16.5" x14ac:dyDescent="0.45">
      <c r="A37" s="5" t="s">
        <v>48</v>
      </c>
      <c r="B37" t="s">
        <v>14</v>
      </c>
      <c r="C37" s="6" t="s">
        <v>45</v>
      </c>
      <c r="D37" s="26">
        <v>45061</v>
      </c>
      <c r="E37" s="30">
        <v>22.196999999999999</v>
      </c>
      <c r="F37" s="28">
        <v>649.07397260273967</v>
      </c>
      <c r="G37" s="69">
        <f t="shared" si="7"/>
        <v>14407.494969863012</v>
      </c>
      <c r="H37" s="29">
        <v>0.19400000000000001</v>
      </c>
      <c r="I37" s="69">
        <f t="shared" si="9"/>
        <v>2795.0540241534245</v>
      </c>
      <c r="J37" s="72">
        <f>+I37*$K$24</f>
        <v>2795.0540241534245</v>
      </c>
      <c r="K37" s="73">
        <f t="shared" si="8"/>
        <v>139.75270120767124</v>
      </c>
      <c r="L37" s="66">
        <f>+J37+K37</f>
        <v>2934.8067253610957</v>
      </c>
      <c r="M37" s="6" t="s">
        <v>63</v>
      </c>
      <c r="O37"/>
      <c r="P37"/>
      <c r="Q37" s="52" t="s">
        <v>86</v>
      </c>
    </row>
    <row r="38" spans="1:17" ht="14.5" thickBot="1" x14ac:dyDescent="0.35">
      <c r="A38" s="5"/>
      <c r="B38" t="s">
        <v>66</v>
      </c>
      <c r="C38"/>
      <c r="D38" s="26"/>
      <c r="E38" s="30"/>
      <c r="F38" s="30"/>
      <c r="G38" s="68">
        <f>SUM(G29:G37)</f>
        <v>458375.67490684934</v>
      </c>
      <c r="H38" s="30"/>
      <c r="I38" s="70">
        <f>SUM(I29:I37)</f>
        <v>80427.680931928771</v>
      </c>
      <c r="J38" s="70">
        <f>SUM(J29:J37)</f>
        <v>42472.899247288762</v>
      </c>
      <c r="K38" s="75">
        <f>SUM(K29:K37)</f>
        <v>2123.6449623644385</v>
      </c>
      <c r="L38" s="138">
        <f>SUM(L29:L37)</f>
        <v>44596.544209653199</v>
      </c>
      <c r="O38"/>
      <c r="P38"/>
    </row>
    <row r="39" spans="1:17" ht="14.5" thickTop="1" x14ac:dyDescent="0.3">
      <c r="A39" s="5"/>
      <c r="B39"/>
      <c r="C39"/>
      <c r="D39"/>
      <c r="E39"/>
      <c r="F39"/>
      <c r="G39" s="4"/>
      <c r="H39" s="1"/>
      <c r="I39" s="1"/>
      <c r="J39"/>
      <c r="K39" s="1"/>
      <c r="L39" s="139" t="s">
        <v>94</v>
      </c>
      <c r="O39"/>
      <c r="P39"/>
    </row>
    <row r="40" spans="1:17" ht="14" x14ac:dyDescent="0.3">
      <c r="A40" s="5"/>
      <c r="B40"/>
      <c r="C40"/>
      <c r="D40"/>
      <c r="E40"/>
      <c r="F40"/>
      <c r="G40" s="4"/>
      <c r="H40" s="1"/>
      <c r="I40" s="1"/>
      <c r="J40"/>
      <c r="K40" s="1"/>
      <c r="L40" s="140" t="s">
        <v>95</v>
      </c>
      <c r="O40"/>
      <c r="P40"/>
    </row>
    <row r="41" spans="1:17" ht="14" x14ac:dyDescent="0.3">
      <c r="A41" s="5"/>
      <c r="B41"/>
      <c r="C41"/>
      <c r="D41"/>
      <c r="E41"/>
      <c r="F41"/>
      <c r="G41" s="4"/>
      <c r="H41" s="1"/>
      <c r="I41" s="1"/>
      <c r="J41"/>
      <c r="K41" s="1"/>
      <c r="L41" s="123" t="s">
        <v>112</v>
      </c>
      <c r="O41"/>
      <c r="P41"/>
    </row>
    <row r="42" spans="1:17" ht="14" x14ac:dyDescent="0.3">
      <c r="A42" s="5"/>
      <c r="B42"/>
      <c r="C42"/>
      <c r="D42"/>
      <c r="E42"/>
      <c r="F42"/>
      <c r="G42" s="4"/>
      <c r="H42" s="1"/>
      <c r="I42" s="1"/>
      <c r="J42"/>
      <c r="K42" s="1"/>
      <c r="O42"/>
      <c r="P42"/>
    </row>
    <row r="43" spans="1:17" ht="14" x14ac:dyDescent="0.3">
      <c r="A43" s="5"/>
      <c r="B43"/>
      <c r="C43"/>
      <c r="D43"/>
      <c r="E43"/>
      <c r="F43" s="62">
        <v>0.59041193662902092</v>
      </c>
      <c r="G43" s="142" t="s">
        <v>96</v>
      </c>
      <c r="H43" s="143"/>
      <c r="I43" s="143"/>
      <c r="J43" s="143"/>
      <c r="K43" s="144"/>
      <c r="M43" s="34"/>
      <c r="N43"/>
      <c r="O43"/>
      <c r="P43"/>
    </row>
    <row r="44" spans="1:17" ht="14" x14ac:dyDescent="0.3">
      <c r="A44" s="5"/>
      <c r="B44"/>
      <c r="C44"/>
      <c r="D44" s="5"/>
      <c r="E44" s="5" t="s">
        <v>49</v>
      </c>
      <c r="F44" s="5" t="s">
        <v>67</v>
      </c>
      <c r="G44" s="48">
        <v>0.15234881948497214</v>
      </c>
      <c r="H44" s="49">
        <v>0.27011036732790655</v>
      </c>
      <c r="I44" s="49">
        <v>9.9056871747690498E-3</v>
      </c>
      <c r="J44" s="54">
        <v>0.21367687214610187</v>
      </c>
      <c r="K44" s="55">
        <v>0.35395825386625035</v>
      </c>
      <c r="L44" s="5"/>
      <c r="M44" s="56"/>
      <c r="N44" s="5"/>
      <c r="O44"/>
    </row>
    <row r="45" spans="1:17" ht="14" x14ac:dyDescent="0.3">
      <c r="A45" s="11" t="s">
        <v>24</v>
      </c>
      <c r="B45" s="25" t="s">
        <v>68</v>
      </c>
      <c r="C45" s="25"/>
      <c r="D45" s="19"/>
      <c r="E45" s="19" t="s">
        <v>3</v>
      </c>
      <c r="F45" s="105" t="s">
        <v>87</v>
      </c>
      <c r="G45" s="132" t="s">
        <v>69</v>
      </c>
      <c r="H45" s="11" t="s">
        <v>20</v>
      </c>
      <c r="I45" s="11" t="s">
        <v>70</v>
      </c>
      <c r="J45" s="19" t="s">
        <v>71</v>
      </c>
      <c r="K45" s="133" t="s">
        <v>72</v>
      </c>
      <c r="L45" s="5"/>
      <c r="M45" s="4"/>
      <c r="N45" s="5"/>
      <c r="O45" s="5"/>
    </row>
    <row r="46" spans="1:17" ht="14" x14ac:dyDescent="0.3">
      <c r="A46" s="5" t="str">
        <f t="shared" ref="A46:B54" si="10">+A29</f>
        <v>2H-225</v>
      </c>
      <c r="B46" t="str">
        <f t="shared" si="10"/>
        <v>CMMS Administrator</v>
      </c>
      <c r="C46" s="6" t="s">
        <v>38</v>
      </c>
      <c r="D46" s="35"/>
      <c r="E46" s="57">
        <f t="shared" ref="E46:E54" si="11">+J29</f>
        <v>1244.8827704153423</v>
      </c>
      <c r="F46" s="36">
        <f t="shared" ref="F46:F54" si="12">+E46*$F$43</f>
        <v>734.99364735702306</v>
      </c>
      <c r="G46" s="78">
        <f>$F$46*G44</f>
        <v>111.97541450379637</v>
      </c>
      <c r="H46" s="79">
        <f t="shared" ref="H46:K46" si="13">$F$46*H44</f>
        <v>198.52940407128332</v>
      </c>
      <c r="I46" s="79">
        <f t="shared" si="13"/>
        <v>7.2806171461611893</v>
      </c>
      <c r="J46" s="79">
        <f t="shared" si="13"/>
        <v>157.0511436145037</v>
      </c>
      <c r="K46" s="80">
        <f t="shared" si="13"/>
        <v>260.15706802127846</v>
      </c>
      <c r="L46" s="37"/>
    </row>
    <row r="47" spans="1:17" ht="14" x14ac:dyDescent="0.3">
      <c r="A47" s="5" t="str">
        <f t="shared" si="10"/>
        <v>2B-198</v>
      </c>
      <c r="B47" t="str">
        <f t="shared" si="10"/>
        <v>GIS Analyst</v>
      </c>
      <c r="C47" s="6" t="s">
        <v>40</v>
      </c>
      <c r="D47" s="38"/>
      <c r="E47" s="61">
        <f t="shared" si="11"/>
        <v>0</v>
      </c>
      <c r="F47" s="36">
        <f t="shared" si="12"/>
        <v>0</v>
      </c>
      <c r="G47" s="39"/>
      <c r="H47" s="13"/>
      <c r="I47" s="15"/>
      <c r="J47" s="58"/>
      <c r="K47" s="59"/>
      <c r="L47" s="40"/>
    </row>
    <row r="48" spans="1:17" ht="14" x14ac:dyDescent="0.3">
      <c r="A48" s="5" t="str">
        <f t="shared" si="10"/>
        <v>2K-235</v>
      </c>
      <c r="B48" t="str">
        <f t="shared" si="10"/>
        <v>Safety Specialist</v>
      </c>
      <c r="C48" s="6" t="s">
        <v>38</v>
      </c>
      <c r="D48" s="38"/>
      <c r="E48" s="61">
        <f t="shared" si="11"/>
        <v>14840.998021199999</v>
      </c>
      <c r="F48" s="36">
        <f t="shared" si="12"/>
        <v>8762.3023832041581</v>
      </c>
      <c r="G48" s="81">
        <f>$F$48*G44</f>
        <v>1334.9264240515115</v>
      </c>
      <c r="H48" s="61">
        <f t="shared" ref="H48:K48" si="14">$F$48*H44</f>
        <v>2366.788715365466</v>
      </c>
      <c r="I48" s="61">
        <f t="shared" si="14"/>
        <v>86.796626338753711</v>
      </c>
      <c r="J48" s="61">
        <f t="shared" si="14"/>
        <v>1872.3013660413985</v>
      </c>
      <c r="K48" s="82">
        <f t="shared" si="14"/>
        <v>3101.489251407028</v>
      </c>
      <c r="L48" s="40"/>
    </row>
    <row r="49" spans="1:18" ht="14" x14ac:dyDescent="0.3">
      <c r="A49" s="5" t="str">
        <f t="shared" si="10"/>
        <v>2H-154</v>
      </c>
      <c r="B49" t="str">
        <f t="shared" si="10"/>
        <v>IT Supervisor</v>
      </c>
      <c r="C49" s="6" t="s">
        <v>38</v>
      </c>
      <c r="D49" s="38"/>
      <c r="E49" s="61">
        <f t="shared" si="11"/>
        <v>10384.186799519999</v>
      </c>
      <c r="F49" s="36">
        <f t="shared" si="12"/>
        <v>6130.9478386221172</v>
      </c>
      <c r="G49" s="81">
        <f>$F$49*G44</f>
        <v>934.04266553802108</v>
      </c>
      <c r="H49" s="61">
        <f t="shared" ref="H49:K49" si="15">$F$49*H44</f>
        <v>1656.0325727584548</v>
      </c>
      <c r="I49" s="61">
        <f t="shared" si="15"/>
        <v>60.73125137421713</v>
      </c>
      <c r="J49" s="61">
        <f t="shared" si="15"/>
        <v>1310.0417574476778</v>
      </c>
      <c r="K49" s="82">
        <f t="shared" si="15"/>
        <v>2170.0995915037461</v>
      </c>
      <c r="L49" s="40"/>
    </row>
    <row r="50" spans="1:18" ht="14" x14ac:dyDescent="0.3">
      <c r="A50" s="5" t="str">
        <f t="shared" si="10"/>
        <v>2F-218</v>
      </c>
      <c r="B50" t="str">
        <f t="shared" si="10"/>
        <v>Engineering Technician</v>
      </c>
      <c r="C50" s="6" t="s">
        <v>40</v>
      </c>
      <c r="D50" s="38"/>
      <c r="E50" s="61">
        <f t="shared" si="11"/>
        <v>0</v>
      </c>
      <c r="F50" s="36">
        <f t="shared" si="12"/>
        <v>0</v>
      </c>
      <c r="G50" s="81"/>
      <c r="H50" s="83"/>
      <c r="I50" s="83"/>
      <c r="J50" s="84"/>
      <c r="K50" s="85"/>
      <c r="L50" s="40"/>
    </row>
    <row r="51" spans="1:18" ht="14" x14ac:dyDescent="0.3">
      <c r="A51" s="5" t="str">
        <f t="shared" si="10"/>
        <v>2O-113</v>
      </c>
      <c r="B51" t="str">
        <f t="shared" si="10"/>
        <v>Lead Dispatch Operator</v>
      </c>
      <c r="C51" s="6" t="s">
        <v>45</v>
      </c>
      <c r="D51" s="38"/>
      <c r="E51" s="61">
        <f t="shared" si="11"/>
        <v>6702.5913600000003</v>
      </c>
      <c r="F51" s="36">
        <f t="shared" si="12"/>
        <v>3957.2899452905435</v>
      </c>
      <c r="G51" s="81">
        <f>$F$51*G44</f>
        <v>602.88845152476426</v>
      </c>
      <c r="H51" s="61">
        <f t="shared" ref="H51:K51" si="16">$F$51*H44</f>
        <v>1068.9050407454599</v>
      </c>
      <c r="I51" s="61">
        <f t="shared" si="16"/>
        <v>39.199676257907051</v>
      </c>
      <c r="J51" s="61">
        <f t="shared" si="16"/>
        <v>845.58133768490188</v>
      </c>
      <c r="K51" s="82">
        <f t="shared" si="16"/>
        <v>1400.7154390775102</v>
      </c>
      <c r="L51" s="40"/>
    </row>
    <row r="52" spans="1:18" ht="14" x14ac:dyDescent="0.3">
      <c r="A52" s="5" t="str">
        <f t="shared" si="10"/>
        <v>2J-238</v>
      </c>
      <c r="B52" t="str">
        <f t="shared" si="10"/>
        <v>Accountant</v>
      </c>
      <c r="C52" s="6" t="s">
        <v>38</v>
      </c>
      <c r="D52" s="38"/>
      <c r="E52" s="61">
        <f t="shared" si="11"/>
        <v>6505.1862720000008</v>
      </c>
      <c r="F52" s="36">
        <f t="shared" si="12"/>
        <v>3840.7396249840413</v>
      </c>
      <c r="G52" s="81">
        <f>$F$52*G44</f>
        <v>585.13214781547333</v>
      </c>
      <c r="H52" s="61">
        <f t="shared" ref="H52:K52" si="17">$F$52*H44</f>
        <v>1037.4235909152856</v>
      </c>
      <c r="I52" s="61">
        <f t="shared" si="17"/>
        <v>38.045165244831708</v>
      </c>
      <c r="J52" s="61">
        <f t="shared" si="17"/>
        <v>820.67722979418227</v>
      </c>
      <c r="K52" s="82">
        <f t="shared" si="17"/>
        <v>1359.4614912142683</v>
      </c>
      <c r="L52" s="40"/>
      <c r="M52" s="41"/>
      <c r="N52" s="42"/>
      <c r="O52"/>
    </row>
    <row r="53" spans="1:18" ht="14" x14ac:dyDescent="0.3">
      <c r="A53" s="5">
        <f t="shared" si="10"/>
        <v>2.0000000000000001E-196</v>
      </c>
      <c r="B53" t="str">
        <f t="shared" si="10"/>
        <v>Lead Meter Technician</v>
      </c>
      <c r="C53" s="6" t="s">
        <v>47</v>
      </c>
      <c r="D53" s="38"/>
      <c r="E53" s="61">
        <f t="shared" si="11"/>
        <v>0</v>
      </c>
      <c r="F53" s="36">
        <f t="shared" si="12"/>
        <v>0</v>
      </c>
      <c r="G53" s="81"/>
      <c r="H53" s="61"/>
      <c r="I53" s="61"/>
      <c r="J53" s="61"/>
      <c r="K53" s="82"/>
      <c r="L53" s="40"/>
      <c r="M53" s="41"/>
      <c r="N53"/>
      <c r="O53"/>
      <c r="P53"/>
      <c r="Q53"/>
      <c r="R53"/>
    </row>
    <row r="54" spans="1:18" ht="14" x14ac:dyDescent="0.3">
      <c r="A54" s="5" t="str">
        <f t="shared" si="10"/>
        <v>2B-210</v>
      </c>
      <c r="B54" t="str">
        <f t="shared" si="10"/>
        <v>Utility Locate Specialist</v>
      </c>
      <c r="C54" s="6" t="s">
        <v>45</v>
      </c>
      <c r="D54" s="38"/>
      <c r="E54" s="61">
        <f t="shared" si="11"/>
        <v>2795.0540241534245</v>
      </c>
      <c r="F54" s="36">
        <f t="shared" si="12"/>
        <v>1650.2332593831616</v>
      </c>
      <c r="G54" s="86">
        <f>$F$54*G44</f>
        <v>251.41108894186249</v>
      </c>
      <c r="H54" s="87">
        <f t="shared" ref="H54:K54" si="18">$F$54*H44</f>
        <v>445.74511186871428</v>
      </c>
      <c r="I54" s="87">
        <f t="shared" si="18"/>
        <v>16.346694432849109</v>
      </c>
      <c r="J54" s="87">
        <f t="shared" si="18"/>
        <v>352.61668117646076</v>
      </c>
      <c r="K54" s="88">
        <f t="shared" si="18"/>
        <v>584.11368296327487</v>
      </c>
      <c r="L54" s="40"/>
      <c r="M54" s="41"/>
      <c r="N54"/>
      <c r="O54"/>
      <c r="P54"/>
      <c r="Q54"/>
      <c r="R54"/>
    </row>
    <row r="55" spans="1:18" ht="14.5" thickBot="1" x14ac:dyDescent="0.35">
      <c r="A55" s="5"/>
      <c r="B55" t="s">
        <v>66</v>
      </c>
      <c r="C55"/>
      <c r="D55" s="35"/>
      <c r="E55" s="77">
        <f>SUM(E46:E54)</f>
        <v>42472.899247288762</v>
      </c>
      <c r="F55" s="109">
        <f>SUM(F46:F54)</f>
        <v>25076.506698841047</v>
      </c>
      <c r="G55" s="110">
        <f>SUM(G46:G54)</f>
        <v>3820.3761923754287</v>
      </c>
      <c r="H55" s="106">
        <f t="shared" ref="H55:K55" si="19">SUM(H46:H54)</f>
        <v>6773.4244357246635</v>
      </c>
      <c r="I55" s="110">
        <f t="shared" si="19"/>
        <v>248.4000307947199</v>
      </c>
      <c r="J55" s="110">
        <f t="shared" si="19"/>
        <v>5358.2695157591252</v>
      </c>
      <c r="K55" s="131">
        <f t="shared" si="19"/>
        <v>8876.0365241871059</v>
      </c>
      <c r="L55" s="1"/>
      <c r="M55" s="2"/>
      <c r="N55"/>
      <c r="O55"/>
      <c r="P55"/>
      <c r="Q55"/>
      <c r="R55"/>
    </row>
    <row r="56" spans="1:18" ht="13.5" thickTop="1" x14ac:dyDescent="0.3">
      <c r="H56" s="60" t="s">
        <v>113</v>
      </c>
      <c r="I56" s="18"/>
      <c r="J56" s="18"/>
      <c r="K56" s="18"/>
    </row>
    <row r="57" spans="1:18" ht="14" x14ac:dyDescent="0.3">
      <c r="F57" s="15"/>
      <c r="H57"/>
    </row>
    <row r="58" spans="1:18" ht="14" x14ac:dyDescent="0.3">
      <c r="F58" s="15"/>
      <c r="H58"/>
    </row>
    <row r="60" spans="1:18" ht="13" x14ac:dyDescent="0.3">
      <c r="F60" s="142" t="s">
        <v>97</v>
      </c>
      <c r="G60" s="143"/>
      <c r="H60" s="143"/>
      <c r="I60" s="143"/>
      <c r="J60" s="143"/>
      <c r="K60" s="144"/>
    </row>
    <row r="61" spans="1:18" ht="14" x14ac:dyDescent="0.3">
      <c r="F61" s="53"/>
      <c r="G61" s="134" t="s">
        <v>69</v>
      </c>
      <c r="H61" s="135" t="s">
        <v>20</v>
      </c>
      <c r="I61" s="135" t="s">
        <v>70</v>
      </c>
      <c r="J61" s="134" t="s">
        <v>71</v>
      </c>
      <c r="K61" s="136" t="s">
        <v>72</v>
      </c>
    </row>
    <row r="62" spans="1:18" ht="14" x14ac:dyDescent="0.3">
      <c r="F62" s="43" t="s">
        <v>38</v>
      </c>
      <c r="G62" s="71">
        <f>G46+G48+G49+G52</f>
        <v>2966.076651908802</v>
      </c>
      <c r="H62" s="63">
        <f>H46+H48+H49+H52</f>
        <v>5258.7742831104897</v>
      </c>
      <c r="I62" s="89">
        <f>I46+I48+I49+I52</f>
        <v>192.85366010396373</v>
      </c>
      <c r="J62" s="89">
        <f>J46+J48+J49+J52</f>
        <v>4160.0714968977627</v>
      </c>
      <c r="K62" s="90">
        <f>K46+K48+K49+K52</f>
        <v>6891.2074021463213</v>
      </c>
    </row>
    <row r="63" spans="1:18" ht="14" x14ac:dyDescent="0.3">
      <c r="F63" s="32" t="s">
        <v>64</v>
      </c>
      <c r="G63" s="72">
        <f>G51+G54</f>
        <v>854.29954046662669</v>
      </c>
      <c r="H63" s="69">
        <f>H51+H54</f>
        <v>1514.6501526141742</v>
      </c>
      <c r="I63" s="73">
        <f>I51+I54</f>
        <v>55.546370690756163</v>
      </c>
      <c r="J63" s="73">
        <f>J51+J54</f>
        <v>1198.1980188613627</v>
      </c>
      <c r="K63" s="91">
        <f>K51+K54</f>
        <v>1984.829122040785</v>
      </c>
    </row>
    <row r="64" spans="1:18" ht="17" x14ac:dyDescent="0.6">
      <c r="F64" s="32" t="s">
        <v>47</v>
      </c>
      <c r="G64" s="44">
        <f>G53</f>
        <v>0</v>
      </c>
      <c r="H64" s="45">
        <v>0</v>
      </c>
      <c r="I64" s="46">
        <v>0</v>
      </c>
      <c r="J64" s="46">
        <v>0</v>
      </c>
      <c r="K64" s="47">
        <v>0</v>
      </c>
    </row>
    <row r="65" spans="6:11" ht="14.5" thickBot="1" x14ac:dyDescent="0.35">
      <c r="F65" s="33" t="s">
        <v>30</v>
      </c>
      <c r="G65" s="108">
        <f>SUM(G62:G64)</f>
        <v>3820.3761923754287</v>
      </c>
      <c r="H65" s="107">
        <f>SUM(H62:H64)</f>
        <v>6773.4244357246644</v>
      </c>
      <c r="I65" s="108">
        <f>SUM(I62:I64)</f>
        <v>248.4000307947199</v>
      </c>
      <c r="J65" s="108">
        <f t="shared" ref="J65:K65" si="20">SUM(J62:J64)</f>
        <v>5358.2695157591252</v>
      </c>
      <c r="K65" s="137">
        <f t="shared" si="20"/>
        <v>8876.0365241871059</v>
      </c>
    </row>
    <row r="66" spans="6:11" ht="13.5" thickTop="1" x14ac:dyDescent="0.3">
      <c r="G66" s="18"/>
      <c r="H66" s="60" t="s">
        <v>113</v>
      </c>
      <c r="I66" s="18"/>
      <c r="J66" s="18"/>
      <c r="K66" s="18"/>
    </row>
    <row r="67" spans="6:11" ht="14" x14ac:dyDescent="0.3">
      <c r="H67"/>
    </row>
    <row r="68" spans="6:11" ht="14" x14ac:dyDescent="0.3">
      <c r="H68"/>
    </row>
  </sheetData>
  <mergeCells count="5">
    <mergeCell ref="F60:K60"/>
    <mergeCell ref="G43:K43"/>
    <mergeCell ref="O7:P7"/>
    <mergeCell ref="P29:Q29"/>
    <mergeCell ref="F27:G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DEA7-9073-43A0-8196-3EB21AEF926A}">
  <dimension ref="A1:L29"/>
  <sheetViews>
    <sheetView zoomScale="70" zoomScaleNormal="70" workbookViewId="0">
      <selection activeCell="O20" sqref="O20"/>
    </sheetView>
  </sheetViews>
  <sheetFormatPr defaultColWidth="11.4140625" defaultRowHeight="12.5" x14ac:dyDescent="0.25"/>
  <cols>
    <col min="1" max="1" width="11.4140625" style="6"/>
    <col min="2" max="2" width="31.83203125" style="6" customWidth="1"/>
    <col min="3" max="3" width="14.4140625" style="6" customWidth="1"/>
    <col min="4" max="4" width="16.58203125" style="6" customWidth="1"/>
    <col min="5" max="5" width="13.83203125" style="6" bestFit="1" customWidth="1"/>
    <col min="6" max="6" width="13.58203125" style="6" bestFit="1" customWidth="1"/>
    <col min="7" max="7" width="12.75" style="6" bestFit="1" customWidth="1"/>
    <col min="8" max="8" width="14.25" style="6" bestFit="1" customWidth="1"/>
    <col min="9" max="9" width="16.25" style="6" bestFit="1" customWidth="1"/>
    <col min="10" max="10" width="16" style="6" bestFit="1" customWidth="1"/>
    <col min="11" max="11" width="19.58203125" style="6" bestFit="1" customWidth="1"/>
    <col min="12" max="12" width="24" style="6" bestFit="1" customWidth="1"/>
    <col min="13" max="13" width="11.25" style="6" bestFit="1" customWidth="1"/>
    <col min="14" max="16" width="11.4140625" style="6"/>
    <col min="17" max="17" width="13.25" style="6" bestFit="1" customWidth="1"/>
    <col min="18" max="18" width="10.25" style="6" bestFit="1" customWidth="1"/>
    <col min="19" max="19" width="13.58203125" style="6" bestFit="1" customWidth="1"/>
    <col min="20" max="16384" width="11.4140625" style="6"/>
  </cols>
  <sheetData>
    <row r="1" spans="1:12" ht="15.5" x14ac:dyDescent="0.35">
      <c r="A1" s="103" t="s">
        <v>98</v>
      </c>
    </row>
    <row r="2" spans="1:12" x14ac:dyDescent="0.25">
      <c r="A2" s="6" t="s">
        <v>99</v>
      </c>
    </row>
    <row r="7" spans="1:12" ht="13.5" thickBot="1" x14ac:dyDescent="0.35">
      <c r="D7" s="147" t="s">
        <v>100</v>
      </c>
      <c r="E7" s="147"/>
      <c r="F7" s="147"/>
      <c r="G7" s="147"/>
      <c r="H7" s="147"/>
      <c r="I7" s="147"/>
      <c r="L7" s="111">
        <v>0.59040000000000004</v>
      </c>
    </row>
    <row r="8" spans="1:12" ht="13" x14ac:dyDescent="0.3">
      <c r="B8" s="10"/>
      <c r="C8" s="12">
        <v>2024</v>
      </c>
      <c r="D8" s="148"/>
      <c r="E8" s="148"/>
      <c r="F8" s="148"/>
      <c r="G8" s="148"/>
      <c r="H8" s="12" t="s">
        <v>30</v>
      </c>
      <c r="I8" s="12" t="s">
        <v>30</v>
      </c>
      <c r="K8" s="18" t="s">
        <v>101</v>
      </c>
      <c r="L8" s="112" t="s">
        <v>73</v>
      </c>
    </row>
    <row r="9" spans="1:12" ht="13" x14ac:dyDescent="0.3">
      <c r="A9" s="65" t="s">
        <v>1</v>
      </c>
      <c r="B9" s="65" t="s">
        <v>2</v>
      </c>
      <c r="C9" s="65" t="s">
        <v>74</v>
      </c>
      <c r="D9" s="65" t="s">
        <v>102</v>
      </c>
      <c r="E9" s="65" t="s">
        <v>103</v>
      </c>
      <c r="F9" s="65" t="s">
        <v>75</v>
      </c>
      <c r="G9" s="65" t="s">
        <v>104</v>
      </c>
      <c r="H9" s="65" t="s">
        <v>105</v>
      </c>
      <c r="I9" s="65" t="s">
        <v>90</v>
      </c>
      <c r="J9" s="65" t="s">
        <v>76</v>
      </c>
      <c r="K9" s="113" t="s">
        <v>106</v>
      </c>
      <c r="L9" s="65" t="s">
        <v>77</v>
      </c>
    </row>
    <row r="10" spans="1:12" ht="13" x14ac:dyDescent="0.3">
      <c r="A10" s="12" t="s">
        <v>91</v>
      </c>
      <c r="B10" s="50" t="s">
        <v>6</v>
      </c>
      <c r="C10" s="17">
        <v>29.57</v>
      </c>
      <c r="D10" s="13">
        <v>109.3</v>
      </c>
      <c r="E10" s="96">
        <f>+D10*C10</f>
        <v>3232.0009999999997</v>
      </c>
      <c r="F10" s="13">
        <v>31.7</v>
      </c>
      <c r="G10" s="96">
        <f>+F10*C10*1.5</f>
        <v>1406.0535</v>
      </c>
      <c r="H10" s="13">
        <f>+D10+F10</f>
        <v>141</v>
      </c>
      <c r="I10" s="74">
        <f>+E10+G10</f>
        <v>4638.0545000000002</v>
      </c>
      <c r="J10" s="74">
        <f>+I10*0.05</f>
        <v>231.90272500000003</v>
      </c>
      <c r="K10" s="114">
        <f>+I10+J10</f>
        <v>4869.9572250000001</v>
      </c>
      <c r="L10" s="98">
        <f>+I10*L7</f>
        <v>2738.3073768000004</v>
      </c>
    </row>
    <row r="11" spans="1:12" ht="13" x14ac:dyDescent="0.3">
      <c r="A11" s="12" t="s">
        <v>78</v>
      </c>
      <c r="B11" s="50" t="s">
        <v>7</v>
      </c>
      <c r="C11" s="17">
        <v>21.09</v>
      </c>
      <c r="D11" s="17">
        <v>222</v>
      </c>
      <c r="E11" s="115">
        <f t="shared" ref="E11:E16" si="0">+D11*C11</f>
        <v>4681.9799999999996</v>
      </c>
      <c r="F11" s="17">
        <v>31.840000000000003</v>
      </c>
      <c r="G11" s="115">
        <f>+F11*C11*1.5</f>
        <v>1007.2584000000002</v>
      </c>
      <c r="H11" s="15">
        <f t="shared" ref="H11:I16" si="1">+D11+F11</f>
        <v>253.84</v>
      </c>
      <c r="I11" s="97">
        <f t="shared" si="1"/>
        <v>5689.2384000000002</v>
      </c>
      <c r="J11" s="97">
        <f t="shared" ref="J11:J16" si="2">+I11*0.05</f>
        <v>284.46192000000002</v>
      </c>
      <c r="K11" s="66">
        <f t="shared" ref="K11:K16" si="3">+I11+J11</f>
        <v>5973.7003199999999</v>
      </c>
      <c r="L11" s="73">
        <f>+I11*$L$7</f>
        <v>3358.9263513600004</v>
      </c>
    </row>
    <row r="12" spans="1:12" ht="13" x14ac:dyDescent="0.3">
      <c r="A12" s="12" t="s">
        <v>79</v>
      </c>
      <c r="B12" s="50" t="s">
        <v>8</v>
      </c>
      <c r="C12" s="17">
        <v>22.94</v>
      </c>
      <c r="D12" s="17">
        <v>275.36000000000007</v>
      </c>
      <c r="E12" s="115">
        <f t="shared" si="0"/>
        <v>6316.7584000000015</v>
      </c>
      <c r="F12" s="17">
        <v>14.56</v>
      </c>
      <c r="G12" s="115">
        <f t="shared" ref="G12:G16" si="4">+F12*C12*1.5</f>
        <v>501.00960000000009</v>
      </c>
      <c r="H12" s="15">
        <f t="shared" si="1"/>
        <v>289.92000000000007</v>
      </c>
      <c r="I12" s="97">
        <f t="shared" si="1"/>
        <v>6817.7680000000018</v>
      </c>
      <c r="J12" s="97">
        <f t="shared" si="2"/>
        <v>340.8884000000001</v>
      </c>
      <c r="K12" s="66">
        <f t="shared" si="3"/>
        <v>7158.6564000000017</v>
      </c>
      <c r="L12" s="73">
        <f t="shared" ref="L12:L16" si="5">+I12*$L$7</f>
        <v>4025.2102272000016</v>
      </c>
    </row>
    <row r="13" spans="1:12" ht="13" x14ac:dyDescent="0.3">
      <c r="A13" s="12" t="s">
        <v>80</v>
      </c>
      <c r="B13" s="50" t="s">
        <v>13</v>
      </c>
      <c r="C13" s="17">
        <v>20</v>
      </c>
      <c r="D13" s="17">
        <v>214.72000000000003</v>
      </c>
      <c r="E13" s="115">
        <f t="shared" si="0"/>
        <v>4294.4000000000005</v>
      </c>
      <c r="F13" s="17">
        <v>28.880000000000003</v>
      </c>
      <c r="G13" s="115">
        <f t="shared" si="4"/>
        <v>866.40000000000009</v>
      </c>
      <c r="H13" s="15">
        <f t="shared" si="1"/>
        <v>243.60000000000002</v>
      </c>
      <c r="I13" s="97">
        <f t="shared" si="1"/>
        <v>5160.8000000000011</v>
      </c>
      <c r="J13" s="97">
        <f t="shared" si="2"/>
        <v>258.04000000000008</v>
      </c>
      <c r="K13" s="66">
        <f t="shared" si="3"/>
        <v>5418.8400000000011</v>
      </c>
      <c r="L13" s="73">
        <f t="shared" si="5"/>
        <v>3046.9363200000007</v>
      </c>
    </row>
    <row r="14" spans="1:12" ht="13" x14ac:dyDescent="0.3">
      <c r="A14" s="12" t="s">
        <v>81</v>
      </c>
      <c r="B14" s="50" t="s">
        <v>13</v>
      </c>
      <c r="C14" s="17">
        <v>16.850000000000001</v>
      </c>
      <c r="D14" s="17">
        <v>245.52000000000004</v>
      </c>
      <c r="E14" s="115">
        <f t="shared" si="0"/>
        <v>4137.0120000000006</v>
      </c>
      <c r="F14" s="17">
        <v>14.4</v>
      </c>
      <c r="G14" s="115">
        <f t="shared" si="4"/>
        <v>363.96000000000004</v>
      </c>
      <c r="H14" s="15">
        <f t="shared" si="1"/>
        <v>259.92</v>
      </c>
      <c r="I14" s="97">
        <f t="shared" si="1"/>
        <v>4500.9720000000007</v>
      </c>
      <c r="J14" s="97">
        <f t="shared" si="2"/>
        <v>225.04860000000005</v>
      </c>
      <c r="K14" s="66">
        <f t="shared" si="3"/>
        <v>4726.0206000000007</v>
      </c>
      <c r="L14" s="73">
        <f t="shared" si="5"/>
        <v>2657.3738688000008</v>
      </c>
    </row>
    <row r="15" spans="1:12" ht="13" x14ac:dyDescent="0.3">
      <c r="A15" s="12" t="s">
        <v>82</v>
      </c>
      <c r="B15" s="50" t="s">
        <v>15</v>
      </c>
      <c r="C15" s="17">
        <v>19.670000000000002</v>
      </c>
      <c r="D15" s="17">
        <v>286</v>
      </c>
      <c r="E15" s="115">
        <f t="shared" si="0"/>
        <v>5625.6200000000008</v>
      </c>
      <c r="F15" s="17">
        <v>4.6400000000000006</v>
      </c>
      <c r="G15" s="115">
        <f t="shared" si="4"/>
        <v>136.90320000000003</v>
      </c>
      <c r="H15" s="15">
        <f t="shared" si="1"/>
        <v>290.64</v>
      </c>
      <c r="I15" s="97">
        <f t="shared" si="1"/>
        <v>5762.5232000000005</v>
      </c>
      <c r="J15" s="97">
        <f t="shared" si="2"/>
        <v>288.12616000000003</v>
      </c>
      <c r="K15" s="66">
        <f t="shared" si="3"/>
        <v>6050.6493600000003</v>
      </c>
      <c r="L15" s="73">
        <f t="shared" si="5"/>
        <v>3402.1936972800004</v>
      </c>
    </row>
    <row r="16" spans="1:12" ht="16" x14ac:dyDescent="0.6">
      <c r="A16" s="12" t="s">
        <v>83</v>
      </c>
      <c r="B16" s="50" t="s">
        <v>13</v>
      </c>
      <c r="C16" s="17">
        <v>18.2</v>
      </c>
      <c r="D16" s="116">
        <v>247.44000000000003</v>
      </c>
      <c r="E16" s="117">
        <f t="shared" si="0"/>
        <v>4503.4080000000004</v>
      </c>
      <c r="F16" s="116">
        <v>13.840000000000002</v>
      </c>
      <c r="G16" s="117">
        <f t="shared" si="4"/>
        <v>377.83200000000005</v>
      </c>
      <c r="H16" s="118">
        <f t="shared" si="1"/>
        <v>261.28000000000003</v>
      </c>
      <c r="I16" s="119">
        <f t="shared" si="1"/>
        <v>4881.2400000000007</v>
      </c>
      <c r="J16" s="119">
        <f t="shared" si="2"/>
        <v>244.06200000000004</v>
      </c>
      <c r="K16" s="120">
        <f t="shared" si="3"/>
        <v>5125.3020000000006</v>
      </c>
      <c r="L16" s="121">
        <f t="shared" si="5"/>
        <v>2881.8840960000007</v>
      </c>
    </row>
    <row r="17" spans="2:12" ht="14.5" x14ac:dyDescent="0.45">
      <c r="B17" s="50" t="s">
        <v>107</v>
      </c>
      <c r="D17" s="17">
        <f t="shared" ref="D17:L17" si="6">SUM(D10:D16)</f>
        <v>1600.3400000000001</v>
      </c>
      <c r="E17" s="122">
        <f t="shared" si="6"/>
        <v>32791.179400000008</v>
      </c>
      <c r="F17" s="17">
        <f t="shared" si="6"/>
        <v>139.86000000000001</v>
      </c>
      <c r="G17" s="122">
        <f t="shared" si="6"/>
        <v>4659.4167000000007</v>
      </c>
      <c r="H17" s="13">
        <f t="shared" si="6"/>
        <v>1740.2</v>
      </c>
      <c r="I17" s="122">
        <f t="shared" si="6"/>
        <v>37450.59610000001</v>
      </c>
      <c r="J17" s="122">
        <f t="shared" si="6"/>
        <v>1872.5298050000006</v>
      </c>
      <c r="K17" s="141">
        <f t="shared" si="6"/>
        <v>39323.125905000008</v>
      </c>
      <c r="L17" s="122">
        <f t="shared" si="6"/>
        <v>22110.831937440005</v>
      </c>
    </row>
    <row r="18" spans="2:12" ht="13" x14ac:dyDescent="0.3">
      <c r="K18" s="123" t="s">
        <v>114</v>
      </c>
    </row>
    <row r="19" spans="2:12" ht="13" x14ac:dyDescent="0.3">
      <c r="K19" s="18"/>
    </row>
    <row r="20" spans="2:12" ht="13" x14ac:dyDescent="0.3">
      <c r="K20" s="18"/>
    </row>
    <row r="22" spans="2:12" ht="13" x14ac:dyDescent="0.3">
      <c r="G22" s="142" t="s">
        <v>108</v>
      </c>
      <c r="H22" s="143"/>
      <c r="I22" s="143"/>
      <c r="J22" s="143"/>
      <c r="K22" s="144"/>
    </row>
    <row r="23" spans="2:12" x14ac:dyDescent="0.25">
      <c r="G23" s="124">
        <v>0.152348819484972</v>
      </c>
      <c r="H23" s="49">
        <v>0.27011036732790655</v>
      </c>
      <c r="I23" s="49">
        <v>9.9056871747690498E-3</v>
      </c>
      <c r="J23" s="49">
        <v>0.21367687214610187</v>
      </c>
      <c r="K23" s="125">
        <v>0.35395825386625035</v>
      </c>
    </row>
    <row r="24" spans="2:12" x14ac:dyDescent="0.25">
      <c r="G24" s="126" t="s">
        <v>69</v>
      </c>
      <c r="H24" s="65" t="s">
        <v>20</v>
      </c>
      <c r="I24" s="65" t="s">
        <v>70</v>
      </c>
      <c r="J24" s="65" t="s">
        <v>71</v>
      </c>
      <c r="K24" s="127" t="s">
        <v>72</v>
      </c>
    </row>
    <row r="25" spans="2:12" ht="14" x14ac:dyDescent="0.4">
      <c r="G25" s="99">
        <f>+L17*G23</f>
        <v>3368.5591434996013</v>
      </c>
      <c r="H25" s="100">
        <f>+L17*H23</f>
        <v>5972.3649365475276</v>
      </c>
      <c r="I25" s="101">
        <f>+L17*I23</f>
        <v>219.02298434617336</v>
      </c>
      <c r="J25" s="101">
        <f>+L17*J23</f>
        <v>4724.573408940314</v>
      </c>
      <c r="K25" s="102">
        <f>+L17*K23</f>
        <v>7826.3114641063858</v>
      </c>
      <c r="L25" s="130">
        <f>SUM(G25:K25)</f>
        <v>22110.831937440002</v>
      </c>
    </row>
    <row r="26" spans="2:12" ht="13" x14ac:dyDescent="0.3">
      <c r="B26" s="128"/>
      <c r="G26" s="12" t="s">
        <v>109</v>
      </c>
      <c r="H26" s="123" t="s">
        <v>115</v>
      </c>
      <c r="I26" s="12"/>
      <c r="J26" s="12"/>
      <c r="K26" s="12"/>
    </row>
    <row r="27" spans="2:12" ht="13" x14ac:dyDescent="0.3">
      <c r="B27" s="128"/>
    </row>
    <row r="28" spans="2:12" ht="13" x14ac:dyDescent="0.3">
      <c r="B28" s="128"/>
      <c r="L28" s="129"/>
    </row>
    <row r="29" spans="2:12" ht="13" x14ac:dyDescent="0.3">
      <c r="B29" s="128"/>
    </row>
  </sheetData>
  <mergeCells count="4">
    <mergeCell ref="D7:I7"/>
    <mergeCell ref="D8:E8"/>
    <mergeCell ref="F8:G8"/>
    <mergeCell ref="G22:K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Employees</vt:lpstr>
      <vt:lpstr>CSRs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SKO</cp:lastModifiedBy>
  <dcterms:created xsi:type="dcterms:W3CDTF">2024-10-08T17:27:11Z</dcterms:created>
  <dcterms:modified xsi:type="dcterms:W3CDTF">2024-10-11T23:03:04Z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dDocumentId">
    <vt:lpwstr>4859-4129-0734</vt:lpwstr>
  </property>
</Properties>
</file>