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Sewer Rate Case 2024/PSC 3/To File/"/>
    </mc:Choice>
  </mc:AlternateContent>
  <xr:revisionPtr revIDLastSave="2" documentId="8_{FCC9B0C8-FA94-45E5-8002-3C8533C0C603}" xr6:coauthVersionLast="47" xr6:coauthVersionMax="47" xr10:uidLastSave="{92BC7762-18AF-4B2B-B029-70DEEB827D23}"/>
  <bookViews>
    <workbookView xWindow="-1425" yWindow="-18525" windowWidth="20160" windowHeight="16305" xr2:uid="{D5074D01-BABF-474A-8425-392E69AE4F80}"/>
  </bookViews>
  <sheets>
    <sheet name="Pro Forma" sheetId="18" r:id="rId1"/>
    <sheet name="COLA" sheetId="1" r:id="rId2"/>
    <sheet name="Merit" sheetId="6" r:id="rId3"/>
    <sheet name="New Employees " sheetId="15" r:id="rId4"/>
    <sheet name="CSRs" sheetId="11" r:id="rId5"/>
    <sheet name="Employee Overhead" sheetId="17" r:id="rId6"/>
    <sheet name="Principal &amp; Interest" sheetId="19" r:id="rId7"/>
  </sheets>
  <definedNames>
    <definedName name="_xlnm.Print_Area" localSheetId="3">'New Employees '!$A$26:$N$40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8" l="1"/>
  <c r="G30" i="18"/>
  <c r="B11" i="19"/>
  <c r="D10" i="19" l="1"/>
  <c r="C10" i="19"/>
  <c r="B10" i="19"/>
  <c r="E10" i="19" s="1"/>
  <c r="D20" i="19"/>
  <c r="D25" i="19" s="1"/>
  <c r="C20" i="19"/>
  <c r="B20" i="19"/>
  <c r="B25" i="19" s="1"/>
  <c r="D9" i="19"/>
  <c r="E9" i="19"/>
  <c r="C9" i="19"/>
  <c r="B9" i="19"/>
  <c r="D8" i="19"/>
  <c r="C8" i="19"/>
  <c r="C14" i="19" s="1"/>
  <c r="B8" i="19"/>
  <c r="E8" i="19" s="1"/>
  <c r="D6" i="19"/>
  <c r="C6" i="19"/>
  <c r="B6" i="19"/>
  <c r="C25" i="19"/>
  <c r="E24" i="19"/>
  <c r="E23" i="19"/>
  <c r="E22" i="19"/>
  <c r="E21" i="19"/>
  <c r="E19" i="19"/>
  <c r="E18" i="19"/>
  <c r="E17" i="19"/>
  <c r="E13" i="19"/>
  <c r="E12" i="19"/>
  <c r="E11" i="19"/>
  <c r="E7" i="19"/>
  <c r="E20" i="19" l="1"/>
  <c r="E25" i="19" s="1"/>
  <c r="D14" i="19"/>
  <c r="D27" i="19" s="1"/>
  <c r="B14" i="19"/>
  <c r="E6" i="19"/>
  <c r="C27" i="19"/>
  <c r="E14" i="19"/>
  <c r="B27" i="19"/>
  <c r="E27" i="19" l="1"/>
  <c r="E29" i="19" s="1"/>
  <c r="E31" i="19" s="1"/>
  <c r="E33" i="19" s="1"/>
  <c r="B35" i="17"/>
  <c r="K37" i="15" l="1"/>
  <c r="K36" i="15"/>
  <c r="K35" i="15"/>
  <c r="K34" i="15"/>
  <c r="K33" i="15"/>
  <c r="K32" i="15"/>
  <c r="K31" i="15"/>
  <c r="K30" i="15"/>
  <c r="K29" i="15"/>
  <c r="L29" i="15" s="1"/>
  <c r="G11" i="18"/>
  <c r="F17" i="11"/>
  <c r="D17" i="11"/>
  <c r="C8" i="6" l="1"/>
  <c r="B7" i="1"/>
  <c r="G10" i="11" l="1"/>
  <c r="E10" i="11"/>
  <c r="H10" i="11"/>
  <c r="G16" i="11"/>
  <c r="G15" i="11"/>
  <c r="G14" i="11"/>
  <c r="G13" i="11"/>
  <c r="G12" i="11"/>
  <c r="G11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G17" i="11" l="1"/>
  <c r="I10" i="11"/>
  <c r="E17" i="11"/>
  <c r="H17" i="11"/>
  <c r="I12" i="11"/>
  <c r="L12" i="11" s="1"/>
  <c r="I15" i="11"/>
  <c r="L15" i="11" s="1"/>
  <c r="I13" i="11"/>
  <c r="I11" i="11"/>
  <c r="I14" i="11"/>
  <c r="L14" i="11" s="1"/>
  <c r="I16" i="11"/>
  <c r="L16" i="11" s="1"/>
  <c r="I17" i="11" l="1"/>
  <c r="J10" i="11"/>
  <c r="L10" i="11"/>
  <c r="J12" i="11"/>
  <c r="K12" i="11" s="1"/>
  <c r="K10" i="11"/>
  <c r="J15" i="11"/>
  <c r="K15" i="11" s="1"/>
  <c r="J13" i="11"/>
  <c r="K13" i="11" s="1"/>
  <c r="L13" i="11"/>
  <c r="L11" i="11"/>
  <c r="J16" i="11"/>
  <c r="K16" i="11" s="1"/>
  <c r="J14" i="11"/>
  <c r="K14" i="11" s="1"/>
  <c r="J11" i="11"/>
  <c r="K17" i="11" l="1"/>
  <c r="L17" i="11"/>
  <c r="J17" i="11"/>
  <c r="K11" i="11"/>
  <c r="J25" i="11" l="1"/>
  <c r="I25" i="11"/>
  <c r="K25" i="11"/>
  <c r="G25" i="11"/>
  <c r="H25" i="11"/>
  <c r="A46" i="15"/>
  <c r="A51" i="15"/>
  <c r="A53" i="15"/>
  <c r="G62" i="15"/>
  <c r="B47" i="15"/>
  <c r="B54" i="15"/>
  <c r="B51" i="15"/>
  <c r="B50" i="15"/>
  <c r="A50" i="15"/>
  <c r="A47" i="15"/>
  <c r="B46" i="15"/>
  <c r="E18" i="15"/>
  <c r="L17" i="15"/>
  <c r="I17" i="15"/>
  <c r="G17" i="15"/>
  <c r="O17" i="15" s="1"/>
  <c r="F17" i="15"/>
  <c r="L16" i="15"/>
  <c r="I16" i="15"/>
  <c r="G16" i="15"/>
  <c r="F16" i="15"/>
  <c r="L15" i="15"/>
  <c r="I15" i="15"/>
  <c r="G15" i="15"/>
  <c r="F15" i="15"/>
  <c r="L14" i="15"/>
  <c r="I14" i="15"/>
  <c r="G14" i="15"/>
  <c r="O14" i="15" s="1"/>
  <c r="F14" i="15"/>
  <c r="L13" i="15"/>
  <c r="I13" i="15"/>
  <c r="G13" i="15"/>
  <c r="F13" i="15"/>
  <c r="L12" i="15"/>
  <c r="I12" i="15"/>
  <c r="G12" i="15"/>
  <c r="F12" i="15"/>
  <c r="L11" i="15"/>
  <c r="I11" i="15"/>
  <c r="G11" i="15"/>
  <c r="F11" i="15"/>
  <c r="L10" i="15"/>
  <c r="I10" i="15"/>
  <c r="G10" i="15"/>
  <c r="F10" i="15"/>
  <c r="L9" i="15"/>
  <c r="I9" i="15"/>
  <c r="H9" i="15"/>
  <c r="G9" i="15"/>
  <c r="F9" i="15"/>
  <c r="N15" i="15" l="1"/>
  <c r="P15" i="15" s="1"/>
  <c r="O9" i="15"/>
  <c r="O15" i="15"/>
  <c r="N11" i="15"/>
  <c r="N16" i="15"/>
  <c r="B52" i="15"/>
  <c r="A52" i="15"/>
  <c r="O10" i="15"/>
  <c r="N13" i="15"/>
  <c r="G35" i="15"/>
  <c r="I35" i="15" s="1"/>
  <c r="J35" i="15" s="1"/>
  <c r="E52" i="15" s="1"/>
  <c r="F52" i="15" s="1"/>
  <c r="N12" i="15"/>
  <c r="N17" i="15"/>
  <c r="O13" i="15"/>
  <c r="N9" i="15"/>
  <c r="P9" i="15" s="1"/>
  <c r="O11" i="15"/>
  <c r="N14" i="15"/>
  <c r="O16" i="15"/>
  <c r="N10" i="15"/>
  <c r="A49" i="15"/>
  <c r="O12" i="15"/>
  <c r="A48" i="15"/>
  <c r="B49" i="15"/>
  <c r="A54" i="15"/>
  <c r="B48" i="15"/>
  <c r="B53" i="15"/>
  <c r="L35" i="15" l="1"/>
  <c r="G31" i="15"/>
  <c r="I31" i="15" s="1"/>
  <c r="J31" i="15" s="1"/>
  <c r="P10" i="15"/>
  <c r="P11" i="15"/>
  <c r="P14" i="15"/>
  <c r="P16" i="15"/>
  <c r="P13" i="15"/>
  <c r="P12" i="15"/>
  <c r="G33" i="15"/>
  <c r="I33" i="15" s="1"/>
  <c r="J33" i="15" s="1"/>
  <c r="E50" i="15" s="1"/>
  <c r="F50" i="15" s="1"/>
  <c r="P17" i="15"/>
  <c r="O18" i="15"/>
  <c r="K52" i="15"/>
  <c r="J52" i="15"/>
  <c r="I52" i="15"/>
  <c r="H52" i="15"/>
  <c r="G52" i="15"/>
  <c r="L31" i="15" l="1"/>
  <c r="E48" i="15"/>
  <c r="G36" i="15"/>
  <c r="I36" i="15" s="1"/>
  <c r="J36" i="15" s="1"/>
  <c r="L36" i="15" s="1"/>
  <c r="Q32" i="15" s="1"/>
  <c r="P18" i="15"/>
  <c r="G32" i="15"/>
  <c r="I32" i="15" s="1"/>
  <c r="J32" i="15" s="1"/>
  <c r="E49" i="15" s="1"/>
  <c r="G37" i="15"/>
  <c r="I37" i="15" s="1"/>
  <c r="J37" i="15" s="1"/>
  <c r="E54" i="15" s="1"/>
  <c r="F54" i="15" s="1"/>
  <c r="G29" i="15"/>
  <c r="G34" i="15"/>
  <c r="I34" i="15" s="1"/>
  <c r="J34" i="15" s="1"/>
  <c r="G30" i="15"/>
  <c r="I30" i="15" s="1"/>
  <c r="J30" i="15" s="1"/>
  <c r="E47" i="15" s="1"/>
  <c r="F47" i="15" s="1"/>
  <c r="E53" i="15"/>
  <c r="F53" i="15" s="1"/>
  <c r="K38" i="15"/>
  <c r="F49" i="15" l="1"/>
  <c r="K49" i="15" s="1"/>
  <c r="F48" i="15"/>
  <c r="H48" i="15" s="1"/>
  <c r="L32" i="15"/>
  <c r="L37" i="15"/>
  <c r="G38" i="15"/>
  <c r="E51" i="15"/>
  <c r="L34" i="15"/>
  <c r="I29" i="15"/>
  <c r="I38" i="15" s="1"/>
  <c r="K54" i="15"/>
  <c r="J54" i="15"/>
  <c r="I54" i="15"/>
  <c r="H54" i="15"/>
  <c r="G54" i="15"/>
  <c r="F51" i="15" l="1"/>
  <c r="G51" i="15" s="1"/>
  <c r="G61" i="15" s="1"/>
  <c r="I49" i="15"/>
  <c r="J49" i="15"/>
  <c r="H49" i="15"/>
  <c r="G49" i="15"/>
  <c r="K48" i="15"/>
  <c r="J48" i="15"/>
  <c r="G48" i="15"/>
  <c r="I48" i="15"/>
  <c r="Q31" i="15"/>
  <c r="J29" i="15"/>
  <c r="J38" i="15" s="1"/>
  <c r="K51" i="15" l="1"/>
  <c r="K61" i="15" s="1"/>
  <c r="J51" i="15"/>
  <c r="J61" i="15" s="1"/>
  <c r="I51" i="15"/>
  <c r="I61" i="15" s="1"/>
  <c r="H51" i="15"/>
  <c r="H61" i="15" s="1"/>
  <c r="E46" i="15"/>
  <c r="F46" i="15" s="1"/>
  <c r="L38" i="15"/>
  <c r="G10" i="18" s="1"/>
  <c r="Q30" i="15"/>
  <c r="Q33" i="15" s="1"/>
  <c r="E55" i="15" l="1"/>
  <c r="F55" i="15"/>
  <c r="I46" i="15"/>
  <c r="K46" i="15"/>
  <c r="J46" i="15"/>
  <c r="H46" i="15"/>
  <c r="G46" i="15"/>
  <c r="H60" i="15" l="1"/>
  <c r="H63" i="15" s="1"/>
  <c r="H55" i="15"/>
  <c r="G60" i="15"/>
  <c r="G63" i="15" s="1"/>
  <c r="D56" i="17" s="1"/>
  <c r="G55" i="15"/>
  <c r="J60" i="15"/>
  <c r="J63" i="15" s="1"/>
  <c r="J55" i="15"/>
  <c r="K60" i="15"/>
  <c r="K63" i="15" s="1"/>
  <c r="K55" i="15"/>
  <c r="I60" i="15"/>
  <c r="I63" i="15" s="1"/>
  <c r="I55" i="15"/>
  <c r="J49" i="17"/>
  <c r="G21" i="18"/>
  <c r="L49" i="17"/>
  <c r="G24" i="18"/>
  <c r="C19" i="6"/>
  <c r="C21" i="6" s="1"/>
  <c r="H49" i="17" l="1"/>
  <c r="G18" i="18"/>
  <c r="F49" i="17"/>
  <c r="G15" i="18"/>
  <c r="C28" i="18"/>
  <c r="G28" i="18"/>
  <c r="B22" i="17"/>
  <c r="B25" i="17" s="1"/>
  <c r="C21" i="17"/>
  <c r="C19" i="17"/>
  <c r="C14" i="17"/>
  <c r="C13" i="17"/>
  <c r="C8" i="17"/>
  <c r="C45" i="17"/>
  <c r="C22" i="17" l="1"/>
  <c r="C25" i="17" s="1"/>
  <c r="D13" i="17" l="1"/>
  <c r="F39" i="17" s="1"/>
  <c r="F41" i="17" s="1"/>
  <c r="D19" i="17"/>
  <c r="J39" i="17" s="1"/>
  <c r="J44" i="17" s="1"/>
  <c r="D8" i="17"/>
  <c r="D39" i="17" s="1"/>
  <c r="D43" i="17" s="1"/>
  <c r="D21" i="17"/>
  <c r="L39" i="17" s="1"/>
  <c r="L44" i="17" s="1"/>
  <c r="D14" i="17"/>
  <c r="H39" i="17" s="1"/>
  <c r="H43" i="17" s="1"/>
  <c r="D42" i="17" l="1"/>
  <c r="D41" i="17"/>
  <c r="D44" i="17"/>
  <c r="J43" i="17"/>
  <c r="J42" i="17"/>
  <c r="F42" i="17"/>
  <c r="F44" i="17"/>
  <c r="F43" i="17"/>
  <c r="H42" i="17"/>
  <c r="H41" i="17"/>
  <c r="H44" i="17"/>
  <c r="J41" i="17"/>
  <c r="D22" i="17"/>
  <c r="L43" i="17"/>
  <c r="L41" i="17"/>
  <c r="L42" i="17"/>
  <c r="D45" i="17" l="1"/>
  <c r="J45" i="17"/>
  <c r="L45" i="17"/>
  <c r="F45" i="17"/>
  <c r="B21" i="18" l="1"/>
  <c r="B16" i="1"/>
  <c r="B19" i="1" s="1"/>
  <c r="B13" i="1"/>
  <c r="B15" i="18"/>
  <c r="B14" i="1"/>
  <c r="B24" i="18"/>
  <c r="B17" i="1"/>
  <c r="B13" i="18"/>
  <c r="D47" i="17"/>
  <c r="G13" i="18" s="1"/>
  <c r="C13" i="18" s="1"/>
  <c r="D53" i="17" l="1"/>
  <c r="C10" i="6"/>
  <c r="G8" i="18" s="1"/>
  <c r="C8" i="18" s="1"/>
  <c r="B31" i="1" l="1"/>
  <c r="B30" i="1"/>
  <c r="B32" i="1" l="1"/>
  <c r="B34" i="1" s="1"/>
  <c r="B9" i="1" l="1"/>
  <c r="G7" i="18" s="1"/>
  <c r="C7" i="18" s="1"/>
  <c r="C6" i="18" s="1"/>
  <c r="H45" i="17"/>
  <c r="B18" i="18" l="1"/>
  <c r="B12" i="18" s="1"/>
  <c r="B15" i="1"/>
  <c r="B18" i="1" s="1"/>
  <c r="B20" i="1" s="1"/>
  <c r="B22" i="1" s="1"/>
  <c r="G27" i="18" l="1"/>
  <c r="C27" i="18"/>
  <c r="G22" i="18"/>
  <c r="C21" i="18" s="1"/>
  <c r="J50" i="17"/>
  <c r="J51" i="17" s="1"/>
  <c r="J53" i="17" s="1"/>
  <c r="G25" i="18" l="1"/>
  <c r="C24" i="18" s="1"/>
  <c r="L50" i="17"/>
  <c r="L51" i="17" s="1"/>
  <c r="L53" i="17" s="1"/>
  <c r="G16" i="18"/>
  <c r="C15" i="18" s="1"/>
  <c r="F50" i="17"/>
  <c r="F51" i="17" s="1"/>
  <c r="F53" i="17" s="1"/>
  <c r="G19" i="18"/>
  <c r="C18" i="18" s="1"/>
  <c r="H50" i="17"/>
  <c r="H51" i="17" s="1"/>
  <c r="H53" i="17" s="1"/>
  <c r="L25" i="11"/>
  <c r="D57" i="17"/>
  <c r="D58" i="17" s="1"/>
  <c r="D60" i="17" s="1"/>
</calcChain>
</file>

<file path=xl/sharedStrings.xml><?xml version="1.0" encoding="utf-8"?>
<sst xmlns="http://schemas.openxmlformats.org/spreadsheetml/2006/main" count="438" uniqueCount="267">
  <si>
    <t>2023 Base Year Salaries and Wages</t>
  </si>
  <si>
    <t>Employee Overhead</t>
  </si>
  <si>
    <t>B</t>
  </si>
  <si>
    <t>Payroll Taxes</t>
  </si>
  <si>
    <t>Wages</t>
  </si>
  <si>
    <t>Worker's Comp</t>
  </si>
  <si>
    <t>Retirement</t>
  </si>
  <si>
    <t>Equals:</t>
  </si>
  <si>
    <t>Multiply by:</t>
  </si>
  <si>
    <t>X  100</t>
  </si>
  <si>
    <t>Cost of Living Adjustment:</t>
  </si>
  <si>
    <t>2024 COLA</t>
  </si>
  <si>
    <t xml:space="preserve"> October, 2023  Consumer Price Index</t>
  </si>
  <si>
    <t>Increase in CPI :</t>
  </si>
  <si>
    <t>October, 2022 Consumer Price Index</t>
  </si>
  <si>
    <t>Divided by: October, 2022 Consumer Price Index</t>
  </si>
  <si>
    <t>2024 COLA Calculation:</t>
  </si>
  <si>
    <t>2024 Merits</t>
  </si>
  <si>
    <t>A</t>
  </si>
  <si>
    <t>COLA</t>
  </si>
  <si>
    <t>Merit</t>
  </si>
  <si>
    <t>C</t>
  </si>
  <si>
    <t>I</t>
  </si>
  <si>
    <t>J</t>
  </si>
  <si>
    <t xml:space="preserve">Principal and Interest Payments </t>
  </si>
  <si>
    <t>K</t>
  </si>
  <si>
    <t>Additional working capital (DSC)</t>
  </si>
  <si>
    <t>A cost-of-living adjustment is made on January 1. The adjustment is based on the change in the Consumer Price Index (CPI-U) for the 12-</t>
  </si>
  <si>
    <t>month period ending October 31. Cost-of-living increases are limited to a total of 8 percent in a calendar year.</t>
  </si>
  <si>
    <t>NEW EMPLOYEE DATA</t>
  </si>
  <si>
    <t>Wages Not in Base Year</t>
  </si>
  <si>
    <t>No.</t>
  </si>
  <si>
    <t>Title</t>
  </si>
  <si>
    <t>Hire Date</t>
  </si>
  <si>
    <t>Annual</t>
  </si>
  <si>
    <t>Hourly</t>
  </si>
  <si>
    <t>Factor</t>
  </si>
  <si>
    <t>Total</t>
  </si>
  <si>
    <t>Holiday</t>
  </si>
  <si>
    <t>BH</t>
  </si>
  <si>
    <t>UWD</t>
  </si>
  <si>
    <t>SL</t>
  </si>
  <si>
    <t>AL</t>
  </si>
  <si>
    <t>Working</t>
  </si>
  <si>
    <t>2H-225</t>
  </si>
  <si>
    <t>CMMS Administrator</t>
  </si>
  <si>
    <t>2B-198</t>
  </si>
  <si>
    <t>GIS Analyst</t>
  </si>
  <si>
    <t>2K-235</t>
  </si>
  <si>
    <t>Safety Specialist</t>
  </si>
  <si>
    <t>2H-154</t>
  </si>
  <si>
    <t>IT Supervisor</t>
  </si>
  <si>
    <t>2F-218</t>
  </si>
  <si>
    <t>Engineering Technician</t>
  </si>
  <si>
    <t>2O-113</t>
  </si>
  <si>
    <t>Lead Dispatch Operator</t>
  </si>
  <si>
    <t>2J-238</t>
  </si>
  <si>
    <t>Accountant</t>
  </si>
  <si>
    <t>Lead Meter Technician</t>
  </si>
  <si>
    <t>2B-210</t>
  </si>
  <si>
    <t>Utility Locate Specialist</t>
  </si>
  <si>
    <t>Expense</t>
  </si>
  <si>
    <t>Capital</t>
  </si>
  <si>
    <t>Rates &amp; Allocation Memo</t>
  </si>
  <si>
    <t>Direct Time - Engineering</t>
  </si>
  <si>
    <t>Direct Time - Operations</t>
  </si>
  <si>
    <t>Hire</t>
  </si>
  <si>
    <t>WCWD</t>
  </si>
  <si>
    <t>Wage</t>
  </si>
  <si>
    <t>Description</t>
  </si>
  <si>
    <t>Date</t>
  </si>
  <si>
    <t>Rate</t>
  </si>
  <si>
    <t>Allocation %</t>
  </si>
  <si>
    <t>Adjustment</t>
  </si>
  <si>
    <t>Expense Wages</t>
  </si>
  <si>
    <t>Comments</t>
  </si>
  <si>
    <t>Allocation Memo - No. of Customers</t>
  </si>
  <si>
    <t xml:space="preserve">     Total</t>
  </si>
  <si>
    <t>Employee OH</t>
  </si>
  <si>
    <t>New Employees</t>
  </si>
  <si>
    <t>Category</t>
  </si>
  <si>
    <t>Admin</t>
  </si>
  <si>
    <t>Capital (Not Included)</t>
  </si>
  <si>
    <t>T&amp;D Operations</t>
  </si>
  <si>
    <t>T&amp;D Maint</t>
  </si>
  <si>
    <t>Year 2024</t>
  </si>
  <si>
    <t>Allocation Memo- No. of Customers</t>
  </si>
  <si>
    <t>Total Wages by Category</t>
  </si>
  <si>
    <t>T&amp;D Oper</t>
  </si>
  <si>
    <t xml:space="preserve">Allocation Memo - No. of Customers </t>
  </si>
  <si>
    <t>Worker Comp</t>
  </si>
  <si>
    <t>Insurance</t>
  </si>
  <si>
    <t>Position</t>
  </si>
  <si>
    <t>Job Title</t>
  </si>
  <si>
    <t>Customer Service Supervisor</t>
  </si>
  <si>
    <t xml:space="preserve">Customer Service Representative </t>
  </si>
  <si>
    <t>Operations Clerk</t>
  </si>
  <si>
    <t>Customer Service Representative</t>
  </si>
  <si>
    <t>Applications Clerk</t>
  </si>
  <si>
    <t>OT Hours</t>
  </si>
  <si>
    <t>2I-60</t>
  </si>
  <si>
    <t>2I-199</t>
  </si>
  <si>
    <t>2I-217</t>
  </si>
  <si>
    <t>2I-222</t>
  </si>
  <si>
    <t>2I-224</t>
  </si>
  <si>
    <t>2I-49</t>
  </si>
  <si>
    <t>Wage Adjustment</t>
  </si>
  <si>
    <t xml:space="preserve"> Pay Rate</t>
  </si>
  <si>
    <t>Subtotal</t>
  </si>
  <si>
    <t>New Employee Wages</t>
  </si>
  <si>
    <t>Workman's Compensation</t>
  </si>
  <si>
    <t>Total Employee Overhead Costs</t>
  </si>
  <si>
    <t>Wage Base</t>
  </si>
  <si>
    <t xml:space="preserve">Birthday Holiday </t>
  </si>
  <si>
    <t>United Way Day Holiday</t>
  </si>
  <si>
    <t>Sick Leave</t>
  </si>
  <si>
    <t>Annual Leave Accrual</t>
  </si>
  <si>
    <t xml:space="preserve">Holiday Pay </t>
  </si>
  <si>
    <t>Workers Compensation</t>
  </si>
  <si>
    <t>Insurance - Medical \ Drugs</t>
  </si>
  <si>
    <t>Insurance - Dental</t>
  </si>
  <si>
    <t>Insurance - LT. Disability</t>
  </si>
  <si>
    <t xml:space="preserve">Insurance - Life </t>
  </si>
  <si>
    <t>Wellness Awards</t>
  </si>
  <si>
    <t>Fringe Benefits - Insurance</t>
  </si>
  <si>
    <t xml:space="preserve">401(a) Contribution </t>
  </si>
  <si>
    <t xml:space="preserve">Pension </t>
  </si>
  <si>
    <t>GL Acct #</t>
  </si>
  <si>
    <t xml:space="preserve">Employee Overhead </t>
  </si>
  <si>
    <t>T&amp;D (Oper)</t>
  </si>
  <si>
    <t>T&amp;D (Maint)</t>
  </si>
  <si>
    <t>Customer Accounts</t>
  </si>
  <si>
    <t>Admin &amp; General</t>
  </si>
  <si>
    <t>Employee  Overhead Costs</t>
  </si>
  <si>
    <t>2023 Actual Cost</t>
  </si>
  <si>
    <t>% Allocation</t>
  </si>
  <si>
    <t>A1</t>
  </si>
  <si>
    <t>A2</t>
  </si>
  <si>
    <t>A3</t>
  </si>
  <si>
    <t>A4</t>
  </si>
  <si>
    <t xml:space="preserve">Benefit Wages </t>
  </si>
  <si>
    <t>Benefit Wages</t>
  </si>
  <si>
    <t>B2</t>
  </si>
  <si>
    <t>Benefit Wages (Vacation, Sick Leave, Holiday)</t>
  </si>
  <si>
    <t>Applied to Expense Wages</t>
  </si>
  <si>
    <t>B3</t>
  </si>
  <si>
    <t>CSRs</t>
  </si>
  <si>
    <t>B4</t>
  </si>
  <si>
    <t>B5</t>
  </si>
  <si>
    <t>CSR (B7)</t>
  </si>
  <si>
    <t>B6</t>
  </si>
  <si>
    <t>B7</t>
  </si>
  <si>
    <t>New Employees (B8)</t>
  </si>
  <si>
    <t>CSR (B9)</t>
  </si>
  <si>
    <t>B8</t>
  </si>
  <si>
    <t>C1</t>
  </si>
  <si>
    <t>C2</t>
  </si>
  <si>
    <t>B9</t>
  </si>
  <si>
    <t>2023 Total WC Water - Overhead Expense</t>
  </si>
  <si>
    <t>B,H</t>
  </si>
  <si>
    <t>New Employees- SEWER DIVISION</t>
  </si>
  <si>
    <t>WCWD Call</t>
  </si>
  <si>
    <t>Guffey, Ross started the meeting</t>
  </si>
  <si>
    <t>(Excl Wage Adj)</t>
  </si>
  <si>
    <t>604-6002-3</t>
  </si>
  <si>
    <t>604-7001-3</t>
  </si>
  <si>
    <t>604-8001-3</t>
  </si>
  <si>
    <t xml:space="preserve">604-5001-3 </t>
  </si>
  <si>
    <t>2023 Sewer GL Expense</t>
  </si>
  <si>
    <t>STATEMENT OF ADJUSTED OPERATIONS</t>
  </si>
  <si>
    <t>OPERATING EXPENSE</t>
  </si>
  <si>
    <t>TEST YEAR</t>
  </si>
  <si>
    <t>ADJUSTMENT</t>
  </si>
  <si>
    <t>REF</t>
  </si>
  <si>
    <t>CALCULATION TAB</t>
  </si>
  <si>
    <t>CALCULATION ID</t>
  </si>
  <si>
    <t>CALCULATION AMOUNT</t>
  </si>
  <si>
    <t>Salaries and Wages- Employees:</t>
  </si>
  <si>
    <t xml:space="preserve">     COLA</t>
  </si>
  <si>
    <t xml:space="preserve"> COLA</t>
  </si>
  <si>
    <t xml:space="preserve">     Merit</t>
  </si>
  <si>
    <t xml:space="preserve">     New Employees</t>
  </si>
  <si>
    <t>CSR</t>
  </si>
  <si>
    <t>Employee Overhead:</t>
  </si>
  <si>
    <t xml:space="preserve">     Payroll Taxes</t>
  </si>
  <si>
    <t>B1</t>
  </si>
  <si>
    <t xml:space="preserve">     Benefit Wages</t>
  </si>
  <si>
    <t xml:space="preserve">     Worker's Comp</t>
  </si>
  <si>
    <t xml:space="preserve">CSR </t>
  </si>
  <si>
    <t xml:space="preserve">     Fringe Benefits - Insurance </t>
  </si>
  <si>
    <t xml:space="preserve">     Retirement</t>
  </si>
  <si>
    <t>Principal &amp; Interest</t>
  </si>
  <si>
    <t xml:space="preserve">Employee Overhead - CSR Shift from Capital to Expense </t>
  </si>
  <si>
    <t>Employee Overhead - New Employees</t>
  </si>
  <si>
    <t>Total - COLA Wages</t>
  </si>
  <si>
    <t>COLA Salaries and Wages:</t>
  </si>
  <si>
    <t>COLA Employee Overhead:</t>
  </si>
  <si>
    <t>Less: Insurance</t>
  </si>
  <si>
    <t>Total - COLA Employee Overhead</t>
  </si>
  <si>
    <t>Cost-of-Living Adjustment</t>
  </si>
  <si>
    <t>Approved at the November 29, 2023 board meeting by the Board of Commissioners</t>
  </si>
  <si>
    <t>Effective on January 1, 2024.</t>
  </si>
  <si>
    <t>Merit Increases</t>
  </si>
  <si>
    <t>Budgeted 2% of wages for employee merit increases.</t>
  </si>
  <si>
    <t>Merit - Salaries and Wages:</t>
  </si>
  <si>
    <t>Merit - Employee Overhead:</t>
  </si>
  <si>
    <t>Total - Merit - Salaries and Wages</t>
  </si>
  <si>
    <t>Total - Merit - Employee Overhead</t>
  </si>
  <si>
    <t>Employees who did not work the entire test year.</t>
  </si>
  <si>
    <t>Employees hired after the test year.</t>
  </si>
  <si>
    <t>Proforma</t>
  </si>
  <si>
    <t>Wages Not In Base Year</t>
  </si>
  <si>
    <t>Hours</t>
  </si>
  <si>
    <t>Employee Overhead by Category</t>
  </si>
  <si>
    <t>CSR Wage Shift to 100% Expense</t>
  </si>
  <si>
    <t>Proforma uses the customer service representative (CSR) hours allocated to capital in year 2023 to calculate the amount that will be recorded to expense.</t>
  </si>
  <si>
    <t>Regular Hours</t>
  </si>
  <si>
    <t>Regular Wages</t>
  </si>
  <si>
    <t>OT Wages</t>
  </si>
  <si>
    <t>Capital Hrs</t>
  </si>
  <si>
    <t>Wages Worked</t>
  </si>
  <si>
    <t>Total Capital Wages</t>
  </si>
  <si>
    <t>(Shift to Expense)</t>
  </si>
  <si>
    <t>Capital to Expense</t>
  </si>
  <si>
    <t>CSR's Shift from Capital to Expense</t>
  </si>
  <si>
    <t>Ref</t>
  </si>
  <si>
    <t>Reclassify to: Taxes Other Than Income</t>
  </si>
  <si>
    <t>COMMENTS</t>
  </si>
  <si>
    <t>Revised due to formula corrrection.  Previously reported as $46,046.</t>
  </si>
  <si>
    <t>A3 (Revised)</t>
  </si>
  <si>
    <t>(Revised)</t>
  </si>
  <si>
    <t>Captial Wages - CSR's (Year 2023)</t>
  </si>
  <si>
    <t>2K-41</t>
  </si>
  <si>
    <t>Subtotal - Proforma Adjustments</t>
  </si>
  <si>
    <t>Total - Proforma Breakdown</t>
  </si>
  <si>
    <t>Taxes Other Than Income:</t>
  </si>
  <si>
    <t>Total - Proforma</t>
  </si>
  <si>
    <t>Employee Overhead Cost Recovery Rate</t>
  </si>
  <si>
    <t>Total Employee Overhead Costs (Sewer)</t>
  </si>
  <si>
    <t>(1) Total Employee overhead costs before allocations to Warren, Sewer, Simpson, and Butler:</t>
  </si>
  <si>
    <t>(2) Breakdown of employee overhead costs allocated to Sewer:</t>
  </si>
  <si>
    <t>Breakdown of employee overhead costs.</t>
  </si>
  <si>
    <t>Principal &amp; Interest Payments</t>
  </si>
  <si>
    <t>Item</t>
  </si>
  <si>
    <t>2024</t>
  </si>
  <si>
    <t>2025</t>
  </si>
  <si>
    <t>2026</t>
  </si>
  <si>
    <t>Interest</t>
  </si>
  <si>
    <t>Series 2013B, RWFA</t>
  </si>
  <si>
    <t>Series 2021A, RWFA</t>
  </si>
  <si>
    <t>Series 2022D, RWFA</t>
  </si>
  <si>
    <t>Series 2024D, RWFA</t>
  </si>
  <si>
    <t>Series 2025D, RWFA (Estimated)</t>
  </si>
  <si>
    <t>Assumed same annual interest as Series 2024D</t>
  </si>
  <si>
    <t>Sub-Total</t>
  </si>
  <si>
    <t>Principal</t>
  </si>
  <si>
    <t>Total - Principal &amp; Interest</t>
  </si>
  <si>
    <t xml:space="preserve">Series 2019, USDA </t>
  </si>
  <si>
    <t>KIA, Buchanon Park</t>
  </si>
  <si>
    <t>KIA, Plum Springs</t>
  </si>
  <si>
    <t>Revised calculation to include principal &amp; interest only.</t>
  </si>
  <si>
    <t>I (Revised)</t>
  </si>
  <si>
    <t>J (Revised)</t>
  </si>
  <si>
    <t>Total - P &amp; I and Working Capital</t>
  </si>
  <si>
    <t>I - Principal &amp; Interest Payments (3-Year Average)</t>
  </si>
  <si>
    <t>J - Working Capital =</t>
  </si>
  <si>
    <t>Calculations for A,B,C,I, and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</si>
</sst>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_(* #,##0.00000_);_(* \(#,##0.00000\);_(* &quot;-&quot;??_);_(@_)"/>
    <numFmt numFmtId="169" formatCode="0E+00"/>
    <numFmt numFmtId="170" formatCode="0.0%"/>
  </numFmts>
  <fonts count="4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 val="singleAccounting"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ptos Narrow"/>
      <family val="2"/>
      <scheme val="minor"/>
    </font>
    <font>
      <b/>
      <u val="doubleAccounting"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u val="singleAccounting"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i/>
      <sz val="10"/>
      <color rgb="FF7030A0"/>
      <name val="Arial"/>
      <family val="2"/>
    </font>
    <font>
      <b/>
      <i/>
      <sz val="10"/>
      <color rgb="FF4A7729"/>
      <name val="Arial"/>
      <family val="2"/>
    </font>
    <font>
      <i/>
      <sz val="10"/>
      <color rgb="FF4A7729"/>
      <name val="Arial"/>
      <family val="2"/>
    </font>
    <font>
      <sz val="10"/>
      <color theme="0"/>
      <name val="Arial"/>
      <family val="2"/>
    </font>
    <font>
      <b/>
      <sz val="11"/>
      <color rgb="FF7030A0"/>
      <name val="Aptos Narrow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u val="singleAccounting"/>
      <sz val="10"/>
      <color theme="1"/>
      <name val="Aptos Narrow"/>
      <family val="2"/>
      <scheme val="minor"/>
    </font>
    <font>
      <b/>
      <sz val="10"/>
      <name val="Aptos"/>
      <family val="2"/>
    </font>
    <font>
      <b/>
      <u/>
      <sz val="10"/>
      <name val="Aptos"/>
      <family val="2"/>
    </font>
    <font>
      <sz val="10"/>
      <name val="Aptos"/>
      <family val="2"/>
    </font>
    <font>
      <u/>
      <sz val="10"/>
      <name val="Aptos"/>
      <family val="2"/>
    </font>
    <font>
      <b/>
      <u val="double"/>
      <sz val="10"/>
      <name val="Aptos"/>
      <family val="2"/>
    </font>
    <font>
      <b/>
      <u val="doubleAccounting"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FFFFFF"/>
      <name val="Var(--fontFamilyBase)"/>
    </font>
    <font>
      <sz val="10"/>
      <color rgb="FFFFFFFF"/>
      <name val="Segoe UI"/>
      <family val="2"/>
    </font>
    <font>
      <b/>
      <i/>
      <sz val="10"/>
      <color theme="1"/>
      <name val="Aptos Narrow"/>
      <family val="2"/>
      <scheme val="minor"/>
    </font>
    <font>
      <u val="doubleAccounting"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7722"/>
        <bgColor indexed="64"/>
      </patternFill>
    </fill>
    <fill>
      <patternFill patternType="solid">
        <fgColor rgb="FFFFC6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329">
    <xf numFmtId="0" fontId="0" fillId="0" borderId="0" xfId="0"/>
    <xf numFmtId="165" fontId="0" fillId="0" borderId="0" xfId="2" applyNumberFormat="1" applyFont="1"/>
    <xf numFmtId="166" fontId="0" fillId="0" borderId="0" xfId="1" applyNumberFormat="1" applyFont="1"/>
    <xf numFmtId="0" fontId="0" fillId="0" borderId="0" xfId="0" applyAlignment="1">
      <alignment horizontal="center"/>
    </xf>
    <xf numFmtId="165" fontId="2" fillId="2" borderId="0" xfId="2" applyNumberFormat="1" applyFont="1" applyFill="1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Border="1"/>
    <xf numFmtId="4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43" fontId="0" fillId="0" borderId="0" xfId="0" applyNumberFormat="1"/>
    <xf numFmtId="0" fontId="4" fillId="0" borderId="0" xfId="0" applyFont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1" applyFont="1" applyFill="1"/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43" fontId="3" fillId="0" borderId="9" xfId="1" applyFont="1" applyFill="1" applyBorder="1"/>
    <xf numFmtId="43" fontId="6" fillId="0" borderId="0" xfId="1" applyFont="1" applyFill="1"/>
    <xf numFmtId="43" fontId="6" fillId="0" borderId="9" xfId="1" applyFont="1" applyFill="1" applyBorder="1"/>
    <xf numFmtId="10" fontId="3" fillId="0" borderId="0" xfId="3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9" fontId="3" fillId="0" borderId="0" xfId="0" applyNumberFormat="1" applyFont="1" applyAlignment="1">
      <alignment horizontal="center"/>
    </xf>
    <xf numFmtId="44" fontId="3" fillId="0" borderId="0" xfId="0" applyNumberFormat="1" applyFont="1"/>
    <xf numFmtId="44" fontId="3" fillId="0" borderId="9" xfId="0" applyNumberFormat="1" applyFont="1" applyBorder="1"/>
    <xf numFmtId="43" fontId="4" fillId="2" borderId="0" xfId="0" applyNumberFormat="1" applyFont="1" applyFill="1" applyAlignment="1">
      <alignment horizontal="center"/>
    </xf>
    <xf numFmtId="4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165" fontId="0" fillId="0" borderId="0" xfId="2" applyNumberFormat="1" applyFont="1" applyBorder="1"/>
    <xf numFmtId="43" fontId="4" fillId="0" borderId="1" xfId="1" applyFont="1" applyBorder="1" applyAlignment="1">
      <alignment horizontal="left"/>
    </xf>
    <xf numFmtId="43" fontId="3" fillId="0" borderId="0" xfId="1" applyFont="1" applyFill="1" applyAlignment="1">
      <alignment horizontal="left"/>
    </xf>
    <xf numFmtId="165" fontId="4" fillId="2" borderId="3" xfId="2" applyNumberFormat="1" applyFont="1" applyFill="1" applyBorder="1"/>
    <xf numFmtId="43" fontId="3" fillId="0" borderId="0" xfId="1" applyFont="1" applyAlignment="1">
      <alignment horizontal="left"/>
    </xf>
    <xf numFmtId="166" fontId="6" fillId="0" borderId="0" xfId="1" applyNumberFormat="1" applyFont="1"/>
    <xf numFmtId="165" fontId="3" fillId="0" borderId="0" xfId="0" applyNumberFormat="1" applyFont="1"/>
    <xf numFmtId="0" fontId="11" fillId="0" borderId="0" xfId="0" applyFont="1"/>
    <xf numFmtId="9" fontId="4" fillId="0" borderId="0" xfId="3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10" fontId="3" fillId="0" borderId="0" xfId="3" applyNumberFormat="1" applyFont="1" applyAlignment="1">
      <alignment horizontal="center"/>
    </xf>
    <xf numFmtId="9" fontId="13" fillId="0" borderId="0" xfId="3" applyFont="1" applyFill="1" applyBorder="1" applyAlignment="1">
      <alignment horizontal="center"/>
    </xf>
    <xf numFmtId="43" fontId="6" fillId="0" borderId="0" xfId="1" applyFont="1" applyBorder="1"/>
    <xf numFmtId="43" fontId="6" fillId="0" borderId="0" xfId="0" applyNumberFormat="1" applyFont="1"/>
    <xf numFmtId="10" fontId="3" fillId="0" borderId="8" xfId="0" applyNumberFormat="1" applyFont="1" applyBorder="1" applyAlignment="1">
      <alignment horizontal="center"/>
    </xf>
    <xf numFmtId="10" fontId="3" fillId="0" borderId="9" xfId="3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0" xfId="0" applyFont="1"/>
    <xf numFmtId="165" fontId="16" fillId="0" borderId="34" xfId="2" applyNumberFormat="1" applyFont="1" applyBorder="1" applyAlignment="1">
      <alignment horizontal="center"/>
    </xf>
    <xf numFmtId="165" fontId="15" fillId="0" borderId="35" xfId="2" applyNumberFormat="1" applyFont="1" applyBorder="1"/>
    <xf numFmtId="166" fontId="15" fillId="0" borderId="35" xfId="1" applyNumberFormat="1" applyFont="1" applyFill="1" applyBorder="1"/>
    <xf numFmtId="166" fontId="15" fillId="0" borderId="35" xfId="1" applyNumberFormat="1" applyFont="1" applyBorder="1"/>
    <xf numFmtId="43" fontId="15" fillId="0" borderId="35" xfId="1" applyFont="1" applyBorder="1"/>
    <xf numFmtId="166" fontId="15" fillId="0" borderId="36" xfId="1" applyNumberFormat="1" applyFont="1" applyFill="1" applyBorder="1"/>
    <xf numFmtId="166" fontId="3" fillId="0" borderId="0" xfId="1" applyNumberFormat="1" applyFont="1" applyFill="1" applyBorder="1"/>
    <xf numFmtId="166" fontId="3" fillId="0" borderId="0" xfId="0" applyNumberFormat="1" applyFont="1"/>
    <xf numFmtId="165" fontId="3" fillId="0" borderId="3" xfId="2" applyNumberFormat="1" applyFont="1" applyBorder="1"/>
    <xf numFmtId="165" fontId="3" fillId="0" borderId="0" xfId="2" applyNumberFormat="1" applyFont="1"/>
    <xf numFmtId="166" fontId="4" fillId="0" borderId="0" xfId="2" applyNumberFormat="1" applyFont="1"/>
    <xf numFmtId="43" fontId="4" fillId="0" borderId="0" xfId="0" applyNumberFormat="1" applyFont="1" applyAlignment="1">
      <alignment horizontal="center"/>
    </xf>
    <xf numFmtId="165" fontId="3" fillId="0" borderId="0" xfId="2" applyNumberFormat="1" applyFont="1" applyFill="1" applyBorder="1"/>
    <xf numFmtId="165" fontId="3" fillId="0" borderId="0" xfId="2" applyNumberFormat="1" applyFont="1" applyFill="1"/>
    <xf numFmtId="165" fontId="4" fillId="0" borderId="0" xfId="2" applyNumberFormat="1" applyFont="1"/>
    <xf numFmtId="166" fontId="3" fillId="0" borderId="0" xfId="1" applyNumberFormat="1" applyFont="1" applyFill="1"/>
    <xf numFmtId="166" fontId="4" fillId="0" borderId="0" xfId="1" applyNumberFormat="1" applyFont="1"/>
    <xf numFmtId="166" fontId="6" fillId="0" borderId="0" xfId="1" applyNumberFormat="1" applyFont="1" applyFill="1"/>
    <xf numFmtId="165" fontId="9" fillId="0" borderId="0" xfId="0" applyNumberFormat="1" applyFont="1"/>
    <xf numFmtId="0" fontId="4" fillId="0" borderId="0" xfId="0" applyFont="1" applyAlignment="1">
      <alignment horizontal="left"/>
    </xf>
    <xf numFmtId="0" fontId="17" fillId="0" borderId="0" xfId="0" applyFont="1"/>
    <xf numFmtId="44" fontId="4" fillId="0" borderId="3" xfId="0" applyNumberFormat="1" applyFont="1" applyBorder="1"/>
    <xf numFmtId="0" fontId="12" fillId="0" borderId="0" xfId="0" applyFont="1"/>
    <xf numFmtId="0" fontId="18" fillId="0" borderId="0" xfId="0" applyFont="1"/>
    <xf numFmtId="166" fontId="3" fillId="0" borderId="0" xfId="1" applyNumberFormat="1" applyFont="1" applyBorder="1"/>
    <xf numFmtId="166" fontId="6" fillId="0" borderId="0" xfId="1" applyNumberFormat="1" applyFont="1" applyBorder="1"/>
    <xf numFmtId="165" fontId="3" fillId="0" borderId="0" xfId="2" applyNumberFormat="1" applyFont="1" applyBorder="1"/>
    <xf numFmtId="166" fontId="6" fillId="0" borderId="0" xfId="0" applyNumberFormat="1" applyFont="1"/>
    <xf numFmtId="165" fontId="4" fillId="0" borderId="0" xfId="2" applyNumberFormat="1" applyFont="1" applyFill="1"/>
    <xf numFmtId="166" fontId="4" fillId="0" borderId="0" xfId="0" applyNumberFormat="1" applyFont="1"/>
    <xf numFmtId="166" fontId="14" fillId="0" borderId="0" xfId="0" applyNumberFormat="1" applyFont="1"/>
    <xf numFmtId="165" fontId="9" fillId="2" borderId="0" xfId="2" applyNumberFormat="1" applyFont="1" applyFill="1" applyBorder="1"/>
    <xf numFmtId="165" fontId="3" fillId="0" borderId="10" xfId="2" applyNumberFormat="1" applyFont="1" applyFill="1" applyBorder="1"/>
    <xf numFmtId="165" fontId="4" fillId="2" borderId="1" xfId="2" applyNumberFormat="1" applyFont="1" applyFill="1" applyBorder="1"/>
    <xf numFmtId="165" fontId="4" fillId="2" borderId="11" xfId="2" applyNumberFormat="1" applyFont="1" applyFill="1" applyBorder="1"/>
    <xf numFmtId="165" fontId="3" fillId="0" borderId="0" xfId="2" applyNumberFormat="1" applyFont="1" applyAlignment="1">
      <alignment horizontal="center"/>
    </xf>
    <xf numFmtId="0" fontId="13" fillId="0" borderId="12" xfId="13" applyBorder="1" applyAlignment="1">
      <alignment horizontal="center" vertical="center"/>
    </xf>
    <xf numFmtId="165" fontId="13" fillId="0" borderId="12" xfId="2" quotePrefix="1" applyNumberFormat="1" applyFont="1" applyBorder="1" applyAlignment="1">
      <alignment horizontal="center" vertical="center" wrapText="1"/>
    </xf>
    <xf numFmtId="165" fontId="19" fillId="0" borderId="12" xfId="13" applyNumberFormat="1" applyFont="1" applyBorder="1" applyAlignment="1">
      <alignment horizontal="center" vertical="center"/>
    </xf>
    <xf numFmtId="0" fontId="19" fillId="0" borderId="12" xfId="13" applyFont="1" applyBorder="1" applyAlignment="1">
      <alignment horizontal="center" vertical="center" wrapText="1"/>
    </xf>
    <xf numFmtId="0" fontId="19" fillId="4" borderId="12" xfId="13" applyFont="1" applyFill="1" applyBorder="1" applyAlignment="1">
      <alignment horizontal="center"/>
    </xf>
    <xf numFmtId="165" fontId="20" fillId="0" borderId="12" xfId="13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13" fillId="0" borderId="12" xfId="13" applyBorder="1" applyAlignment="1">
      <alignment horizontal="left"/>
    </xf>
    <xf numFmtId="165" fontId="3" fillId="0" borderId="12" xfId="2" applyNumberFormat="1" applyFont="1" applyFill="1" applyBorder="1" applyAlignment="1">
      <alignment horizontal="center"/>
    </xf>
    <xf numFmtId="165" fontId="21" fillId="0" borderId="12" xfId="2" applyNumberFormat="1" applyFont="1" applyBorder="1" applyAlignment="1">
      <alignment horizontal="center"/>
    </xf>
    <xf numFmtId="165" fontId="22" fillId="0" borderId="0" xfId="13" applyNumberFormat="1" applyFont="1" applyAlignment="1">
      <alignment horizontal="center"/>
    </xf>
    <xf numFmtId="166" fontId="3" fillId="0" borderId="12" xfId="1" applyNumberFormat="1" applyFont="1" applyFill="1" applyBorder="1" applyAlignment="1">
      <alignment horizontal="center"/>
    </xf>
    <xf numFmtId="166" fontId="21" fillId="0" borderId="12" xfId="1" applyNumberFormat="1" applyFont="1" applyBorder="1" applyAlignment="1">
      <alignment horizontal="center"/>
    </xf>
    <xf numFmtId="0" fontId="19" fillId="5" borderId="12" xfId="13" applyFont="1" applyFill="1" applyBorder="1" applyAlignment="1">
      <alignment horizontal="center"/>
    </xf>
    <xf numFmtId="166" fontId="13" fillId="5" borderId="12" xfId="1" applyNumberFormat="1" applyFont="1" applyFill="1" applyBorder="1" applyAlignment="1">
      <alignment horizontal="center"/>
    </xf>
    <xf numFmtId="166" fontId="19" fillId="5" borderId="12" xfId="1" applyNumberFormat="1" applyFont="1" applyFill="1" applyBorder="1" applyAlignment="1">
      <alignment horizontal="center"/>
    </xf>
    <xf numFmtId="0" fontId="19" fillId="5" borderId="12" xfId="0" applyFont="1" applyFill="1" applyBorder="1" applyAlignment="1">
      <alignment horizontal="left"/>
    </xf>
    <xf numFmtId="0" fontId="23" fillId="0" borderId="12" xfId="13" applyFont="1" applyBorder="1" applyAlignment="1">
      <alignment horizontal="center"/>
    </xf>
    <xf numFmtId="166" fontId="23" fillId="0" borderId="12" xfId="1" applyNumberFormat="1" applyFont="1" applyFill="1" applyBorder="1" applyAlignment="1">
      <alignment horizontal="center"/>
    </xf>
    <xf numFmtId="166" fontId="24" fillId="0" borderId="12" xfId="1" applyNumberFormat="1" applyFont="1" applyBorder="1"/>
    <xf numFmtId="166" fontId="20" fillId="0" borderId="12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166" fontId="19" fillId="5" borderId="12" xfId="1" applyNumberFormat="1" applyFont="1" applyFill="1" applyBorder="1"/>
    <xf numFmtId="0" fontId="13" fillId="5" borderId="12" xfId="0" applyFont="1" applyFill="1" applyBorder="1" applyAlignment="1">
      <alignment horizontal="left"/>
    </xf>
    <xf numFmtId="0" fontId="19" fillId="6" borderId="12" xfId="13" applyFont="1" applyFill="1" applyBorder="1" applyAlignment="1">
      <alignment horizontal="center"/>
    </xf>
    <xf numFmtId="165" fontId="13" fillId="6" borderId="12" xfId="2" applyNumberFormat="1" applyFont="1" applyFill="1" applyBorder="1" applyAlignment="1">
      <alignment horizontal="center"/>
    </xf>
    <xf numFmtId="165" fontId="19" fillId="6" borderId="12" xfId="2" applyNumberFormat="1" applyFont="1" applyFill="1" applyBorder="1"/>
    <xf numFmtId="0" fontId="19" fillId="6" borderId="12" xfId="0" applyFont="1" applyFill="1" applyBorder="1" applyAlignment="1">
      <alignment horizontal="left"/>
    </xf>
    <xf numFmtId="165" fontId="3" fillId="2" borderId="0" xfId="2" applyNumberFormat="1" applyFont="1" applyFill="1" applyAlignment="1">
      <alignment horizontal="left"/>
    </xf>
    <xf numFmtId="165" fontId="3" fillId="2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43" fontId="3" fillId="0" borderId="0" xfId="1" applyFont="1" applyAlignment="1">
      <alignment horizontal="center"/>
    </xf>
    <xf numFmtId="165" fontId="3" fillId="0" borderId="0" xfId="0" applyNumberFormat="1" applyFont="1" applyAlignment="1">
      <alignment horizontal="center"/>
    </xf>
    <xf numFmtId="9" fontId="25" fillId="2" borderId="0" xfId="3" applyFont="1" applyFill="1" applyAlignment="1">
      <alignment horizontal="left"/>
    </xf>
    <xf numFmtId="165" fontId="26" fillId="2" borderId="0" xfId="0" applyNumberFormat="1" applyFont="1" applyFill="1"/>
    <xf numFmtId="165" fontId="3" fillId="0" borderId="0" xfId="2" applyNumberFormat="1" applyFont="1" applyAlignment="1">
      <alignment horizontal="left"/>
    </xf>
    <xf numFmtId="165" fontId="0" fillId="0" borderId="3" xfId="0" applyNumberFormat="1" applyBorder="1"/>
    <xf numFmtId="43" fontId="3" fillId="0" borderId="0" xfId="0" applyNumberFormat="1" applyFont="1" applyAlignment="1">
      <alignment horizontal="center"/>
    </xf>
    <xf numFmtId="0" fontId="15" fillId="0" borderId="12" xfId="0" applyFont="1" applyBorder="1"/>
    <xf numFmtId="165" fontId="15" fillId="0" borderId="12" xfId="2" applyNumberFormat="1" applyFont="1" applyBorder="1" applyAlignment="1">
      <alignment horizontal="center"/>
    </xf>
    <xf numFmtId="166" fontId="15" fillId="0" borderId="12" xfId="1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1" applyNumberFormat="1" applyFont="1" applyBorder="1" applyAlignment="1">
      <alignment horizontal="center"/>
    </xf>
    <xf numFmtId="165" fontId="16" fillId="0" borderId="24" xfId="2" applyNumberFormat="1" applyFont="1" applyBorder="1"/>
    <xf numFmtId="165" fontId="15" fillId="0" borderId="12" xfId="2" applyNumberFormat="1" applyFont="1" applyBorder="1"/>
    <xf numFmtId="166" fontId="15" fillId="0" borderId="12" xfId="1" applyNumberFormat="1" applyFont="1" applyBorder="1"/>
    <xf numFmtId="0" fontId="15" fillId="0" borderId="4" xfId="0" applyFont="1" applyBorder="1"/>
    <xf numFmtId="0" fontId="16" fillId="0" borderId="25" xfId="0" applyFont="1" applyBorder="1" applyAlignment="1">
      <alignment horizontal="center"/>
    </xf>
    <xf numFmtId="0" fontId="16" fillId="0" borderId="12" xfId="1" applyNumberFormat="1" applyFont="1" applyBorder="1" applyAlignment="1">
      <alignment horizontal="center"/>
    </xf>
    <xf numFmtId="165" fontId="16" fillId="0" borderId="26" xfId="2" applyNumberFormat="1" applyFont="1" applyBorder="1"/>
    <xf numFmtId="0" fontId="27" fillId="0" borderId="12" xfId="0" applyFont="1" applyBorder="1" applyAlignment="1">
      <alignment horizontal="left"/>
    </xf>
    <xf numFmtId="166" fontId="15" fillId="0" borderId="12" xfId="1" applyNumberFormat="1" applyFont="1" applyFill="1" applyBorder="1"/>
    <xf numFmtId="166" fontId="16" fillId="0" borderId="26" xfId="1" applyNumberFormat="1" applyFont="1" applyFill="1" applyBorder="1"/>
    <xf numFmtId="0" fontId="15" fillId="0" borderId="12" xfId="0" applyFont="1" applyBorder="1" applyAlignment="1">
      <alignment horizontal="left"/>
    </xf>
    <xf numFmtId="0" fontId="15" fillId="0" borderId="25" xfId="0" applyFont="1" applyBorder="1" applyAlignment="1">
      <alignment horizontal="center"/>
    </xf>
    <xf numFmtId="0" fontId="15" fillId="0" borderId="12" xfId="1" applyNumberFormat="1" applyFont="1" applyBorder="1" applyAlignment="1">
      <alignment horizontal="center"/>
    </xf>
    <xf numFmtId="166" fontId="15" fillId="0" borderId="26" xfId="1" applyNumberFormat="1" applyFont="1" applyBorder="1"/>
    <xf numFmtId="0" fontId="28" fillId="0" borderId="12" xfId="0" applyFont="1" applyBorder="1" applyAlignment="1">
      <alignment horizontal="left"/>
    </xf>
    <xf numFmtId="0" fontId="13" fillId="0" borderId="12" xfId="0" applyFont="1" applyBorder="1" applyAlignment="1">
      <alignment horizontal="right"/>
    </xf>
    <xf numFmtId="166" fontId="16" fillId="0" borderId="12" xfId="1" applyNumberFormat="1" applyFont="1" applyFill="1" applyBorder="1"/>
    <xf numFmtId="0" fontId="16" fillId="0" borderId="4" xfId="0" applyFont="1" applyBorder="1" applyAlignment="1">
      <alignment horizontal="center"/>
    </xf>
    <xf numFmtId="0" fontId="16" fillId="0" borderId="12" xfId="0" applyFont="1" applyBorder="1"/>
    <xf numFmtId="43" fontId="15" fillId="0" borderId="26" xfId="1" applyFont="1" applyBorder="1"/>
    <xf numFmtId="0" fontId="16" fillId="0" borderId="12" xfId="0" applyFont="1" applyBorder="1" applyAlignment="1">
      <alignment horizontal="right"/>
    </xf>
    <xf numFmtId="0" fontId="16" fillId="0" borderId="12" xfId="0" applyFont="1" applyBorder="1" applyAlignment="1">
      <alignment horizontal="left"/>
    </xf>
    <xf numFmtId="0" fontId="15" fillId="0" borderId="27" xfId="0" applyFont="1" applyBorder="1" applyAlignment="1">
      <alignment horizontal="center"/>
    </xf>
    <xf numFmtId="0" fontId="15" fillId="0" borderId="28" xfId="1" applyNumberFormat="1" applyFont="1" applyBorder="1" applyAlignment="1">
      <alignment horizontal="center"/>
    </xf>
    <xf numFmtId="166" fontId="15" fillId="0" borderId="29" xfId="1" applyNumberFormat="1" applyFont="1" applyBorder="1"/>
    <xf numFmtId="165" fontId="30" fillId="0" borderId="0" xfId="0" applyNumberFormat="1" applyFont="1"/>
    <xf numFmtId="0" fontId="18" fillId="0" borderId="0" xfId="0" applyFont="1" applyAlignment="1">
      <alignment horizontal="center"/>
    </xf>
    <xf numFmtId="166" fontId="18" fillId="0" borderId="0" xfId="1" applyNumberFormat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164" fontId="18" fillId="0" borderId="1" xfId="0" applyNumberFormat="1" applyFont="1" applyBorder="1"/>
    <xf numFmtId="166" fontId="31" fillId="0" borderId="0" xfId="1" applyNumberFormat="1" applyFont="1"/>
    <xf numFmtId="166" fontId="30" fillId="2" borderId="0" xfId="1" applyNumberFormat="1" applyFont="1" applyFill="1" applyAlignment="1">
      <alignment horizontal="center"/>
    </xf>
    <xf numFmtId="43" fontId="18" fillId="0" borderId="0" xfId="1" applyFont="1"/>
    <xf numFmtId="165" fontId="18" fillId="0" borderId="0" xfId="2" applyNumberFormat="1" applyFont="1"/>
    <xf numFmtId="166" fontId="32" fillId="0" borderId="0" xfId="1" applyNumberFormat="1" applyFont="1"/>
    <xf numFmtId="0" fontId="30" fillId="2" borderId="0" xfId="0" applyFont="1" applyFill="1" applyAlignment="1">
      <alignment horizontal="center"/>
    </xf>
    <xf numFmtId="0" fontId="33" fillId="0" borderId="1" xfId="0" applyFont="1" applyBorder="1" applyAlignment="1">
      <alignment horizontal="lef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167" fontId="35" fillId="0" borderId="0" xfId="1" applyNumberFormat="1" applyFont="1"/>
    <xf numFmtId="167" fontId="36" fillId="0" borderId="0" xfId="1" applyNumberFormat="1" applyFont="1"/>
    <xf numFmtId="43" fontId="35" fillId="0" borderId="0" xfId="1" applyFont="1" applyFill="1" applyAlignment="1"/>
    <xf numFmtId="167" fontId="35" fillId="0" borderId="1" xfId="0" applyNumberFormat="1" applyFont="1" applyBorder="1"/>
    <xf numFmtId="168" fontId="35" fillId="0" borderId="0" xfId="0" applyNumberFormat="1" applyFont="1"/>
    <xf numFmtId="0" fontId="35" fillId="0" borderId="1" xfId="0" applyFont="1" applyBorder="1" applyAlignment="1">
      <alignment horizontal="center"/>
    </xf>
    <xf numFmtId="0" fontId="33" fillId="0" borderId="0" xfId="0" applyFont="1" applyAlignment="1">
      <alignment horizontal="left"/>
    </xf>
    <xf numFmtId="164" fontId="37" fillId="0" borderId="0" xfId="3" applyNumberFormat="1" applyFont="1" applyFill="1"/>
    <xf numFmtId="0" fontId="30" fillId="0" borderId="0" xfId="0" applyFont="1" applyAlignment="1">
      <alignment horizontal="right"/>
    </xf>
    <xf numFmtId="165" fontId="30" fillId="0" borderId="0" xfId="2" applyNumberFormat="1" applyFont="1"/>
    <xf numFmtId="166" fontId="30" fillId="0" borderId="0" xfId="1" applyNumberFormat="1" applyFont="1" applyBorder="1" applyAlignment="1">
      <alignment horizontal="center"/>
    </xf>
    <xf numFmtId="166" fontId="18" fillId="0" borderId="1" xfId="1" applyNumberFormat="1" applyFont="1" applyBorder="1"/>
    <xf numFmtId="165" fontId="38" fillId="2" borderId="0" xfId="2" applyNumberFormat="1" applyFont="1" applyFill="1"/>
    <xf numFmtId="0" fontId="18" fillId="0" borderId="1" xfId="0" applyFont="1" applyBorder="1"/>
    <xf numFmtId="0" fontId="18" fillId="0" borderId="0" xfId="0" applyFont="1" applyAlignment="1">
      <alignment horizontal="right"/>
    </xf>
    <xf numFmtId="44" fontId="18" fillId="0" borderId="0" xfId="0" applyNumberFormat="1" applyFont="1"/>
    <xf numFmtId="166" fontId="39" fillId="0" borderId="0" xfId="1" applyNumberFormat="1" applyFont="1"/>
    <xf numFmtId="0" fontId="18" fillId="0" borderId="1" xfId="0" applyFont="1" applyBorder="1" applyAlignment="1">
      <alignment horizontal="center"/>
    </xf>
    <xf numFmtId="9" fontId="18" fillId="0" borderId="0" xfId="3" applyFont="1" applyAlignment="1">
      <alignment horizontal="center"/>
    </xf>
    <xf numFmtId="0" fontId="30" fillId="0" borderId="0" xfId="0" applyFont="1"/>
    <xf numFmtId="9" fontId="8" fillId="0" borderId="0" xfId="3" applyFont="1" applyBorder="1" applyAlignment="1">
      <alignment horizontal="center"/>
    </xf>
    <xf numFmtId="9" fontId="30" fillId="0" borderId="0" xfId="3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14" fontId="18" fillId="0" borderId="0" xfId="0" applyNumberFormat="1" applyFont="1" applyAlignment="1">
      <alignment horizontal="center"/>
    </xf>
    <xf numFmtId="44" fontId="18" fillId="0" borderId="0" xfId="2" applyFont="1" applyFill="1"/>
    <xf numFmtId="166" fontId="18" fillId="0" borderId="0" xfId="1" applyNumberFormat="1" applyFont="1" applyFill="1" applyAlignment="1"/>
    <xf numFmtId="165" fontId="18" fillId="0" borderId="0" xfId="2" applyNumberFormat="1" applyFont="1" applyFill="1"/>
    <xf numFmtId="170" fontId="18" fillId="0" borderId="0" xfId="3" applyNumberFormat="1" applyFont="1" applyFill="1" applyAlignment="1">
      <alignment horizontal="center"/>
    </xf>
    <xf numFmtId="165" fontId="18" fillId="0" borderId="0" xfId="2" applyNumberFormat="1" applyFont="1" applyFill="1" applyBorder="1"/>
    <xf numFmtId="43" fontId="18" fillId="0" borderId="0" xfId="1" applyFont="1" applyFill="1"/>
    <xf numFmtId="166" fontId="18" fillId="0" borderId="0" xfId="1" applyNumberFormat="1" applyFont="1" applyFill="1"/>
    <xf numFmtId="166" fontId="18" fillId="0" borderId="0" xfId="1" applyNumberFormat="1" applyFont="1" applyFill="1" applyBorder="1"/>
    <xf numFmtId="44" fontId="30" fillId="0" borderId="6" xfId="2" applyFont="1" applyFill="1" applyBorder="1"/>
    <xf numFmtId="166" fontId="18" fillId="0" borderId="7" xfId="0" applyNumberFormat="1" applyFont="1" applyBorder="1"/>
    <xf numFmtId="43" fontId="30" fillId="0" borderId="8" xfId="1" applyFont="1" applyFill="1" applyBorder="1"/>
    <xf numFmtId="166" fontId="18" fillId="0" borderId="9" xfId="0" applyNumberFormat="1" applyFont="1" applyBorder="1"/>
    <xf numFmtId="43" fontId="30" fillId="0" borderId="10" xfId="1" applyFont="1" applyFill="1" applyBorder="1"/>
    <xf numFmtId="166" fontId="18" fillId="0" borderId="11" xfId="0" applyNumberFormat="1" applyFont="1" applyBorder="1"/>
    <xf numFmtId="0" fontId="40" fillId="0" borderId="0" xfId="0" applyFont="1" applyAlignment="1">
      <alignment horizontal="left" vertical="center" wrapText="1"/>
    </xf>
    <xf numFmtId="0" fontId="41" fillId="0" borderId="0" xfId="0" applyFont="1"/>
    <xf numFmtId="165" fontId="18" fillId="0" borderId="3" xfId="1" applyNumberFormat="1" applyFont="1" applyFill="1" applyBorder="1"/>
    <xf numFmtId="165" fontId="18" fillId="0" borderId="3" xfId="2" applyNumberFormat="1" applyFont="1" applyBorder="1"/>
    <xf numFmtId="0" fontId="30" fillId="0" borderId="0" xfId="0" applyFont="1" applyAlignment="1">
      <alignment horizontal="center"/>
    </xf>
    <xf numFmtId="43" fontId="18" fillId="0" borderId="0" xfId="0" applyNumberFormat="1" applyFont="1"/>
    <xf numFmtId="10" fontId="18" fillId="0" borderId="0" xfId="3" applyNumberFormat="1" applyFont="1" applyAlignment="1">
      <alignment horizontal="center"/>
    </xf>
    <xf numFmtId="10" fontId="18" fillId="0" borderId="8" xfId="0" applyNumberFormat="1" applyFont="1" applyBorder="1" applyAlignment="1">
      <alignment horizontal="center"/>
    </xf>
    <xf numFmtId="10" fontId="18" fillId="0" borderId="0" xfId="3" applyNumberFormat="1" applyFont="1" applyBorder="1" applyAlignment="1">
      <alignment horizontal="center"/>
    </xf>
    <xf numFmtId="10" fontId="18" fillId="0" borderId="9" xfId="3" applyNumberFormat="1" applyFont="1" applyBorder="1" applyAlignment="1">
      <alignment horizontal="center"/>
    </xf>
    <xf numFmtId="43" fontId="30" fillId="0" borderId="0" xfId="0" applyNumberFormat="1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6" fontId="18" fillId="0" borderId="0" xfId="1" applyNumberFormat="1" applyFont="1" applyFill="1" applyBorder="1" applyAlignment="1"/>
    <xf numFmtId="165" fontId="18" fillId="0" borderId="8" xfId="2" applyNumberFormat="1" applyFont="1" applyFill="1" applyBorder="1"/>
    <xf numFmtId="165" fontId="18" fillId="0" borderId="9" xfId="2" applyNumberFormat="1" applyFont="1" applyFill="1" applyBorder="1"/>
    <xf numFmtId="44" fontId="18" fillId="0" borderId="0" xfId="2" applyFont="1" applyBorder="1"/>
    <xf numFmtId="43" fontId="18" fillId="0" borderId="8" xfId="1" applyFont="1" applyFill="1" applyBorder="1"/>
    <xf numFmtId="170" fontId="18" fillId="0" borderId="0" xfId="3" applyNumberFormat="1" applyFont="1" applyFill="1" applyBorder="1" applyAlignment="1">
      <alignment horizontal="center"/>
    </xf>
    <xf numFmtId="170" fontId="18" fillId="0" borderId="9" xfId="3" applyNumberFormat="1" applyFont="1" applyFill="1" applyBorder="1" applyAlignment="1">
      <alignment horizontal="center"/>
    </xf>
    <xf numFmtId="43" fontId="18" fillId="0" borderId="0" xfId="1" applyFont="1" applyBorder="1"/>
    <xf numFmtId="166" fontId="18" fillId="0" borderId="8" xfId="1" applyNumberFormat="1" applyFont="1" applyFill="1" applyBorder="1"/>
    <xf numFmtId="166" fontId="18" fillId="0" borderId="9" xfId="1" applyNumberFormat="1" applyFont="1" applyFill="1" applyBorder="1"/>
    <xf numFmtId="166" fontId="18" fillId="0" borderId="0" xfId="1" applyNumberFormat="1" applyFont="1" applyFill="1" applyBorder="1" applyAlignment="1">
      <alignment horizontal="center"/>
    </xf>
    <xf numFmtId="166" fontId="18" fillId="0" borderId="9" xfId="1" applyNumberFormat="1" applyFont="1" applyFill="1" applyBorder="1" applyAlignment="1">
      <alignment horizontal="center"/>
    </xf>
    <xf numFmtId="43" fontId="30" fillId="0" borderId="0" xfId="1" applyFont="1" applyBorder="1"/>
    <xf numFmtId="166" fontId="18" fillId="0" borderId="10" xfId="1" applyNumberFormat="1" applyFont="1" applyFill="1" applyBorder="1"/>
    <xf numFmtId="166" fontId="18" fillId="0" borderId="1" xfId="1" applyNumberFormat="1" applyFont="1" applyFill="1" applyBorder="1"/>
    <xf numFmtId="166" fontId="18" fillId="0" borderId="11" xfId="1" applyNumberFormat="1" applyFont="1" applyFill="1" applyBorder="1"/>
    <xf numFmtId="44" fontId="18" fillId="0" borderId="0" xfId="0" applyNumberFormat="1" applyFont="1" applyAlignment="1">
      <alignment horizontal="center"/>
    </xf>
    <xf numFmtId="44" fontId="18" fillId="0" borderId="3" xfId="2" applyFont="1" applyFill="1" applyBorder="1"/>
    <xf numFmtId="165" fontId="18" fillId="0" borderId="3" xfId="2" applyNumberFormat="1" applyFont="1" applyFill="1" applyBorder="1"/>
    <xf numFmtId="165" fontId="30" fillId="2" borderId="3" xfId="2" applyNumberFormat="1" applyFont="1" applyFill="1" applyBorder="1"/>
    <xf numFmtId="43" fontId="30" fillId="0" borderId="0" xfId="0" applyNumberFormat="1" applyFont="1"/>
    <xf numFmtId="0" fontId="18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4" fontId="18" fillId="0" borderId="8" xfId="2" applyFont="1" applyFill="1" applyBorder="1"/>
    <xf numFmtId="44" fontId="18" fillId="0" borderId="0" xfId="2" applyFont="1" applyFill="1" applyBorder="1"/>
    <xf numFmtId="43" fontId="18" fillId="0" borderId="0" xfId="1" applyFont="1" applyFill="1" applyBorder="1"/>
    <xf numFmtId="43" fontId="32" fillId="0" borderId="0" xfId="1" applyFont="1" applyFill="1" applyBorder="1"/>
    <xf numFmtId="43" fontId="32" fillId="0" borderId="0" xfId="1" applyFont="1" applyFill="1"/>
    <xf numFmtId="43" fontId="18" fillId="0" borderId="30" xfId="1" applyFont="1" applyFill="1" applyBorder="1"/>
    <xf numFmtId="165" fontId="18" fillId="0" borderId="31" xfId="2" applyNumberFormat="1" applyFont="1" applyFill="1" applyBorder="1"/>
    <xf numFmtId="165" fontId="30" fillId="2" borderId="31" xfId="2" applyNumberFormat="1" applyFont="1" applyFill="1" applyBorder="1"/>
    <xf numFmtId="165" fontId="30" fillId="2" borderId="32" xfId="2" applyNumberFormat="1" applyFont="1" applyFill="1" applyBorder="1"/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0" borderId="12" xfId="0" applyFont="1" applyBorder="1"/>
    <xf numFmtId="0" fontId="30" fillId="0" borderId="12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2" xfId="0" applyFont="1" applyBorder="1"/>
    <xf numFmtId="0" fontId="18" fillId="0" borderId="12" xfId="0" applyFont="1" applyBorder="1"/>
    <xf numFmtId="6" fontId="18" fillId="0" borderId="12" xfId="0" applyNumberFormat="1" applyFont="1" applyBorder="1" applyAlignment="1">
      <alignment horizontal="center"/>
    </xf>
    <xf numFmtId="6" fontId="18" fillId="0" borderId="10" xfId="0" applyNumberFormat="1" applyFont="1" applyBorder="1"/>
    <xf numFmtId="10" fontId="30" fillId="0" borderId="2" xfId="3" applyNumberFormat="1" applyFont="1" applyFill="1" applyBorder="1" applyAlignment="1">
      <alignment horizontal="center"/>
    </xf>
    <xf numFmtId="10" fontId="30" fillId="0" borderId="0" xfId="3" applyNumberFormat="1" applyFont="1" applyFill="1" applyBorder="1" applyAlignment="1">
      <alignment horizontal="center"/>
    </xf>
    <xf numFmtId="6" fontId="18" fillId="0" borderId="0" xfId="0" applyNumberFormat="1" applyFont="1"/>
    <xf numFmtId="3" fontId="18" fillId="0" borderId="12" xfId="0" applyNumberFormat="1" applyFont="1" applyBorder="1" applyAlignment="1">
      <alignment horizontal="center"/>
    </xf>
    <xf numFmtId="3" fontId="18" fillId="0" borderId="0" xfId="0" applyNumberFormat="1" applyFont="1"/>
    <xf numFmtId="10" fontId="30" fillId="0" borderId="0" xfId="3" applyNumberFormat="1" applyFont="1" applyAlignment="1">
      <alignment horizontal="center"/>
    </xf>
    <xf numFmtId="10" fontId="30" fillId="0" borderId="0" xfId="3" applyNumberFormat="1" applyFont="1" applyFill="1" applyAlignment="1">
      <alignment horizontal="center"/>
    </xf>
    <xf numFmtId="3" fontId="18" fillId="0" borderId="1" xfId="0" applyNumberFormat="1" applyFont="1" applyBorder="1"/>
    <xf numFmtId="10" fontId="30" fillId="0" borderId="1" xfId="3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10" fontId="30" fillId="0" borderId="2" xfId="3" applyNumberFormat="1" applyFont="1" applyBorder="1" applyAlignment="1">
      <alignment horizontal="center"/>
    </xf>
    <xf numFmtId="10" fontId="30" fillId="0" borderId="1" xfId="3" applyNumberFormat="1" applyFont="1" applyBorder="1" applyAlignment="1">
      <alignment horizontal="center"/>
    </xf>
    <xf numFmtId="10" fontId="18" fillId="0" borderId="0" xfId="0" applyNumberFormat="1" applyFont="1" applyAlignment="1">
      <alignment horizontal="center"/>
    </xf>
    <xf numFmtId="10" fontId="18" fillId="0" borderId="0" xfId="0" applyNumberFormat="1" applyFont="1"/>
    <xf numFmtId="165" fontId="30" fillId="0" borderId="0" xfId="2" applyNumberFormat="1" applyFont="1" applyAlignment="1">
      <alignment horizontal="right"/>
    </xf>
    <xf numFmtId="10" fontId="30" fillId="2" borderId="0" xfId="3" applyNumberFormat="1" applyFont="1" applyFill="1" applyAlignment="1">
      <alignment horizontal="center"/>
    </xf>
    <xf numFmtId="10" fontId="30" fillId="0" borderId="0" xfId="0" applyNumberFormat="1" applyFont="1" applyAlignment="1">
      <alignment horizontal="center"/>
    </xf>
    <xf numFmtId="170" fontId="18" fillId="0" borderId="0" xfId="0" applyNumberFormat="1" applyFont="1"/>
    <xf numFmtId="0" fontId="18" fillId="3" borderId="14" xfId="0" applyFont="1" applyFill="1" applyBorder="1" applyAlignment="1">
      <alignment horizontal="center"/>
    </xf>
    <xf numFmtId="0" fontId="18" fillId="3" borderId="15" xfId="0" applyFont="1" applyFill="1" applyBorder="1"/>
    <xf numFmtId="0" fontId="30" fillId="3" borderId="16" xfId="0" applyFont="1" applyFill="1" applyBorder="1" applyAlignment="1">
      <alignment horizontal="center"/>
    </xf>
    <xf numFmtId="166" fontId="30" fillId="2" borderId="17" xfId="1" applyNumberFormat="1" applyFont="1" applyFill="1" applyBorder="1" applyAlignment="1">
      <alignment horizontal="center"/>
    </xf>
    <xf numFmtId="166" fontId="30" fillId="0" borderId="1" xfId="1" applyNumberFormat="1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/>
    <xf numFmtId="166" fontId="18" fillId="0" borderId="18" xfId="1" applyNumberFormat="1" applyFont="1" applyBorder="1"/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166" fontId="18" fillId="0" borderId="20" xfId="1" applyNumberFormat="1" applyFont="1" applyBorder="1"/>
    <xf numFmtId="166" fontId="32" fillId="0" borderId="0" xfId="1" applyNumberFormat="1" applyFont="1" applyFill="1"/>
    <xf numFmtId="165" fontId="30" fillId="0" borderId="0" xfId="2" applyNumberFormat="1" applyFont="1" applyFill="1" applyBorder="1"/>
    <xf numFmtId="165" fontId="30" fillId="2" borderId="0" xfId="2" applyNumberFormat="1" applyFont="1" applyFill="1"/>
    <xf numFmtId="165" fontId="30" fillId="0" borderId="0" xfId="2" applyNumberFormat="1" applyFont="1" applyFill="1"/>
    <xf numFmtId="0" fontId="31" fillId="0" borderId="0" xfId="0" applyFont="1"/>
    <xf numFmtId="44" fontId="30" fillId="0" borderId="0" xfId="2" applyFont="1" applyFill="1"/>
    <xf numFmtId="44" fontId="18" fillId="0" borderId="0" xfId="2" applyFont="1" applyFill="1" applyAlignment="1">
      <alignment horizontal="center"/>
    </xf>
    <xf numFmtId="0" fontId="42" fillId="0" borderId="0" xfId="0" applyFont="1"/>
    <xf numFmtId="44" fontId="30" fillId="0" borderId="0" xfId="2" applyFont="1"/>
    <xf numFmtId="165" fontId="18" fillId="0" borderId="1" xfId="0" applyNumberFormat="1" applyFont="1" applyBorder="1"/>
    <xf numFmtId="44" fontId="43" fillId="0" borderId="0" xfId="0" applyNumberFormat="1" applyFont="1"/>
    <xf numFmtId="165" fontId="38" fillId="0" borderId="0" xfId="0" applyNumberFormat="1" applyFont="1"/>
    <xf numFmtId="165" fontId="43" fillId="0" borderId="0" xfId="0" applyNumberFormat="1" applyFont="1"/>
    <xf numFmtId="0" fontId="43" fillId="0" borderId="0" xfId="0" applyFont="1"/>
    <xf numFmtId="44" fontId="32" fillId="0" borderId="0" xfId="0" applyNumberFormat="1" applyFont="1"/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3" xfId="0" applyFont="1" applyBorder="1" applyAlignment="1">
      <alignment horizontal="center"/>
    </xf>
  </cellXfs>
  <cellStyles count="14">
    <cellStyle name="Comma" xfId="1" builtinId="3"/>
    <cellStyle name="Comma 2" xfId="8" xr:uid="{4C6D47E0-71E3-460C-8A00-F199215C3B25}"/>
    <cellStyle name="Comma 2 2" xfId="12" xr:uid="{941268B0-5A97-4B33-BCDD-F59B8FEB75CF}"/>
    <cellStyle name="Comma 3" xfId="5" xr:uid="{5385DA4F-44F4-4BC7-B764-C7B34E237ABA}"/>
    <cellStyle name="Currency" xfId="2" builtinId="4"/>
    <cellStyle name="Currency 2" xfId="9" xr:uid="{71597793-BAE6-4A5D-BFEE-A089F301DC43}"/>
    <cellStyle name="Currency 3" xfId="10" xr:uid="{8ABA5D2E-E1D8-4B3E-81CD-4EE8F4557EDE}"/>
    <cellStyle name="Currency 4" xfId="6" xr:uid="{EA50008F-B4D0-4269-9208-BFDBA5F75EE3}"/>
    <cellStyle name="Normal" xfId="0" builtinId="0"/>
    <cellStyle name="Normal 2" xfId="7" xr:uid="{35088353-E7DD-4031-96A7-4F56E5FBBD84}"/>
    <cellStyle name="Normal 2 3" xfId="13" xr:uid="{1E07BBC9-D300-4EBF-A104-6C5F5E914D23}"/>
    <cellStyle name="Normal 3" xfId="4" xr:uid="{69697658-F280-414A-8CA4-EB199EFEB40D}"/>
    <cellStyle name="Percent" xfId="3" builtinId="5"/>
    <cellStyle name="Percent 2" xfId="11" xr:uid="{F7441F83-1453-4312-A043-C04100FD9B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26</xdr:row>
      <xdr:rowOff>0</xdr:rowOff>
    </xdr:from>
    <xdr:to>
      <xdr:col>16</xdr:col>
      <xdr:colOff>304800</xdr:colOff>
      <xdr:row>27</xdr:row>
      <xdr:rowOff>123825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EE34C92-207D-4702-ABA9-E9EC6205B986}"/>
            </a:ext>
          </a:extLst>
        </xdr:cNvPr>
        <xdr:cNvSpPr>
          <a:spLocks noChangeAspect="1" noChangeArrowheads="1"/>
        </xdr:cNvSpPr>
      </xdr:nvSpPr>
      <xdr:spPr bwMode="auto">
        <a:xfrm>
          <a:off x="15106650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304800</xdr:colOff>
      <xdr:row>35</xdr:row>
      <xdr:rowOff>133350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4415477-08A4-4C21-AD00-1D4DCC15EEA2}"/>
            </a:ext>
          </a:extLst>
        </xdr:cNvPr>
        <xdr:cNvSpPr>
          <a:spLocks noChangeAspect="1" noChangeArrowheads="1"/>
        </xdr:cNvSpPr>
      </xdr:nvSpPr>
      <xdr:spPr bwMode="auto">
        <a:xfrm>
          <a:off x="15106650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CB74-E02A-4D3F-82F0-09A9D3E7AA4C}">
  <dimension ref="A1:O34"/>
  <sheetViews>
    <sheetView tabSelected="1" zoomScale="70" zoomScaleNormal="70" workbookViewId="0">
      <selection activeCell="I2" sqref="I2"/>
    </sheetView>
  </sheetViews>
  <sheetFormatPr defaultRowHeight="14"/>
  <cols>
    <col min="1" max="1" width="35.83203125" customWidth="1"/>
    <col min="2" max="2" width="17.4140625" style="1" customWidth="1"/>
    <col min="3" max="3" width="15.25" style="2" customWidth="1"/>
    <col min="4" max="4" width="7.1640625" customWidth="1"/>
    <col min="5" max="5" width="20.75" style="3" bestFit="1" customWidth="1"/>
    <col min="6" max="6" width="21.58203125" style="37" customWidth="1"/>
    <col min="7" max="7" width="27.25" style="38" bestFit="1" customWidth="1"/>
    <col min="8" max="8" width="68.58203125" bestFit="1" customWidth="1"/>
    <col min="9" max="9" width="16.4140625" style="3" bestFit="1" customWidth="1"/>
    <col min="10" max="10" width="12.58203125" bestFit="1" customWidth="1"/>
    <col min="11" max="11" width="17.4140625" customWidth="1"/>
    <col min="13" max="13" width="13.25" bestFit="1" customWidth="1"/>
    <col min="15" max="15" width="10.58203125" bestFit="1" customWidth="1"/>
    <col min="17" max="17" width="13.1640625" customWidth="1"/>
  </cols>
  <sheetData>
    <row r="1" spans="1:14" ht="18">
      <c r="A1" s="320" t="s">
        <v>169</v>
      </c>
      <c r="B1" s="320"/>
      <c r="C1" s="320"/>
      <c r="D1" s="320"/>
      <c r="E1" s="320"/>
      <c r="F1" s="320"/>
      <c r="G1" s="320"/>
      <c r="H1" s="320"/>
    </row>
    <row r="2" spans="1:14" ht="17.5">
      <c r="A2" s="321" t="s">
        <v>266</v>
      </c>
      <c r="B2" s="321"/>
      <c r="C2" s="321"/>
      <c r="D2" s="321"/>
      <c r="E2" s="321"/>
      <c r="F2" s="321"/>
      <c r="G2" s="321"/>
      <c r="H2" s="321"/>
    </row>
    <row r="3" spans="1:14" ht="14.5" thickBot="1">
      <c r="A3" s="3"/>
      <c r="B3" s="3"/>
      <c r="C3" s="3"/>
      <c r="D3" s="3"/>
      <c r="F3" s="3"/>
      <c r="G3" s="3"/>
      <c r="H3" s="57"/>
    </row>
    <row r="4" spans="1:14">
      <c r="A4" s="132" t="s">
        <v>170</v>
      </c>
      <c r="B4" s="133" t="s">
        <v>171</v>
      </c>
      <c r="C4" s="134" t="s">
        <v>172</v>
      </c>
      <c r="D4" s="135" t="s">
        <v>173</v>
      </c>
      <c r="E4" s="136" t="s">
        <v>174</v>
      </c>
      <c r="F4" s="137" t="s">
        <v>175</v>
      </c>
      <c r="G4" s="138" t="s">
        <v>176</v>
      </c>
      <c r="H4" s="58" t="s">
        <v>227</v>
      </c>
    </row>
    <row r="5" spans="1:14">
      <c r="A5" s="132"/>
      <c r="B5" s="139"/>
      <c r="C5" s="140"/>
      <c r="D5" s="141"/>
      <c r="E5" s="142"/>
      <c r="F5" s="143"/>
      <c r="G5" s="144"/>
      <c r="H5" s="59"/>
    </row>
    <row r="6" spans="1:14">
      <c r="A6" s="145" t="s">
        <v>177</v>
      </c>
      <c r="B6" s="140">
        <v>317554</v>
      </c>
      <c r="C6" s="146">
        <f>SUM(C7:C10)</f>
        <v>102011.79495582302</v>
      </c>
      <c r="D6" s="135" t="s">
        <v>18</v>
      </c>
      <c r="E6" s="142"/>
      <c r="F6" s="143"/>
      <c r="G6" s="147"/>
      <c r="H6" s="60"/>
      <c r="I6"/>
    </row>
    <row r="7" spans="1:14">
      <c r="A7" s="148" t="s">
        <v>178</v>
      </c>
      <c r="B7" s="140"/>
      <c r="C7" s="146">
        <f>+G7</f>
        <v>10291.925140000001</v>
      </c>
      <c r="D7" s="135" t="s">
        <v>18</v>
      </c>
      <c r="E7" s="149" t="s">
        <v>179</v>
      </c>
      <c r="F7" s="150" t="s">
        <v>136</v>
      </c>
      <c r="G7" s="151">
        <f>+COLA!B9</f>
        <v>10291.925140000001</v>
      </c>
      <c r="H7" s="60"/>
      <c r="I7"/>
      <c r="J7" s="6"/>
    </row>
    <row r="8" spans="1:14">
      <c r="A8" s="148" t="s">
        <v>180</v>
      </c>
      <c r="B8" s="140"/>
      <c r="C8" s="146">
        <f>+G8</f>
        <v>6351.08</v>
      </c>
      <c r="D8" s="135" t="s">
        <v>18</v>
      </c>
      <c r="E8" s="149" t="s">
        <v>20</v>
      </c>
      <c r="F8" s="150" t="s">
        <v>137</v>
      </c>
      <c r="G8" s="151">
        <f>+Merit!C10</f>
        <v>6351.08</v>
      </c>
      <c r="H8" s="61"/>
      <c r="I8"/>
      <c r="J8" s="6"/>
    </row>
    <row r="9" spans="1:14">
      <c r="A9" s="148"/>
      <c r="B9" s="140"/>
      <c r="C9" s="146"/>
      <c r="D9" s="135"/>
      <c r="E9" s="149"/>
      <c r="F9" s="150"/>
      <c r="G9" s="151"/>
      <c r="H9" s="61"/>
      <c r="I9"/>
      <c r="J9" s="6"/>
    </row>
    <row r="10" spans="1:14">
      <c r="A10" s="152" t="s">
        <v>181</v>
      </c>
      <c r="B10" s="140"/>
      <c r="C10" s="146">
        <v>85368.789815823024</v>
      </c>
      <c r="D10" s="135" t="s">
        <v>18</v>
      </c>
      <c r="E10" s="149" t="s">
        <v>79</v>
      </c>
      <c r="F10" s="150" t="s">
        <v>229</v>
      </c>
      <c r="G10" s="151">
        <f>+'New Employees '!L38</f>
        <v>44596.544209653199</v>
      </c>
      <c r="H10" s="60" t="s">
        <v>228</v>
      </c>
      <c r="I10" s="19"/>
    </row>
    <row r="11" spans="1:14">
      <c r="A11" s="153"/>
      <c r="B11" s="140"/>
      <c r="C11" s="154"/>
      <c r="D11" s="155"/>
      <c r="E11" s="149" t="s">
        <v>182</v>
      </c>
      <c r="F11" s="150" t="s">
        <v>139</v>
      </c>
      <c r="G11" s="151">
        <f>+CSRs!K17</f>
        <v>39323.125905000008</v>
      </c>
      <c r="H11" s="61"/>
      <c r="I11" s="6"/>
      <c r="J11" s="6"/>
    </row>
    <row r="12" spans="1:14">
      <c r="A12" s="156" t="s">
        <v>183</v>
      </c>
      <c r="B12" s="146">
        <f>SUM(B13:B24)</f>
        <v>179639</v>
      </c>
      <c r="C12" s="140"/>
      <c r="D12" s="135"/>
      <c r="E12" s="149"/>
      <c r="F12" s="150"/>
      <c r="G12" s="151"/>
      <c r="H12" s="61"/>
      <c r="J12" s="2"/>
    </row>
    <row r="13" spans="1:14">
      <c r="A13" s="148" t="s">
        <v>184</v>
      </c>
      <c r="B13" s="146">
        <f>+'Employee Overhead'!D45</f>
        <v>27367.789583460912</v>
      </c>
      <c r="C13" s="140">
        <f>+G13</f>
        <v>-27367.789583460912</v>
      </c>
      <c r="D13" s="135" t="s">
        <v>159</v>
      </c>
      <c r="E13" s="149" t="s">
        <v>1</v>
      </c>
      <c r="F13" s="150" t="s">
        <v>185</v>
      </c>
      <c r="G13" s="151">
        <f>+'Employee Overhead'!D47</f>
        <v>-27367.789583460912</v>
      </c>
      <c r="H13" s="61"/>
      <c r="I13" s="35"/>
      <c r="J13" s="2"/>
    </row>
    <row r="14" spans="1:14">
      <c r="A14" s="148"/>
      <c r="B14" s="146"/>
      <c r="C14" s="140"/>
      <c r="D14" s="135"/>
      <c r="E14" s="149"/>
      <c r="F14" s="150"/>
      <c r="G14" s="157"/>
      <c r="H14" s="62"/>
      <c r="I14" s="35"/>
      <c r="J14" s="2"/>
    </row>
    <row r="15" spans="1:14">
      <c r="A15" s="148" t="s">
        <v>186</v>
      </c>
      <c r="B15" s="146">
        <f>+'Employee Overhead'!F45</f>
        <v>48522.356276417806</v>
      </c>
      <c r="C15" s="140">
        <f>SUM(G15:G16)</f>
        <v>12745.789372272191</v>
      </c>
      <c r="D15" s="135" t="s">
        <v>2</v>
      </c>
      <c r="E15" s="149" t="s">
        <v>79</v>
      </c>
      <c r="F15" s="150" t="s">
        <v>142</v>
      </c>
      <c r="G15" s="151">
        <f>+'New Employees '!H55</f>
        <v>6773.4244357246635</v>
      </c>
      <c r="H15" s="61"/>
      <c r="J15" s="2"/>
      <c r="N15" s="6"/>
    </row>
    <row r="16" spans="1:14">
      <c r="A16" s="148"/>
      <c r="B16" s="146"/>
      <c r="C16" s="140"/>
      <c r="D16" s="135"/>
      <c r="E16" s="149" t="s">
        <v>182</v>
      </c>
      <c r="F16" s="150" t="s">
        <v>145</v>
      </c>
      <c r="G16" s="151">
        <f>+CSRs!H25</f>
        <v>5972.3649365475276</v>
      </c>
      <c r="H16" s="61"/>
      <c r="I16" s="36"/>
      <c r="J16" s="2"/>
      <c r="N16" s="6"/>
    </row>
    <row r="17" spans="1:15">
      <c r="A17" s="148"/>
      <c r="B17" s="146"/>
      <c r="C17" s="140"/>
      <c r="D17" s="135"/>
      <c r="E17" s="149"/>
      <c r="F17" s="150"/>
      <c r="G17" s="151"/>
      <c r="H17" s="61"/>
      <c r="I17" s="36"/>
      <c r="J17" s="2"/>
      <c r="N17" s="6"/>
    </row>
    <row r="18" spans="1:15">
      <c r="A18" s="148" t="s">
        <v>187</v>
      </c>
      <c r="B18" s="146">
        <f>+'Employee Overhead'!H45</f>
        <v>1779.4477383883373</v>
      </c>
      <c r="C18" s="140">
        <f>SUM(G18:G19)</f>
        <v>467.42301514089326</v>
      </c>
      <c r="D18" s="135" t="s">
        <v>2</v>
      </c>
      <c r="E18" s="149" t="s">
        <v>79</v>
      </c>
      <c r="F18" s="150" t="s">
        <v>147</v>
      </c>
      <c r="G18" s="151">
        <f>+'New Employees '!I55</f>
        <v>248.4000307947199</v>
      </c>
      <c r="H18" s="61"/>
      <c r="J18" s="2"/>
    </row>
    <row r="19" spans="1:15">
      <c r="A19" s="148"/>
      <c r="B19" s="146"/>
      <c r="C19" s="140"/>
      <c r="D19" s="135"/>
      <c r="E19" s="149" t="s">
        <v>188</v>
      </c>
      <c r="F19" s="150" t="s">
        <v>148</v>
      </c>
      <c r="G19" s="151">
        <f>+CSRs!I25</f>
        <v>219.02298434617336</v>
      </c>
      <c r="H19" s="60"/>
      <c r="I19" s="35"/>
      <c r="J19" s="2"/>
    </row>
    <row r="20" spans="1:15">
      <c r="A20" s="148"/>
      <c r="B20" s="146"/>
      <c r="C20" s="140"/>
      <c r="D20" s="135"/>
      <c r="E20" s="149"/>
      <c r="F20" s="150"/>
      <c r="G20" s="151"/>
      <c r="H20" s="61"/>
      <c r="I20" s="35"/>
      <c r="J20" s="2"/>
    </row>
    <row r="21" spans="1:15">
      <c r="A21" s="148" t="s">
        <v>189</v>
      </c>
      <c r="B21" s="146">
        <f>+'Employee Overhead'!J45</f>
        <v>38384.699635453595</v>
      </c>
      <c r="C21" s="140">
        <f>SUM(G21:G22)</f>
        <v>10082.842924699438</v>
      </c>
      <c r="D21" s="135" t="s">
        <v>2</v>
      </c>
      <c r="E21" s="149" t="s">
        <v>79</v>
      </c>
      <c r="F21" s="150" t="s">
        <v>150</v>
      </c>
      <c r="G21" s="151">
        <f>+'New Employees '!J63</f>
        <v>5358.2695157591252</v>
      </c>
      <c r="H21" s="61"/>
      <c r="I21" s="36"/>
      <c r="J21" s="2"/>
      <c r="K21" s="6"/>
    </row>
    <row r="22" spans="1:15">
      <c r="A22" s="148"/>
      <c r="B22" s="146"/>
      <c r="C22" s="140"/>
      <c r="D22" s="135"/>
      <c r="E22" s="149" t="s">
        <v>149</v>
      </c>
      <c r="F22" s="150" t="s">
        <v>151</v>
      </c>
      <c r="G22" s="151">
        <f>+CSRs!J25</f>
        <v>4724.573408940314</v>
      </c>
      <c r="H22" s="61"/>
      <c r="I22" s="36"/>
      <c r="J22" s="2"/>
      <c r="K22" s="6"/>
    </row>
    <row r="23" spans="1:15">
      <c r="A23" s="148"/>
      <c r="B23" s="146"/>
      <c r="C23" s="140"/>
      <c r="D23" s="135"/>
      <c r="E23" s="149"/>
      <c r="F23" s="150"/>
      <c r="G23" s="151"/>
      <c r="H23" s="61"/>
      <c r="I23" s="36"/>
      <c r="J23" s="2"/>
      <c r="K23" s="6"/>
    </row>
    <row r="24" spans="1:15">
      <c r="A24" s="148" t="s">
        <v>190</v>
      </c>
      <c r="B24" s="146">
        <f>+'Employee Overhead'!L45</f>
        <v>63584.706766279356</v>
      </c>
      <c r="C24" s="140">
        <f>SUM(G24:G25)</f>
        <v>16702.347988293492</v>
      </c>
      <c r="D24" s="135" t="s">
        <v>2</v>
      </c>
      <c r="E24" s="149" t="s">
        <v>152</v>
      </c>
      <c r="F24" s="150" t="s">
        <v>154</v>
      </c>
      <c r="G24" s="151">
        <f>+'New Employees '!K63</f>
        <v>8876.0365241871059</v>
      </c>
      <c r="H24" s="61"/>
      <c r="I24" s="36"/>
      <c r="K24" s="6"/>
    </row>
    <row r="25" spans="1:15">
      <c r="A25" s="148"/>
      <c r="B25" s="146"/>
      <c r="C25" s="140"/>
      <c r="D25" s="135"/>
      <c r="E25" s="149" t="s">
        <v>153</v>
      </c>
      <c r="F25" s="150" t="s">
        <v>157</v>
      </c>
      <c r="G25" s="151">
        <f>+CSRs!K25</f>
        <v>7826.3114641063858</v>
      </c>
      <c r="H25" s="61"/>
      <c r="I25" s="36"/>
      <c r="K25" s="6"/>
    </row>
    <row r="26" spans="1:15">
      <c r="A26" s="148"/>
      <c r="B26" s="146"/>
      <c r="C26" s="140"/>
      <c r="D26" s="135"/>
      <c r="E26" s="149"/>
      <c r="F26" s="150"/>
      <c r="G26" s="151"/>
      <c r="H26" s="61"/>
      <c r="I26" s="36"/>
      <c r="K26" s="6"/>
    </row>
    <row r="27" spans="1:15">
      <c r="A27" s="148" t="s">
        <v>178</v>
      </c>
      <c r="B27" s="140"/>
      <c r="C27" s="140">
        <f>+COLA!B22</f>
        <v>4578.0518748149498</v>
      </c>
      <c r="D27" s="135" t="s">
        <v>21</v>
      </c>
      <c r="E27" s="149" t="s">
        <v>19</v>
      </c>
      <c r="F27" s="150" t="s">
        <v>155</v>
      </c>
      <c r="G27" s="151">
        <f>+COLA!B22</f>
        <v>4578.0518748149498</v>
      </c>
      <c r="H27" s="61"/>
      <c r="I27" s="36"/>
      <c r="K27" s="2"/>
      <c r="O27" s="6"/>
    </row>
    <row r="28" spans="1:15">
      <c r="A28" s="148" t="s">
        <v>180</v>
      </c>
      <c r="B28" s="140"/>
      <c r="C28" s="140">
        <f>+Merit!C21</f>
        <v>2825.0859999999998</v>
      </c>
      <c r="D28" s="135" t="s">
        <v>21</v>
      </c>
      <c r="E28" s="149" t="s">
        <v>20</v>
      </c>
      <c r="F28" s="150" t="s">
        <v>156</v>
      </c>
      <c r="G28" s="151">
        <f>+Merit!C21</f>
        <v>2825.0859999999998</v>
      </c>
      <c r="H28" s="61"/>
      <c r="K28" s="6"/>
    </row>
    <row r="29" spans="1:15">
      <c r="A29" s="158"/>
      <c r="B29" s="140"/>
      <c r="C29" s="140"/>
      <c r="D29" s="135"/>
      <c r="E29" s="149"/>
      <c r="F29" s="150"/>
      <c r="G29" s="151"/>
      <c r="H29" s="61"/>
      <c r="K29" s="6"/>
    </row>
    <row r="30" spans="1:15">
      <c r="A30" s="156" t="s">
        <v>24</v>
      </c>
      <c r="B30" s="139"/>
      <c r="C30" s="140"/>
      <c r="D30" s="135" t="s">
        <v>22</v>
      </c>
      <c r="E30" s="149" t="s">
        <v>191</v>
      </c>
      <c r="F30" s="150" t="s">
        <v>261</v>
      </c>
      <c r="G30" s="151">
        <f>+'Principal &amp; Interest'!E29</f>
        <v>700450.68666666665</v>
      </c>
      <c r="H30" s="60" t="s">
        <v>260</v>
      </c>
    </row>
    <row r="31" spans="1:15">
      <c r="A31" s="132"/>
      <c r="B31" s="139"/>
      <c r="C31" s="140"/>
      <c r="D31" s="135"/>
      <c r="E31" s="149"/>
      <c r="F31" s="150"/>
      <c r="G31" s="151"/>
      <c r="H31" s="61"/>
      <c r="J31" s="6"/>
    </row>
    <row r="32" spans="1:15" ht="14.5" thickBot="1">
      <c r="A32" s="159" t="s">
        <v>26</v>
      </c>
      <c r="B32" s="139"/>
      <c r="C32" s="140"/>
      <c r="D32" s="135" t="s">
        <v>23</v>
      </c>
      <c r="E32" s="160" t="s">
        <v>191</v>
      </c>
      <c r="F32" s="161" t="s">
        <v>262</v>
      </c>
      <c r="G32" s="162">
        <f>+'Principal &amp; Interest'!E31</f>
        <v>140090.13733333335</v>
      </c>
      <c r="H32" s="63" t="s">
        <v>260</v>
      </c>
    </row>
    <row r="33" spans="8:8">
      <c r="H33" s="57"/>
    </row>
    <row r="34" spans="8:8">
      <c r="H34" s="57"/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EB00-DD26-45F5-A806-F4C9E94555FB}">
  <dimension ref="A1:E65"/>
  <sheetViews>
    <sheetView workbookViewId="0">
      <selection activeCell="A4" sqref="A4"/>
    </sheetView>
  </sheetViews>
  <sheetFormatPr defaultColWidth="9.1640625" defaultRowHeight="13"/>
  <cols>
    <col min="1" max="1" width="48" style="81" customWidth="1"/>
    <col min="2" max="2" width="13.58203125" style="81" customWidth="1"/>
    <col min="3" max="3" width="14.25" style="81" bestFit="1" customWidth="1"/>
    <col min="4" max="4" width="18.1640625" style="81" customWidth="1"/>
    <col min="5" max="5" width="14.4140625" style="81" bestFit="1" customWidth="1"/>
    <col min="6" max="6" width="11.25" style="81" bestFit="1" customWidth="1"/>
    <col min="7" max="7" width="9.1640625" style="81"/>
    <col min="8" max="8" width="21" style="81" bestFit="1" customWidth="1"/>
    <col min="9" max="10" width="9.1640625" style="81"/>
    <col min="11" max="11" width="15.1640625" style="81" bestFit="1" customWidth="1"/>
    <col min="12" max="15" width="9.1640625" style="81"/>
    <col min="16" max="17" width="11.4140625" style="81" bestFit="1" customWidth="1"/>
    <col min="18" max="16384" width="9.1640625" style="81"/>
  </cols>
  <sheetData>
    <row r="1" spans="1:5" ht="15.5">
      <c r="A1" s="45" t="s">
        <v>199</v>
      </c>
    </row>
    <row r="2" spans="1:5">
      <c r="A2" s="7" t="s">
        <v>200</v>
      </c>
    </row>
    <row r="3" spans="1:5">
      <c r="A3" s="7" t="s">
        <v>201</v>
      </c>
    </row>
    <row r="4" spans="1:5">
      <c r="C4" s="163"/>
    </row>
    <row r="5" spans="1:5">
      <c r="C5" s="163"/>
    </row>
    <row r="6" spans="1:5">
      <c r="A6" s="39" t="s">
        <v>195</v>
      </c>
      <c r="D6" s="164"/>
      <c r="E6" s="165"/>
    </row>
    <row r="7" spans="1:5">
      <c r="A7" s="166" t="s">
        <v>0</v>
      </c>
      <c r="B7" s="167">
        <f>+'Pro Forma'!B6</f>
        <v>317554</v>
      </c>
      <c r="E7" s="164"/>
    </row>
    <row r="8" spans="1:5">
      <c r="A8" s="166" t="s">
        <v>11</v>
      </c>
      <c r="B8" s="168">
        <v>3.2410000000000001E-2</v>
      </c>
      <c r="D8" s="169"/>
      <c r="E8" s="164"/>
    </row>
    <row r="9" spans="1:5" ht="13.5" thickBot="1">
      <c r="A9" s="40" t="s">
        <v>194</v>
      </c>
      <c r="B9" s="41">
        <f>+B7*B8</f>
        <v>10291.925140000001</v>
      </c>
      <c r="E9" s="164"/>
    </row>
    <row r="10" spans="1:5" ht="13.5" thickTop="1">
      <c r="A10" s="165"/>
      <c r="B10" s="170" t="s">
        <v>136</v>
      </c>
      <c r="D10" s="164"/>
      <c r="E10" s="165"/>
    </row>
    <row r="11" spans="1:5">
      <c r="E11" s="171"/>
    </row>
    <row r="12" spans="1:5">
      <c r="A12" s="39" t="s">
        <v>196</v>
      </c>
    </row>
    <row r="13" spans="1:5">
      <c r="A13" s="166" t="s">
        <v>3</v>
      </c>
      <c r="B13" s="172">
        <f>+'Employee Overhead'!D45</f>
        <v>27367.789583460912</v>
      </c>
    </row>
    <row r="14" spans="1:5">
      <c r="A14" s="166" t="s">
        <v>141</v>
      </c>
      <c r="B14" s="165">
        <f>+'Employee Overhead'!F45</f>
        <v>48522.356276417806</v>
      </c>
    </row>
    <row r="15" spans="1:5">
      <c r="A15" s="166" t="s">
        <v>5</v>
      </c>
      <c r="B15" s="165">
        <f>+'Employee Overhead'!H45</f>
        <v>1779.4477383883373</v>
      </c>
    </row>
    <row r="16" spans="1:5">
      <c r="A16" s="166" t="s">
        <v>91</v>
      </c>
      <c r="B16" s="165">
        <f>+'Employee Overhead'!J45</f>
        <v>38384.699635453595</v>
      </c>
    </row>
    <row r="17" spans="1:5" ht="14.5">
      <c r="A17" s="166" t="s">
        <v>6</v>
      </c>
      <c r="B17" s="173">
        <f>+'Employee Overhead'!L45</f>
        <v>63584.706766279356</v>
      </c>
    </row>
    <row r="18" spans="1:5">
      <c r="A18" s="42" t="s">
        <v>0</v>
      </c>
      <c r="B18" s="165">
        <f>SUM(B13:B17)</f>
        <v>179639</v>
      </c>
    </row>
    <row r="19" spans="1:5" ht="14">
      <c r="A19" s="42" t="s">
        <v>197</v>
      </c>
      <c r="B19" s="43">
        <f>-B16</f>
        <v>-38384.699635453595</v>
      </c>
    </row>
    <row r="20" spans="1:5">
      <c r="A20" s="42" t="s">
        <v>108</v>
      </c>
      <c r="B20" s="44">
        <f>SUM(B18:B19)</f>
        <v>141254.30036454642</v>
      </c>
    </row>
    <row r="21" spans="1:5">
      <c r="A21" s="30" t="s">
        <v>11</v>
      </c>
      <c r="B21" s="168">
        <v>3.2410000000000001E-2</v>
      </c>
    </row>
    <row r="22" spans="1:5" ht="13.5" thickBot="1">
      <c r="A22" s="40" t="s">
        <v>198</v>
      </c>
      <c r="B22" s="41">
        <f>+B20*B21</f>
        <v>4578.0518748149498</v>
      </c>
    </row>
    <row r="23" spans="1:5" ht="13.5" thickTop="1">
      <c r="B23" s="174" t="s">
        <v>155</v>
      </c>
    </row>
    <row r="27" spans="1:5">
      <c r="A27" s="175" t="s">
        <v>16</v>
      </c>
      <c r="C27" s="176"/>
      <c r="E27" s="171"/>
    </row>
    <row r="28" spans="1:5">
      <c r="A28" s="177" t="s">
        <v>12</v>
      </c>
      <c r="B28" s="178">
        <v>307.67099999999999</v>
      </c>
      <c r="E28" s="171"/>
    </row>
    <row r="29" spans="1:5">
      <c r="A29" s="177" t="s">
        <v>14</v>
      </c>
      <c r="B29" s="179">
        <v>298.012</v>
      </c>
      <c r="E29" s="171"/>
    </row>
    <row r="30" spans="1:5">
      <c r="A30" s="177" t="s">
        <v>13</v>
      </c>
      <c r="B30" s="180">
        <f>+B28-B29</f>
        <v>9.6589999999999918</v>
      </c>
      <c r="E30" s="171"/>
    </row>
    <row r="31" spans="1:5">
      <c r="A31" s="177" t="s">
        <v>15</v>
      </c>
      <c r="B31" s="181">
        <f>+B29</f>
        <v>298.012</v>
      </c>
      <c r="E31" s="171"/>
    </row>
    <row r="32" spans="1:5">
      <c r="A32" s="177" t="s">
        <v>7</v>
      </c>
      <c r="B32" s="182">
        <f>+B30/B31</f>
        <v>3.2411446518932095E-2</v>
      </c>
      <c r="E32" s="171"/>
    </row>
    <row r="33" spans="1:5">
      <c r="A33" s="177" t="s">
        <v>8</v>
      </c>
      <c r="B33" s="183" t="s">
        <v>9</v>
      </c>
      <c r="E33" s="171"/>
    </row>
    <row r="34" spans="1:5">
      <c r="A34" s="184" t="s">
        <v>10</v>
      </c>
      <c r="B34" s="185">
        <f>+B32</f>
        <v>3.2411446518932095E-2</v>
      </c>
      <c r="E34" s="171"/>
    </row>
    <row r="35" spans="1:5">
      <c r="A35" s="166"/>
      <c r="B35" s="165"/>
      <c r="C35" s="165"/>
      <c r="E35" s="171"/>
    </row>
    <row r="36" spans="1:5">
      <c r="B36" s="186"/>
      <c r="C36" s="187"/>
      <c r="E36" s="171"/>
    </row>
    <row r="37" spans="1:5">
      <c r="A37" s="81" t="s">
        <v>27</v>
      </c>
      <c r="E37" s="171"/>
    </row>
    <row r="38" spans="1:5">
      <c r="A38" s="81" t="s">
        <v>28</v>
      </c>
      <c r="E38" s="171"/>
    </row>
    <row r="39" spans="1:5">
      <c r="E39" s="171"/>
    </row>
    <row r="40" spans="1:5">
      <c r="E40" s="171"/>
    </row>
    <row r="41" spans="1:5">
      <c r="E41" s="171"/>
    </row>
    <row r="42" spans="1:5">
      <c r="E42" s="171"/>
    </row>
    <row r="43" spans="1:5">
      <c r="E43" s="171"/>
    </row>
    <row r="44" spans="1:5">
      <c r="E44" s="171"/>
    </row>
    <row r="45" spans="1:5">
      <c r="E45" s="171"/>
    </row>
    <row r="46" spans="1:5">
      <c r="E46" s="171"/>
    </row>
    <row r="47" spans="1:5">
      <c r="E47" s="171"/>
    </row>
    <row r="48" spans="1:5">
      <c r="E48" s="171"/>
    </row>
    <row r="49" spans="5:5">
      <c r="E49" s="171"/>
    </row>
    <row r="50" spans="5:5">
      <c r="E50" s="171"/>
    </row>
    <row r="51" spans="5:5">
      <c r="E51" s="171"/>
    </row>
    <row r="52" spans="5:5">
      <c r="E52" s="171"/>
    </row>
    <row r="53" spans="5:5">
      <c r="E53" s="171"/>
    </row>
    <row r="54" spans="5:5">
      <c r="E54" s="171"/>
    </row>
    <row r="55" spans="5:5">
      <c r="E55" s="171"/>
    </row>
    <row r="56" spans="5:5">
      <c r="E56" s="171"/>
    </row>
    <row r="57" spans="5:5">
      <c r="E57" s="171"/>
    </row>
    <row r="58" spans="5:5">
      <c r="E58" s="171"/>
    </row>
    <row r="59" spans="5:5">
      <c r="E59" s="171"/>
    </row>
    <row r="60" spans="5:5">
      <c r="E60" s="171"/>
    </row>
    <row r="61" spans="5:5">
      <c r="E61" s="171"/>
    </row>
    <row r="62" spans="5:5">
      <c r="E62" s="171"/>
    </row>
    <row r="63" spans="5:5">
      <c r="E63" s="171"/>
    </row>
    <row r="64" spans="5:5">
      <c r="E64" s="171"/>
    </row>
    <row r="65" spans="5:5">
      <c r="E65" s="1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9457-B480-4276-8B3F-A12E54F81FED}">
  <dimension ref="A1:D23"/>
  <sheetViews>
    <sheetView workbookViewId="0">
      <selection activeCell="B10" sqref="B10"/>
    </sheetView>
  </sheetViews>
  <sheetFormatPr defaultColWidth="9.1640625" defaultRowHeight="13"/>
  <cols>
    <col min="1" max="1" width="9.1640625" style="81"/>
    <col min="2" max="2" width="24.4140625" style="81" customWidth="1"/>
    <col min="3" max="3" width="14.25" style="81" bestFit="1" customWidth="1"/>
    <col min="4" max="16384" width="9.1640625" style="81"/>
  </cols>
  <sheetData>
    <row r="1" spans="1:4" ht="16">
      <c r="A1" s="45" t="s">
        <v>202</v>
      </c>
      <c r="B1" s="194"/>
      <c r="C1" s="188"/>
    </row>
    <row r="2" spans="1:4">
      <c r="A2" s="7" t="s">
        <v>200</v>
      </c>
      <c r="B2" s="165"/>
      <c r="C2" s="188"/>
    </row>
    <row r="3" spans="1:4">
      <c r="A3" s="30" t="s">
        <v>203</v>
      </c>
      <c r="B3" s="165"/>
      <c r="C3" s="188"/>
    </row>
    <row r="4" spans="1:4">
      <c r="A4" s="7" t="s">
        <v>201</v>
      </c>
      <c r="B4" s="165"/>
      <c r="C4" s="188"/>
    </row>
    <row r="5" spans="1:4">
      <c r="A5" s="166"/>
      <c r="B5" s="165"/>
      <c r="C5" s="188"/>
    </row>
    <row r="6" spans="1:4">
      <c r="A6" s="166"/>
      <c r="B6" s="165"/>
      <c r="C6" s="188"/>
    </row>
    <row r="7" spans="1:4">
      <c r="A7" s="39" t="s">
        <v>204</v>
      </c>
      <c r="B7" s="189"/>
      <c r="C7" s="188"/>
    </row>
    <row r="8" spans="1:4">
      <c r="A8" s="166" t="s">
        <v>0</v>
      </c>
      <c r="C8" s="167">
        <f>+'Pro Forma'!B6</f>
        <v>317554</v>
      </c>
      <c r="D8" s="164"/>
    </row>
    <row r="9" spans="1:4">
      <c r="A9" s="166" t="s">
        <v>17</v>
      </c>
      <c r="C9" s="168">
        <v>0.02</v>
      </c>
      <c r="D9" s="164"/>
    </row>
    <row r="10" spans="1:4" ht="14.5">
      <c r="A10" s="40" t="s">
        <v>206</v>
      </c>
      <c r="B10" s="186"/>
      <c r="C10" s="190">
        <f>+C8*C9</f>
        <v>6351.08</v>
      </c>
    </row>
    <row r="11" spans="1:4">
      <c r="C11" s="174" t="s">
        <v>137</v>
      </c>
      <c r="D11" s="164"/>
    </row>
    <row r="12" spans="1:4">
      <c r="D12" s="164"/>
    </row>
    <row r="13" spans="1:4">
      <c r="D13" s="164"/>
    </row>
    <row r="14" spans="1:4">
      <c r="A14" s="39" t="s">
        <v>205</v>
      </c>
      <c r="B14" s="191"/>
    </row>
    <row r="15" spans="1:4">
      <c r="A15" s="166" t="s">
        <v>3</v>
      </c>
      <c r="C15" s="172">
        <v>27367.79</v>
      </c>
    </row>
    <row r="16" spans="1:4">
      <c r="A16" s="166" t="s">
        <v>141</v>
      </c>
      <c r="C16" s="165">
        <v>48522.36</v>
      </c>
    </row>
    <row r="17" spans="1:4">
      <c r="A17" s="166" t="s">
        <v>5</v>
      </c>
      <c r="C17" s="165">
        <v>1779.44</v>
      </c>
    </row>
    <row r="18" spans="1:4" ht="14.5">
      <c r="A18" s="166" t="s">
        <v>6</v>
      </c>
      <c r="C18" s="173">
        <v>63584.71</v>
      </c>
    </row>
    <row r="19" spans="1:4">
      <c r="B19" s="192"/>
      <c r="C19" s="193">
        <f>SUM(C15:C18)</f>
        <v>141254.29999999999</v>
      </c>
      <c r="D19" s="164"/>
    </row>
    <row r="20" spans="1:4">
      <c r="A20" s="166" t="s">
        <v>17</v>
      </c>
      <c r="C20" s="168">
        <v>0.02</v>
      </c>
      <c r="D20" s="164"/>
    </row>
    <row r="21" spans="1:4" ht="14.5">
      <c r="A21" s="40" t="s">
        <v>207</v>
      </c>
      <c r="B21" s="186"/>
      <c r="C21" s="190">
        <f>+C19*C20</f>
        <v>2825.0859999999998</v>
      </c>
    </row>
    <row r="22" spans="1:4">
      <c r="C22" s="174" t="s">
        <v>156</v>
      </c>
      <c r="D22" s="164"/>
    </row>
    <row r="23" spans="1:4">
      <c r="D23" s="1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3218-9C66-4FCD-88D5-4A5E6C18B380}">
  <sheetPr>
    <pageSetUpPr fitToPage="1"/>
  </sheetPr>
  <dimension ref="A1:R64"/>
  <sheetViews>
    <sheetView workbookViewId="0">
      <selection activeCell="B21" sqref="B21"/>
    </sheetView>
  </sheetViews>
  <sheetFormatPr defaultColWidth="8.83203125" defaultRowHeight="12.5"/>
  <cols>
    <col min="1" max="1" width="9.25" style="7" customWidth="1"/>
    <col min="2" max="2" width="22.1640625" style="7" bestFit="1" customWidth="1"/>
    <col min="3" max="3" width="19.4140625" style="7" customWidth="1"/>
    <col min="4" max="4" width="12.58203125" style="7" customWidth="1"/>
    <col min="5" max="5" width="12.25" style="7" bestFit="1" customWidth="1"/>
    <col min="6" max="6" width="13.83203125" style="7" customWidth="1"/>
    <col min="7" max="7" width="12.75" style="7" bestFit="1" customWidth="1"/>
    <col min="8" max="8" width="14.25" style="7" bestFit="1" customWidth="1"/>
    <col min="9" max="9" width="15.4140625" style="7" customWidth="1"/>
    <col min="10" max="10" width="11.58203125" style="7" bestFit="1" customWidth="1"/>
    <col min="11" max="11" width="15" style="7" customWidth="1"/>
    <col min="12" max="12" width="22.83203125" style="7" bestFit="1" customWidth="1"/>
    <col min="13" max="13" width="20.75" style="7" customWidth="1"/>
    <col min="14" max="14" width="13.25" style="7" customWidth="1"/>
    <col min="15" max="15" width="12.58203125" style="7" bestFit="1" customWidth="1"/>
    <col min="16" max="16" width="13.58203125" style="7" bestFit="1" customWidth="1"/>
    <col min="17" max="17" width="13.75" style="7" customWidth="1"/>
    <col min="18" max="18" width="14.25" style="7" bestFit="1" customWidth="1"/>
    <col min="19" max="19" width="13.58203125" style="7" bestFit="1" customWidth="1"/>
    <col min="20" max="21" width="11.25" style="7" bestFit="1" customWidth="1"/>
    <col min="22" max="16384" width="8.83203125" style="7"/>
  </cols>
  <sheetData>
    <row r="1" spans="1:16" ht="15.5">
      <c r="A1" s="45" t="s">
        <v>79</v>
      </c>
    </row>
    <row r="2" spans="1:16">
      <c r="A2" s="7" t="s">
        <v>208</v>
      </c>
    </row>
    <row r="3" spans="1:16">
      <c r="A3" s="7" t="s">
        <v>209</v>
      </c>
    </row>
    <row r="4" spans="1:16">
      <c r="A4" s="8"/>
    </row>
    <row r="5" spans="1:16">
      <c r="A5" s="8"/>
    </row>
    <row r="6" spans="1:16" ht="13">
      <c r="A6" s="9" t="s">
        <v>29</v>
      </c>
    </row>
    <row r="7" spans="1:16">
      <c r="A7" s="10"/>
      <c r="G7" s="11">
        <v>44927</v>
      </c>
      <c r="O7" s="325" t="s">
        <v>30</v>
      </c>
      <c r="P7" s="325"/>
    </row>
    <row r="8" spans="1:16" s="13" customFormat="1">
      <c r="A8" s="12" t="s">
        <v>31</v>
      </c>
      <c r="B8" s="12" t="s">
        <v>32</v>
      </c>
      <c r="C8" s="12" t="s">
        <v>80</v>
      </c>
      <c r="D8" s="12" t="s">
        <v>33</v>
      </c>
      <c r="E8" s="12" t="s">
        <v>34</v>
      </c>
      <c r="F8" s="12" t="s">
        <v>35</v>
      </c>
      <c r="G8" s="12" t="s">
        <v>36</v>
      </c>
      <c r="H8" s="12" t="s">
        <v>37</v>
      </c>
      <c r="I8" s="12" t="s">
        <v>38</v>
      </c>
      <c r="J8" s="12" t="s">
        <v>39</v>
      </c>
      <c r="K8" s="12" t="s">
        <v>40</v>
      </c>
      <c r="L8" s="12" t="s">
        <v>41</v>
      </c>
      <c r="M8" s="12" t="s">
        <v>42</v>
      </c>
      <c r="N8" s="12" t="s">
        <v>43</v>
      </c>
      <c r="O8" s="12" t="s">
        <v>37</v>
      </c>
      <c r="P8" s="12" t="s">
        <v>43</v>
      </c>
    </row>
    <row r="9" spans="1:16">
      <c r="A9" s="13" t="s">
        <v>44</v>
      </c>
      <c r="B9" s="7" t="s">
        <v>45</v>
      </c>
      <c r="C9" s="7" t="s">
        <v>81</v>
      </c>
      <c r="D9" s="11">
        <v>44995</v>
      </c>
      <c r="E9" s="70">
        <v>70183.23</v>
      </c>
      <c r="F9" s="21">
        <f t="shared" ref="F9:F17" si="0">+E9/2080</f>
        <v>33.741937499999999</v>
      </c>
      <c r="G9" s="22">
        <f t="shared" ref="G9:G17" si="1">IF((D9-$G$7)/365&lt;1,(D9-$G$7)/365,1)</f>
        <v>0.18630136986301371</v>
      </c>
      <c r="H9" s="13">
        <f>52*40</f>
        <v>2080</v>
      </c>
      <c r="I9" s="13">
        <f>11*8</f>
        <v>88</v>
      </c>
      <c r="J9" s="13">
        <v>8</v>
      </c>
      <c r="K9" s="13">
        <v>8</v>
      </c>
      <c r="L9" s="13">
        <f>8*12</f>
        <v>96</v>
      </c>
      <c r="M9" s="13">
        <v>120</v>
      </c>
      <c r="N9" s="13">
        <f>+H9-I9-J9-K9-L9-M9</f>
        <v>1760</v>
      </c>
      <c r="O9" s="67">
        <f t="shared" ref="O9:O17" si="2">+E9*G9</f>
        <v>13075.23189041096</v>
      </c>
      <c r="P9" s="67">
        <f t="shared" ref="P9:P17" si="3">+F9*N9*G9</f>
        <v>11063.657753424657</v>
      </c>
    </row>
    <row r="10" spans="1:16">
      <c r="A10" s="13" t="s">
        <v>46</v>
      </c>
      <c r="B10" s="7" t="s">
        <v>47</v>
      </c>
      <c r="C10" s="7" t="s">
        <v>82</v>
      </c>
      <c r="D10" s="11">
        <v>45257</v>
      </c>
      <c r="E10" s="64">
        <v>68139.058000000005</v>
      </c>
      <c r="F10" s="21">
        <f t="shared" si="0"/>
        <v>32.759162500000002</v>
      </c>
      <c r="G10" s="22">
        <f t="shared" si="1"/>
        <v>0.90410958904109584</v>
      </c>
      <c r="H10" s="13">
        <v>2080</v>
      </c>
      <c r="I10" s="13">
        <f t="shared" ref="I10:I17" si="4">11*8</f>
        <v>88</v>
      </c>
      <c r="J10" s="13">
        <v>8</v>
      </c>
      <c r="K10" s="13">
        <v>8</v>
      </c>
      <c r="L10" s="13">
        <f t="shared" ref="L10:L17" si="5">8*12</f>
        <v>96</v>
      </c>
      <c r="M10" s="13">
        <v>120</v>
      </c>
      <c r="N10" s="13">
        <f t="shared" ref="N10:N17" si="6">+H10-I10-J10-K10-L10-M10</f>
        <v>1760</v>
      </c>
      <c r="O10" s="65">
        <f t="shared" si="2"/>
        <v>61605.175726027395</v>
      </c>
      <c r="P10" s="65">
        <f t="shared" si="3"/>
        <v>52127.456383561643</v>
      </c>
    </row>
    <row r="11" spans="1:16">
      <c r="A11" s="13" t="s">
        <v>48</v>
      </c>
      <c r="B11" s="7" t="s">
        <v>49</v>
      </c>
      <c r="C11" s="7" t="s">
        <v>81</v>
      </c>
      <c r="D11" s="11">
        <v>45397</v>
      </c>
      <c r="E11" s="64">
        <v>89999.987999999998</v>
      </c>
      <c r="F11" s="21">
        <f t="shared" si="0"/>
        <v>43.269224999999999</v>
      </c>
      <c r="G11" s="22">
        <f t="shared" si="1"/>
        <v>1</v>
      </c>
      <c r="H11" s="13">
        <v>2080</v>
      </c>
      <c r="I11" s="13">
        <f t="shared" si="4"/>
        <v>88</v>
      </c>
      <c r="J11" s="13">
        <v>8</v>
      </c>
      <c r="K11" s="13">
        <v>0</v>
      </c>
      <c r="L11" s="13">
        <f t="shared" si="5"/>
        <v>96</v>
      </c>
      <c r="M11" s="13">
        <v>120</v>
      </c>
      <c r="N11" s="13">
        <f t="shared" si="6"/>
        <v>1768</v>
      </c>
      <c r="O11" s="65">
        <f t="shared" si="2"/>
        <v>89999.987999999998</v>
      </c>
      <c r="P11" s="65">
        <f t="shared" si="3"/>
        <v>76499.989799999996</v>
      </c>
    </row>
    <row r="12" spans="1:16">
      <c r="A12" s="13" t="s">
        <v>50</v>
      </c>
      <c r="B12" s="7" t="s">
        <v>51</v>
      </c>
      <c r="C12" s="7" t="s">
        <v>81</v>
      </c>
      <c r="D12" s="11">
        <v>45339</v>
      </c>
      <c r="E12" s="64">
        <v>109565.04</v>
      </c>
      <c r="F12" s="21">
        <f t="shared" si="0"/>
        <v>52.6755</v>
      </c>
      <c r="G12" s="22">
        <f t="shared" si="1"/>
        <v>1</v>
      </c>
      <c r="H12" s="13">
        <v>2080</v>
      </c>
      <c r="I12" s="13">
        <f t="shared" si="4"/>
        <v>88</v>
      </c>
      <c r="J12" s="13">
        <v>8</v>
      </c>
      <c r="K12" s="13">
        <v>16</v>
      </c>
      <c r="L12" s="13">
        <f t="shared" si="5"/>
        <v>96</v>
      </c>
      <c r="M12" s="13">
        <v>120</v>
      </c>
      <c r="N12" s="13">
        <f t="shared" si="6"/>
        <v>1752</v>
      </c>
      <c r="O12" s="65">
        <f t="shared" si="2"/>
        <v>109565.04</v>
      </c>
      <c r="P12" s="65">
        <f t="shared" si="3"/>
        <v>92287.475999999995</v>
      </c>
    </row>
    <row r="13" spans="1:16">
      <c r="A13" s="13" t="s">
        <v>52</v>
      </c>
      <c r="B13" s="7" t="s">
        <v>53</v>
      </c>
      <c r="C13" s="7" t="s">
        <v>82</v>
      </c>
      <c r="D13" s="11">
        <v>45325</v>
      </c>
      <c r="E13" s="64">
        <v>60320</v>
      </c>
      <c r="F13" s="21">
        <f t="shared" si="0"/>
        <v>29</v>
      </c>
      <c r="G13" s="22">
        <f t="shared" si="1"/>
        <v>1</v>
      </c>
      <c r="H13" s="13">
        <v>2080</v>
      </c>
      <c r="I13" s="13">
        <f t="shared" si="4"/>
        <v>88</v>
      </c>
      <c r="J13" s="13">
        <v>8</v>
      </c>
      <c r="K13" s="13">
        <v>16</v>
      </c>
      <c r="L13" s="13">
        <f t="shared" si="5"/>
        <v>96</v>
      </c>
      <c r="M13" s="13">
        <v>120</v>
      </c>
      <c r="N13" s="13">
        <f t="shared" si="6"/>
        <v>1752</v>
      </c>
      <c r="O13" s="65">
        <f t="shared" si="2"/>
        <v>60320</v>
      </c>
      <c r="P13" s="65">
        <f t="shared" si="3"/>
        <v>50808</v>
      </c>
    </row>
    <row r="14" spans="1:16">
      <c r="A14" s="13" t="s">
        <v>54</v>
      </c>
      <c r="B14" s="7" t="s">
        <v>55</v>
      </c>
      <c r="C14" s="7" t="s">
        <v>83</v>
      </c>
      <c r="D14" s="11">
        <v>45325</v>
      </c>
      <c r="E14" s="64">
        <v>70720</v>
      </c>
      <c r="F14" s="21">
        <f t="shared" si="0"/>
        <v>34</v>
      </c>
      <c r="G14" s="22">
        <f t="shared" si="1"/>
        <v>1</v>
      </c>
      <c r="H14" s="13">
        <v>2080</v>
      </c>
      <c r="I14" s="13">
        <f t="shared" si="4"/>
        <v>88</v>
      </c>
      <c r="J14" s="13">
        <v>8</v>
      </c>
      <c r="K14" s="13">
        <v>16</v>
      </c>
      <c r="L14" s="13">
        <f t="shared" si="5"/>
        <v>96</v>
      </c>
      <c r="M14" s="13">
        <v>120</v>
      </c>
      <c r="N14" s="13">
        <f t="shared" si="6"/>
        <v>1752</v>
      </c>
      <c r="O14" s="65">
        <f t="shared" si="2"/>
        <v>70720</v>
      </c>
      <c r="P14" s="65">
        <f t="shared" si="3"/>
        <v>59568</v>
      </c>
    </row>
    <row r="15" spans="1:16">
      <c r="A15" s="13" t="s">
        <v>56</v>
      </c>
      <c r="B15" s="7" t="s">
        <v>57</v>
      </c>
      <c r="C15" s="7" t="s">
        <v>81</v>
      </c>
      <c r="D15" s="11">
        <v>45453</v>
      </c>
      <c r="E15" s="64">
        <v>68016</v>
      </c>
      <c r="F15" s="21">
        <f t="shared" si="0"/>
        <v>32.700000000000003</v>
      </c>
      <c r="G15" s="22">
        <f t="shared" si="1"/>
        <v>1</v>
      </c>
      <c r="H15" s="13">
        <v>2080</v>
      </c>
      <c r="I15" s="13">
        <f t="shared" si="4"/>
        <v>88</v>
      </c>
      <c r="J15" s="13">
        <v>8</v>
      </c>
      <c r="K15" s="13">
        <v>0</v>
      </c>
      <c r="L15" s="13">
        <f t="shared" si="5"/>
        <v>96</v>
      </c>
      <c r="M15" s="13">
        <v>120</v>
      </c>
      <c r="N15" s="13">
        <f t="shared" si="6"/>
        <v>1768</v>
      </c>
      <c r="O15" s="65">
        <f t="shared" si="2"/>
        <v>68016</v>
      </c>
      <c r="P15" s="65">
        <f t="shared" si="3"/>
        <v>57813.600000000006</v>
      </c>
    </row>
    <row r="16" spans="1:16">
      <c r="A16" s="31">
        <v>2.0000000000000001E-196</v>
      </c>
      <c r="B16" s="7" t="s">
        <v>58</v>
      </c>
      <c r="C16" s="7" t="s">
        <v>84</v>
      </c>
      <c r="D16" s="11">
        <v>45353</v>
      </c>
      <c r="E16" s="64">
        <v>52000</v>
      </c>
      <c r="F16" s="21">
        <f t="shared" si="0"/>
        <v>25</v>
      </c>
      <c r="G16" s="22">
        <f t="shared" si="1"/>
        <v>1</v>
      </c>
      <c r="H16" s="13">
        <v>2080</v>
      </c>
      <c r="I16" s="13">
        <f t="shared" si="4"/>
        <v>88</v>
      </c>
      <c r="J16" s="13">
        <v>8</v>
      </c>
      <c r="K16" s="13">
        <v>16</v>
      </c>
      <c r="L16" s="13">
        <f t="shared" si="5"/>
        <v>96</v>
      </c>
      <c r="M16" s="13">
        <v>120</v>
      </c>
      <c r="N16" s="13">
        <f t="shared" si="6"/>
        <v>1752</v>
      </c>
      <c r="O16" s="65">
        <f t="shared" si="2"/>
        <v>52000</v>
      </c>
      <c r="P16" s="65">
        <f t="shared" si="3"/>
        <v>43800</v>
      </c>
    </row>
    <row r="17" spans="1:17">
      <c r="A17" s="13" t="s">
        <v>59</v>
      </c>
      <c r="B17" s="7" t="s">
        <v>60</v>
      </c>
      <c r="C17" s="7" t="s">
        <v>83</v>
      </c>
      <c r="D17" s="11">
        <v>45061</v>
      </c>
      <c r="E17" s="64">
        <v>46169.759999999995</v>
      </c>
      <c r="F17" s="21">
        <f t="shared" si="0"/>
        <v>22.196999999999999</v>
      </c>
      <c r="G17" s="22">
        <f t="shared" si="1"/>
        <v>0.36712328767123287</v>
      </c>
      <c r="H17" s="13">
        <v>2080</v>
      </c>
      <c r="I17" s="13">
        <f t="shared" si="4"/>
        <v>88</v>
      </c>
      <c r="J17" s="13">
        <v>8</v>
      </c>
      <c r="K17" s="13">
        <v>0</v>
      </c>
      <c r="L17" s="13">
        <f t="shared" si="5"/>
        <v>96</v>
      </c>
      <c r="M17" s="13">
        <v>120</v>
      </c>
      <c r="N17" s="13">
        <f t="shared" si="6"/>
        <v>1768</v>
      </c>
      <c r="O17" s="65">
        <f t="shared" si="2"/>
        <v>16949.994082191777</v>
      </c>
      <c r="P17" s="65">
        <f t="shared" si="3"/>
        <v>14407.494969863013</v>
      </c>
    </row>
    <row r="18" spans="1:17" ht="13" thickBot="1">
      <c r="E18" s="66">
        <f>SUM(E9:E17)</f>
        <v>635113.076</v>
      </c>
      <c r="F18" s="14"/>
      <c r="O18" s="66">
        <f>SUM(O9:O17)</f>
        <v>542251.42969863</v>
      </c>
      <c r="P18" s="66">
        <f>SUM(P9:P17)</f>
        <v>458375.67490684934</v>
      </c>
    </row>
    <row r="19" spans="1:17" ht="13.5" thickTop="1">
      <c r="P19" s="16"/>
    </row>
    <row r="21" spans="1:17" ht="13">
      <c r="A21" s="164"/>
      <c r="F21" s="81"/>
      <c r="G21" s="81"/>
      <c r="J21" s="81"/>
      <c r="K21" s="195" t="s">
        <v>61</v>
      </c>
      <c r="L21" s="195" t="s">
        <v>62</v>
      </c>
      <c r="M21" s="81"/>
      <c r="N21" s="81"/>
      <c r="O21" s="81"/>
      <c r="P21" s="81"/>
    </row>
    <row r="22" spans="1:17" ht="13">
      <c r="A22" s="164"/>
      <c r="F22" s="81"/>
      <c r="G22" s="81"/>
      <c r="I22" s="81" t="s">
        <v>63</v>
      </c>
      <c r="K22" s="196">
        <v>0.57999999999999996</v>
      </c>
      <c r="L22" s="196">
        <v>0.42</v>
      </c>
      <c r="M22" s="81"/>
      <c r="N22" s="81"/>
      <c r="O22" s="81"/>
      <c r="P22" s="81"/>
    </row>
    <row r="23" spans="1:17" ht="13">
      <c r="A23" s="164"/>
      <c r="F23" s="81"/>
      <c r="G23" s="81"/>
      <c r="I23" s="81" t="s">
        <v>64</v>
      </c>
      <c r="K23" s="196">
        <v>0</v>
      </c>
      <c r="L23" s="196">
        <v>1</v>
      </c>
      <c r="M23" s="81"/>
      <c r="N23" s="81"/>
      <c r="O23" s="81"/>
      <c r="P23" s="81"/>
    </row>
    <row r="24" spans="1:17" ht="13">
      <c r="A24" s="164"/>
      <c r="F24" s="81"/>
      <c r="G24" s="81"/>
      <c r="I24" s="81" t="s">
        <v>65</v>
      </c>
      <c r="K24" s="196">
        <v>1</v>
      </c>
      <c r="L24" s="196">
        <v>0</v>
      </c>
      <c r="M24" s="81"/>
      <c r="N24" s="81"/>
      <c r="O24" s="81"/>
      <c r="P24" s="81"/>
    </row>
    <row r="25" spans="1:17" ht="13">
      <c r="A25" s="164"/>
      <c r="F25" s="81"/>
      <c r="G25" s="81"/>
      <c r="I25" s="81"/>
      <c r="K25" s="196"/>
      <c r="L25" s="196"/>
      <c r="M25" s="81"/>
      <c r="N25" s="81"/>
      <c r="O25" s="81"/>
      <c r="P25" s="81"/>
    </row>
    <row r="26" spans="1:17" ht="13">
      <c r="A26" s="197" t="s">
        <v>160</v>
      </c>
      <c r="D26" s="81"/>
      <c r="E26" s="81"/>
      <c r="F26" s="81"/>
      <c r="G26" s="81"/>
      <c r="H26" s="164" t="s">
        <v>85</v>
      </c>
      <c r="I26" s="81"/>
      <c r="J26" s="164"/>
      <c r="K26" s="198">
        <v>0.05</v>
      </c>
      <c r="L26" s="199"/>
      <c r="N26" s="81"/>
      <c r="O26" s="81"/>
      <c r="P26" s="81"/>
    </row>
    <row r="27" spans="1:17" ht="13.5" thickBot="1">
      <c r="A27" s="164"/>
      <c r="B27" s="81"/>
      <c r="C27" s="81"/>
      <c r="D27" s="164" t="s">
        <v>66</v>
      </c>
      <c r="E27" s="164" t="s">
        <v>35</v>
      </c>
      <c r="F27" s="326" t="s">
        <v>211</v>
      </c>
      <c r="G27" s="326"/>
      <c r="H27" s="164" t="s">
        <v>67</v>
      </c>
      <c r="I27" s="164" t="s">
        <v>67</v>
      </c>
      <c r="J27" s="164" t="s">
        <v>61</v>
      </c>
      <c r="K27" s="13" t="s">
        <v>68</v>
      </c>
      <c r="L27" s="46" t="s">
        <v>210</v>
      </c>
      <c r="O27" s="81"/>
      <c r="P27" s="81"/>
    </row>
    <row r="28" spans="1:17" ht="13">
      <c r="A28" s="12" t="s">
        <v>31</v>
      </c>
      <c r="B28" s="191" t="s">
        <v>69</v>
      </c>
      <c r="C28" s="12" t="s">
        <v>80</v>
      </c>
      <c r="D28" s="200" t="s">
        <v>70</v>
      </c>
      <c r="E28" s="195" t="s">
        <v>71</v>
      </c>
      <c r="F28" s="12" t="s">
        <v>212</v>
      </c>
      <c r="G28" s="12" t="s">
        <v>4</v>
      </c>
      <c r="H28" s="195" t="s">
        <v>72</v>
      </c>
      <c r="I28" s="195" t="s">
        <v>4</v>
      </c>
      <c r="J28" s="195" t="s">
        <v>4</v>
      </c>
      <c r="K28" s="12" t="s">
        <v>73</v>
      </c>
      <c r="L28" s="17" t="s">
        <v>74</v>
      </c>
      <c r="M28" s="18" t="s">
        <v>75</v>
      </c>
      <c r="O28" s="81"/>
      <c r="P28" s="81"/>
    </row>
    <row r="29" spans="1:17" ht="13">
      <c r="A29" s="164" t="s">
        <v>44</v>
      </c>
      <c r="B29" s="81" t="s">
        <v>45</v>
      </c>
      <c r="C29" s="7" t="s">
        <v>81</v>
      </c>
      <c r="D29" s="201">
        <v>44995</v>
      </c>
      <c r="E29" s="202">
        <v>33.741937499999999</v>
      </c>
      <c r="F29" s="203">
        <v>327.89041095890411</v>
      </c>
      <c r="G29" s="204">
        <f>+E29*F29</f>
        <v>11063.657753424657</v>
      </c>
      <c r="H29" s="205">
        <v>0.19400000000000001</v>
      </c>
      <c r="I29" s="204">
        <f>+G29*H29</f>
        <v>2146.3496041643834</v>
      </c>
      <c r="J29" s="206">
        <f>+I29*$K$22</f>
        <v>1244.8827704153423</v>
      </c>
      <c r="K29" s="71">
        <f>+J29*$K$26</f>
        <v>62.244138520767116</v>
      </c>
      <c r="L29" s="72">
        <f>+J29+K29</f>
        <v>1307.1269089361094</v>
      </c>
      <c r="M29" s="7" t="s">
        <v>86</v>
      </c>
      <c r="P29" s="322" t="s">
        <v>87</v>
      </c>
      <c r="Q29" s="323"/>
    </row>
    <row r="30" spans="1:17" ht="13">
      <c r="A30" s="164" t="s">
        <v>46</v>
      </c>
      <c r="B30" s="81" t="s">
        <v>47</v>
      </c>
      <c r="C30" s="7" t="s">
        <v>82</v>
      </c>
      <c r="D30" s="201">
        <v>45257</v>
      </c>
      <c r="E30" s="207">
        <v>32.759162500000002</v>
      </c>
      <c r="F30" s="203">
        <v>1591.2328767123288</v>
      </c>
      <c r="G30" s="208">
        <f t="shared" ref="G30:G37" si="7">+E30*F30</f>
        <v>52127.45638356165</v>
      </c>
      <c r="H30" s="205">
        <v>0.19400000000000001</v>
      </c>
      <c r="I30" s="208">
        <f>+G30*H30</f>
        <v>10112.72653841096</v>
      </c>
      <c r="J30" s="209">
        <f>+I30*$K$23</f>
        <v>0</v>
      </c>
      <c r="K30" s="73">
        <f t="shared" ref="K30:K37" si="8">+J30*$K$26</f>
        <v>0</v>
      </c>
      <c r="L30" s="74">
        <v>0</v>
      </c>
      <c r="M30" s="7" t="s">
        <v>76</v>
      </c>
      <c r="P30" s="210" t="s">
        <v>81</v>
      </c>
      <c r="Q30" s="211">
        <f>SUM(L29,L31,L32,L35)</f>
        <v>34624.01655629211</v>
      </c>
    </row>
    <row r="31" spans="1:17" ht="13">
      <c r="A31" s="164" t="s">
        <v>48</v>
      </c>
      <c r="B31" s="81" t="s">
        <v>49</v>
      </c>
      <c r="C31" s="7" t="s">
        <v>81</v>
      </c>
      <c r="D31" s="201">
        <v>45397</v>
      </c>
      <c r="E31" s="207">
        <v>43.269224999999999</v>
      </c>
      <c r="F31" s="203">
        <v>1768</v>
      </c>
      <c r="G31" s="208">
        <f t="shared" si="7"/>
        <v>76499.989799999996</v>
      </c>
      <c r="H31" s="205">
        <v>0.19400000000000001</v>
      </c>
      <c r="I31" s="208">
        <f t="shared" ref="I31:I37" si="9">+G31*H31</f>
        <v>14840.998021199999</v>
      </c>
      <c r="J31" s="209">
        <f>+I31*$K$24</f>
        <v>14840.998021199999</v>
      </c>
      <c r="K31" s="73">
        <f t="shared" si="8"/>
        <v>742.04990106000002</v>
      </c>
      <c r="L31" s="74">
        <f>+J31+K31</f>
        <v>15583.047922259999</v>
      </c>
      <c r="M31" s="7" t="s">
        <v>76</v>
      </c>
      <c r="P31" s="212" t="s">
        <v>88</v>
      </c>
      <c r="Q31" s="213">
        <f>SUM(L34,L37)</f>
        <v>9972.5276533610959</v>
      </c>
    </row>
    <row r="32" spans="1:17" ht="13">
      <c r="A32" s="164" t="s">
        <v>50</v>
      </c>
      <c r="B32" s="81" t="s">
        <v>51</v>
      </c>
      <c r="C32" s="7" t="s">
        <v>81</v>
      </c>
      <c r="D32" s="201">
        <v>45339</v>
      </c>
      <c r="E32" s="207">
        <v>52.6755</v>
      </c>
      <c r="F32" s="203">
        <v>1752</v>
      </c>
      <c r="G32" s="208">
        <f t="shared" si="7"/>
        <v>92287.475999999995</v>
      </c>
      <c r="H32" s="205">
        <v>0.19400000000000001</v>
      </c>
      <c r="I32" s="208">
        <f t="shared" si="9"/>
        <v>17903.770344</v>
      </c>
      <c r="J32" s="209">
        <f>+I32*$K$22</f>
        <v>10384.186799519999</v>
      </c>
      <c r="K32" s="73">
        <f t="shared" si="8"/>
        <v>519.20933997600002</v>
      </c>
      <c r="L32" s="74">
        <f>+J32+K32</f>
        <v>10903.396139495999</v>
      </c>
      <c r="M32" s="7" t="s">
        <v>76</v>
      </c>
      <c r="P32" s="214" t="s">
        <v>84</v>
      </c>
      <c r="Q32" s="215">
        <f>SUM(L36)</f>
        <v>0</v>
      </c>
    </row>
    <row r="33" spans="1:17" ht="13">
      <c r="A33" s="164" t="s">
        <v>52</v>
      </c>
      <c r="B33" s="81" t="s">
        <v>53</v>
      </c>
      <c r="C33" s="7" t="s">
        <v>82</v>
      </c>
      <c r="D33" s="201">
        <v>45325</v>
      </c>
      <c r="E33" s="207">
        <v>29</v>
      </c>
      <c r="F33" s="203">
        <v>1752</v>
      </c>
      <c r="G33" s="208">
        <f t="shared" si="7"/>
        <v>50808</v>
      </c>
      <c r="H33" s="205">
        <v>0.19400000000000001</v>
      </c>
      <c r="I33" s="208">
        <f t="shared" si="9"/>
        <v>9856.7520000000004</v>
      </c>
      <c r="J33" s="209">
        <f>+I33*$K$23</f>
        <v>0</v>
      </c>
      <c r="K33" s="73">
        <f t="shared" si="8"/>
        <v>0</v>
      </c>
      <c r="L33" s="74">
        <v>0</v>
      </c>
      <c r="M33" s="7" t="s">
        <v>76</v>
      </c>
      <c r="O33" s="81"/>
      <c r="P33" s="81"/>
      <c r="Q33" s="68">
        <f>SUM(Q30:Q32)</f>
        <v>44596.544209653206</v>
      </c>
    </row>
    <row r="34" spans="1:17" ht="13">
      <c r="A34" s="164" t="s">
        <v>54</v>
      </c>
      <c r="B34" s="81" t="s">
        <v>55</v>
      </c>
      <c r="C34" s="7" t="s">
        <v>83</v>
      </c>
      <c r="D34" s="201">
        <v>45325</v>
      </c>
      <c r="E34" s="207">
        <v>34</v>
      </c>
      <c r="F34" s="203">
        <v>1752</v>
      </c>
      <c r="G34" s="208">
        <f t="shared" si="7"/>
        <v>59568</v>
      </c>
      <c r="H34" s="205">
        <v>0.19400000000000001</v>
      </c>
      <c r="I34" s="208">
        <f t="shared" si="9"/>
        <v>11556.192000000001</v>
      </c>
      <c r="J34" s="209">
        <f>+I34*$K$22</f>
        <v>6702.5913600000003</v>
      </c>
      <c r="K34" s="73">
        <f t="shared" si="8"/>
        <v>335.12956800000006</v>
      </c>
      <c r="L34" s="74">
        <f>+J34+K34</f>
        <v>7037.7209280000006</v>
      </c>
      <c r="M34" s="7" t="s">
        <v>76</v>
      </c>
      <c r="O34" s="81"/>
      <c r="P34" s="81"/>
      <c r="Q34" s="65"/>
    </row>
    <row r="35" spans="1:17" ht="13">
      <c r="A35" s="164" t="s">
        <v>56</v>
      </c>
      <c r="B35" s="81" t="s">
        <v>57</v>
      </c>
      <c r="C35" s="7" t="s">
        <v>81</v>
      </c>
      <c r="D35" s="201">
        <v>45453</v>
      </c>
      <c r="E35" s="207">
        <v>32.700000000000003</v>
      </c>
      <c r="F35" s="203">
        <v>1768</v>
      </c>
      <c r="G35" s="208">
        <f t="shared" si="7"/>
        <v>57813.600000000006</v>
      </c>
      <c r="H35" s="205">
        <v>0.19400000000000001</v>
      </c>
      <c r="I35" s="208">
        <f t="shared" si="9"/>
        <v>11215.838400000002</v>
      </c>
      <c r="J35" s="209">
        <f>+I35*$K$22</f>
        <v>6505.1862720000008</v>
      </c>
      <c r="K35" s="73">
        <f t="shared" si="8"/>
        <v>325.25931360000004</v>
      </c>
      <c r="L35" s="74">
        <f>+J35+K35</f>
        <v>6830.4455856000004</v>
      </c>
      <c r="M35" s="7" t="s">
        <v>76</v>
      </c>
      <c r="O35" s="81"/>
      <c r="P35" s="81"/>
      <c r="Q35" s="81"/>
    </row>
    <row r="36" spans="1:17" ht="13">
      <c r="A36" s="164">
        <v>2.0000000000000001E-196</v>
      </c>
      <c r="B36" s="81" t="s">
        <v>58</v>
      </c>
      <c r="C36" s="7" t="s">
        <v>84</v>
      </c>
      <c r="D36" s="201">
        <v>45353</v>
      </c>
      <c r="E36" s="207">
        <v>25</v>
      </c>
      <c r="F36" s="203">
        <v>1752</v>
      </c>
      <c r="G36" s="208">
        <f t="shared" si="7"/>
        <v>43800</v>
      </c>
      <c r="H36" s="205">
        <v>0</v>
      </c>
      <c r="I36" s="208">
        <f t="shared" si="9"/>
        <v>0</v>
      </c>
      <c r="J36" s="209">
        <f>+I36*$K$24</f>
        <v>0</v>
      </c>
      <c r="K36" s="73">
        <f t="shared" si="8"/>
        <v>0</v>
      </c>
      <c r="L36" s="74">
        <f>+J36+K36</f>
        <v>0</v>
      </c>
      <c r="M36" s="7" t="s">
        <v>89</v>
      </c>
      <c r="O36" s="81"/>
      <c r="P36" s="81"/>
      <c r="Q36" s="216" t="s">
        <v>161</v>
      </c>
    </row>
    <row r="37" spans="1:17" ht="16">
      <c r="A37" s="164" t="s">
        <v>59</v>
      </c>
      <c r="B37" s="81" t="s">
        <v>60</v>
      </c>
      <c r="C37" s="7" t="s">
        <v>83</v>
      </c>
      <c r="D37" s="201">
        <v>45061</v>
      </c>
      <c r="E37" s="207">
        <v>22.196999999999999</v>
      </c>
      <c r="F37" s="203">
        <v>649.07397260273967</v>
      </c>
      <c r="G37" s="208">
        <f t="shared" si="7"/>
        <v>14407.494969863012</v>
      </c>
      <c r="H37" s="205">
        <v>0.19400000000000001</v>
      </c>
      <c r="I37" s="208">
        <f t="shared" si="9"/>
        <v>2795.0540241534245</v>
      </c>
      <c r="J37" s="209">
        <f>+I37*$K$24</f>
        <v>2795.0540241534245</v>
      </c>
      <c r="K37" s="73">
        <f t="shared" si="8"/>
        <v>139.75270120767124</v>
      </c>
      <c r="L37" s="74">
        <f>+J37+K37</f>
        <v>2934.8067253610957</v>
      </c>
      <c r="M37" s="7" t="s">
        <v>76</v>
      </c>
      <c r="O37" s="81"/>
      <c r="P37" s="81"/>
      <c r="Q37" s="217" t="s">
        <v>162</v>
      </c>
    </row>
    <row r="38" spans="1:17" ht="13.5" thickBot="1">
      <c r="A38" s="164"/>
      <c r="B38" s="81" t="s">
        <v>77</v>
      </c>
      <c r="C38" s="81"/>
      <c r="D38" s="201"/>
      <c r="E38" s="207"/>
      <c r="F38" s="207"/>
      <c r="G38" s="218">
        <f>SUM(G29:G37)</f>
        <v>458375.67490684934</v>
      </c>
      <c r="H38" s="207"/>
      <c r="I38" s="219">
        <f>SUM(I29:I37)</f>
        <v>80427.680931928771</v>
      </c>
      <c r="J38" s="219">
        <f>SUM(J29:J37)</f>
        <v>42472.899247288762</v>
      </c>
      <c r="K38" s="66">
        <f>SUM(K29:K37)</f>
        <v>2123.6449623644385</v>
      </c>
      <c r="L38" s="41">
        <f>SUM(L29:L37)</f>
        <v>44596.544209653199</v>
      </c>
      <c r="O38" s="81"/>
      <c r="P38" s="81"/>
    </row>
    <row r="39" spans="1:17" ht="13.5" thickTop="1">
      <c r="A39" s="164"/>
      <c r="B39" s="81"/>
      <c r="C39" s="81"/>
      <c r="D39" s="81"/>
      <c r="E39" s="81"/>
      <c r="F39" s="81"/>
      <c r="G39" s="220"/>
      <c r="H39" s="221"/>
      <c r="I39" s="221"/>
      <c r="J39" s="81"/>
      <c r="K39" s="221"/>
      <c r="L39" s="34" t="s">
        <v>109</v>
      </c>
      <c r="O39" s="81"/>
      <c r="P39" s="81"/>
    </row>
    <row r="40" spans="1:17" ht="13">
      <c r="A40" s="164"/>
      <c r="B40" s="81"/>
      <c r="C40" s="81"/>
      <c r="D40" s="81"/>
      <c r="E40" s="81"/>
      <c r="F40" s="81"/>
      <c r="G40" s="220"/>
      <c r="H40" s="221"/>
      <c r="I40" s="221"/>
      <c r="J40" s="81"/>
      <c r="K40" s="221"/>
      <c r="L40" s="34" t="s">
        <v>230</v>
      </c>
      <c r="O40" s="81"/>
      <c r="P40" s="81"/>
    </row>
    <row r="41" spans="1:17" ht="13">
      <c r="A41" s="20" t="s">
        <v>160</v>
      </c>
      <c r="B41" s="81"/>
      <c r="C41" s="81"/>
      <c r="D41" s="81"/>
      <c r="E41" s="81"/>
      <c r="F41" s="81"/>
      <c r="G41" s="220"/>
      <c r="H41" s="221"/>
      <c r="I41" s="221"/>
      <c r="J41" s="81"/>
      <c r="K41" s="221"/>
      <c r="L41" s="24" t="s">
        <v>138</v>
      </c>
      <c r="O41" s="81"/>
      <c r="P41" s="81"/>
    </row>
    <row r="42" spans="1:17" ht="13">
      <c r="A42" s="164"/>
      <c r="B42" s="81"/>
      <c r="C42" s="81"/>
      <c r="D42" s="81"/>
      <c r="E42" s="81"/>
      <c r="F42" s="81"/>
      <c r="G42" s="220"/>
      <c r="H42" s="221"/>
      <c r="I42" s="221"/>
      <c r="J42" s="81"/>
      <c r="K42" s="221"/>
      <c r="L42" s="69"/>
      <c r="O42" s="81"/>
      <c r="P42" s="81"/>
    </row>
    <row r="43" spans="1:17" ht="13">
      <c r="A43" s="164"/>
      <c r="B43" s="81"/>
      <c r="C43" s="81"/>
      <c r="D43" s="81"/>
      <c r="E43" s="81"/>
      <c r="F43" s="222">
        <v>0.59041193662902092</v>
      </c>
      <c r="G43" s="322" t="s">
        <v>213</v>
      </c>
      <c r="H43" s="324"/>
      <c r="I43" s="324"/>
      <c r="J43" s="324"/>
      <c r="K43" s="323"/>
      <c r="M43" s="193"/>
      <c r="N43" s="81"/>
      <c r="O43" s="81"/>
      <c r="P43" s="81"/>
    </row>
    <row r="44" spans="1:17" ht="13">
      <c r="A44" s="164"/>
      <c r="B44" s="81"/>
      <c r="C44" s="81"/>
      <c r="D44" s="164"/>
      <c r="E44" s="164" t="s">
        <v>61</v>
      </c>
      <c r="F44" s="164" t="s">
        <v>78</v>
      </c>
      <c r="G44" s="223">
        <v>0.15234881948497214</v>
      </c>
      <c r="H44" s="29">
        <v>0.27011036732790655</v>
      </c>
      <c r="I44" s="29">
        <v>9.9056871747690498E-3</v>
      </c>
      <c r="J44" s="224">
        <v>0.21367687214610187</v>
      </c>
      <c r="K44" s="225">
        <v>0.35395825386625035</v>
      </c>
      <c r="L44" s="164"/>
      <c r="M44" s="226"/>
      <c r="N44" s="164"/>
      <c r="O44" s="81"/>
    </row>
    <row r="45" spans="1:17" ht="13">
      <c r="A45" s="12" t="s">
        <v>31</v>
      </c>
      <c r="B45" s="191" t="s">
        <v>69</v>
      </c>
      <c r="C45" s="191"/>
      <c r="D45" s="200"/>
      <c r="E45" s="195" t="s">
        <v>4</v>
      </c>
      <c r="F45" s="227" t="s">
        <v>163</v>
      </c>
      <c r="G45" s="228" t="s">
        <v>3</v>
      </c>
      <c r="H45" s="12" t="s">
        <v>141</v>
      </c>
      <c r="I45" s="12" t="s">
        <v>90</v>
      </c>
      <c r="J45" s="195" t="s">
        <v>91</v>
      </c>
      <c r="K45" s="229" t="s">
        <v>6</v>
      </c>
      <c r="L45" s="164"/>
      <c r="M45" s="220"/>
      <c r="N45" s="164"/>
      <c r="O45" s="164"/>
    </row>
    <row r="46" spans="1:17" ht="13">
      <c r="A46" s="164" t="str">
        <f t="shared" ref="A46:B54" si="10">+A29</f>
        <v>2H-225</v>
      </c>
      <c r="B46" s="81" t="str">
        <f t="shared" si="10"/>
        <v>CMMS Administrator</v>
      </c>
      <c r="C46" s="7" t="s">
        <v>81</v>
      </c>
      <c r="D46" s="201"/>
      <c r="E46" s="206">
        <f t="shared" ref="E46:E54" si="11">+J29</f>
        <v>1244.8827704153423</v>
      </c>
      <c r="F46" s="230">
        <f t="shared" ref="F46:F54" si="12">+E46*$F$43</f>
        <v>734.99364735702306</v>
      </c>
      <c r="G46" s="231">
        <f>$F$46*G44</f>
        <v>111.97541450379637</v>
      </c>
      <c r="H46" s="206">
        <f t="shared" ref="H46:K46" si="13">$F$46*H44</f>
        <v>198.52940407128332</v>
      </c>
      <c r="I46" s="206">
        <f t="shared" si="13"/>
        <v>7.2806171461611893</v>
      </c>
      <c r="J46" s="206">
        <f t="shared" si="13"/>
        <v>157.0511436145037</v>
      </c>
      <c r="K46" s="232">
        <f t="shared" si="13"/>
        <v>260.15706802127846</v>
      </c>
      <c r="L46" s="233"/>
    </row>
    <row r="47" spans="1:17" ht="13">
      <c r="A47" s="164" t="str">
        <f t="shared" si="10"/>
        <v>2B-198</v>
      </c>
      <c r="B47" s="81" t="str">
        <f t="shared" si="10"/>
        <v>GIS Analyst</v>
      </c>
      <c r="C47" s="7" t="s">
        <v>82</v>
      </c>
      <c r="D47" s="201"/>
      <c r="E47" s="209">
        <f t="shared" si="11"/>
        <v>0</v>
      </c>
      <c r="F47" s="230">
        <f t="shared" si="12"/>
        <v>0</v>
      </c>
      <c r="G47" s="234"/>
      <c r="H47" s="21"/>
      <c r="I47" s="15"/>
      <c r="J47" s="235"/>
      <c r="K47" s="236"/>
      <c r="L47" s="237"/>
    </row>
    <row r="48" spans="1:17" ht="13">
      <c r="A48" s="164" t="str">
        <f t="shared" si="10"/>
        <v>2K-235</v>
      </c>
      <c r="B48" s="81" t="str">
        <f t="shared" si="10"/>
        <v>Safety Specialist</v>
      </c>
      <c r="C48" s="7" t="s">
        <v>81</v>
      </c>
      <c r="D48" s="201"/>
      <c r="E48" s="209">
        <f t="shared" si="11"/>
        <v>14840.998021199999</v>
      </c>
      <c r="F48" s="230">
        <f t="shared" si="12"/>
        <v>8762.3023832041581</v>
      </c>
      <c r="G48" s="238">
        <f>$F$48*G44</f>
        <v>1334.9264240515115</v>
      </c>
      <c r="H48" s="209">
        <f t="shared" ref="H48:K48" si="14">$F$48*H44</f>
        <v>2366.788715365466</v>
      </c>
      <c r="I48" s="209">
        <f t="shared" si="14"/>
        <v>86.796626338753711</v>
      </c>
      <c r="J48" s="209">
        <f t="shared" si="14"/>
        <v>1872.3013660413985</v>
      </c>
      <c r="K48" s="239">
        <f t="shared" si="14"/>
        <v>3101.489251407028</v>
      </c>
      <c r="L48" s="237"/>
    </row>
    <row r="49" spans="1:18" ht="13">
      <c r="A49" s="164" t="str">
        <f t="shared" si="10"/>
        <v>2H-154</v>
      </c>
      <c r="B49" s="81" t="str">
        <f t="shared" si="10"/>
        <v>IT Supervisor</v>
      </c>
      <c r="C49" s="7" t="s">
        <v>81</v>
      </c>
      <c r="D49" s="201"/>
      <c r="E49" s="209">
        <f t="shared" si="11"/>
        <v>10384.186799519999</v>
      </c>
      <c r="F49" s="230">
        <f t="shared" si="12"/>
        <v>6130.9478386221172</v>
      </c>
      <c r="G49" s="238">
        <f>$F$49*G44</f>
        <v>934.04266553802108</v>
      </c>
      <c r="H49" s="209">
        <f t="shared" ref="H49:K49" si="15">$F$49*H44</f>
        <v>1656.0325727584548</v>
      </c>
      <c r="I49" s="209">
        <f t="shared" si="15"/>
        <v>60.73125137421713</v>
      </c>
      <c r="J49" s="209">
        <f t="shared" si="15"/>
        <v>1310.0417574476778</v>
      </c>
      <c r="K49" s="239">
        <f t="shared" si="15"/>
        <v>2170.0995915037461</v>
      </c>
      <c r="L49" s="237"/>
    </row>
    <row r="50" spans="1:18" ht="13">
      <c r="A50" s="164" t="str">
        <f t="shared" si="10"/>
        <v>2F-218</v>
      </c>
      <c r="B50" s="81" t="str">
        <f t="shared" si="10"/>
        <v>Engineering Technician</v>
      </c>
      <c r="C50" s="7" t="s">
        <v>82</v>
      </c>
      <c r="D50" s="201"/>
      <c r="E50" s="209">
        <f t="shared" si="11"/>
        <v>0</v>
      </c>
      <c r="F50" s="230">
        <f t="shared" si="12"/>
        <v>0</v>
      </c>
      <c r="G50" s="238"/>
      <c r="H50" s="64"/>
      <c r="I50" s="64"/>
      <c r="J50" s="240"/>
      <c r="K50" s="241"/>
      <c r="L50" s="237"/>
    </row>
    <row r="51" spans="1:18" ht="13">
      <c r="A51" s="164" t="str">
        <f t="shared" si="10"/>
        <v>2O-113</v>
      </c>
      <c r="B51" s="81" t="str">
        <f t="shared" si="10"/>
        <v>Lead Dispatch Operator</v>
      </c>
      <c r="C51" s="7" t="s">
        <v>83</v>
      </c>
      <c r="D51" s="201"/>
      <c r="E51" s="209">
        <f t="shared" si="11"/>
        <v>6702.5913600000003</v>
      </c>
      <c r="F51" s="230">
        <f t="shared" si="12"/>
        <v>3957.2899452905435</v>
      </c>
      <c r="G51" s="238">
        <f>$F$51*G44</f>
        <v>602.88845152476426</v>
      </c>
      <c r="H51" s="209">
        <f t="shared" ref="H51:K51" si="16">$F$51*H44</f>
        <v>1068.9050407454599</v>
      </c>
      <c r="I51" s="209">
        <f t="shared" si="16"/>
        <v>39.199676257907051</v>
      </c>
      <c r="J51" s="209">
        <f t="shared" si="16"/>
        <v>845.58133768490188</v>
      </c>
      <c r="K51" s="239">
        <f t="shared" si="16"/>
        <v>1400.7154390775102</v>
      </c>
      <c r="L51" s="237"/>
    </row>
    <row r="52" spans="1:18" ht="13">
      <c r="A52" s="164" t="str">
        <f t="shared" si="10"/>
        <v>2J-238</v>
      </c>
      <c r="B52" s="81" t="str">
        <f t="shared" si="10"/>
        <v>Accountant</v>
      </c>
      <c r="C52" s="7" t="s">
        <v>81</v>
      </c>
      <c r="D52" s="201"/>
      <c r="E52" s="209">
        <f t="shared" si="11"/>
        <v>6505.1862720000008</v>
      </c>
      <c r="F52" s="230">
        <f t="shared" si="12"/>
        <v>3840.7396249840413</v>
      </c>
      <c r="G52" s="238">
        <f>$F$52*G44</f>
        <v>585.13214781547333</v>
      </c>
      <c r="H52" s="209">
        <f t="shared" ref="H52:K52" si="17">$F$52*H44</f>
        <v>1037.4235909152856</v>
      </c>
      <c r="I52" s="209">
        <f t="shared" si="17"/>
        <v>38.045165244831708</v>
      </c>
      <c r="J52" s="209">
        <f t="shared" si="17"/>
        <v>820.67722979418227</v>
      </c>
      <c r="K52" s="239">
        <f t="shared" si="17"/>
        <v>1359.4614912142683</v>
      </c>
      <c r="L52" s="237"/>
      <c r="M52" s="242"/>
      <c r="N52" s="237"/>
      <c r="O52" s="81"/>
    </row>
    <row r="53" spans="1:18" ht="13">
      <c r="A53" s="164">
        <f t="shared" si="10"/>
        <v>2.0000000000000001E-196</v>
      </c>
      <c r="B53" s="81" t="str">
        <f t="shared" si="10"/>
        <v>Lead Meter Technician</v>
      </c>
      <c r="C53" s="7" t="s">
        <v>84</v>
      </c>
      <c r="D53" s="201"/>
      <c r="E53" s="209">
        <f t="shared" si="11"/>
        <v>0</v>
      </c>
      <c r="F53" s="230">
        <f t="shared" si="12"/>
        <v>0</v>
      </c>
      <c r="G53" s="238"/>
      <c r="H53" s="209"/>
      <c r="I53" s="209"/>
      <c r="J53" s="209"/>
      <c r="K53" s="239"/>
      <c r="L53" s="237"/>
      <c r="M53" s="242"/>
      <c r="N53" s="81"/>
      <c r="O53" s="81"/>
      <c r="P53" s="81"/>
      <c r="Q53" s="81"/>
      <c r="R53" s="81"/>
    </row>
    <row r="54" spans="1:18" ht="13">
      <c r="A54" s="164" t="str">
        <f t="shared" si="10"/>
        <v>2B-210</v>
      </c>
      <c r="B54" s="81" t="str">
        <f t="shared" si="10"/>
        <v>Utility Locate Specialist</v>
      </c>
      <c r="C54" s="7" t="s">
        <v>83</v>
      </c>
      <c r="D54" s="201"/>
      <c r="E54" s="209">
        <f t="shared" si="11"/>
        <v>2795.0540241534245</v>
      </c>
      <c r="F54" s="230">
        <f t="shared" si="12"/>
        <v>1650.2332593831616</v>
      </c>
      <c r="G54" s="243">
        <f>$F$54*G44</f>
        <v>251.41108894186249</v>
      </c>
      <c r="H54" s="244">
        <f t="shared" ref="H54:K54" si="18">$F$54*H44</f>
        <v>445.74511186871428</v>
      </c>
      <c r="I54" s="244">
        <f t="shared" si="18"/>
        <v>16.346694432849109</v>
      </c>
      <c r="J54" s="244">
        <f t="shared" si="18"/>
        <v>352.61668117646076</v>
      </c>
      <c r="K54" s="245">
        <f t="shared" si="18"/>
        <v>584.11368296327487</v>
      </c>
      <c r="L54" s="237"/>
      <c r="M54" s="242"/>
      <c r="N54" s="81"/>
      <c r="O54" s="81"/>
      <c r="P54" s="81"/>
      <c r="Q54" s="81"/>
      <c r="R54" s="81"/>
    </row>
    <row r="55" spans="1:18" ht="13.5" thickBot="1">
      <c r="A55" s="164"/>
      <c r="B55" s="81" t="s">
        <v>77</v>
      </c>
      <c r="C55" s="81"/>
      <c r="D55" s="246"/>
      <c r="E55" s="219">
        <f>SUM(E46:E54)</f>
        <v>42472.899247288762</v>
      </c>
      <c r="F55" s="247">
        <f>SUM(F46:F54)</f>
        <v>25076.506698841047</v>
      </c>
      <c r="G55" s="248">
        <f>SUM(G46:G54)</f>
        <v>3820.3761923754287</v>
      </c>
      <c r="H55" s="249">
        <f t="shared" ref="H55:K55" si="19">SUM(H46:H54)</f>
        <v>6773.4244357246635</v>
      </c>
      <c r="I55" s="249">
        <f t="shared" si="19"/>
        <v>248.4000307947199</v>
      </c>
      <c r="J55" s="249">
        <f t="shared" si="19"/>
        <v>5358.2695157591252</v>
      </c>
      <c r="K55" s="249">
        <f t="shared" si="19"/>
        <v>8876.0365241871059</v>
      </c>
      <c r="L55" s="221"/>
      <c r="M55" s="250"/>
      <c r="N55" s="81"/>
      <c r="O55" s="81"/>
      <c r="P55" s="81"/>
      <c r="Q55" s="81"/>
      <c r="R55" s="81"/>
    </row>
    <row r="56" spans="1:18" ht="13.5" thickTop="1">
      <c r="G56" s="16"/>
      <c r="H56" s="24" t="s">
        <v>142</v>
      </c>
      <c r="I56" s="24" t="s">
        <v>147</v>
      </c>
      <c r="J56" s="24" t="s">
        <v>150</v>
      </c>
      <c r="K56" s="24" t="s">
        <v>154</v>
      </c>
    </row>
    <row r="57" spans="1:18">
      <c r="F57" s="15"/>
    </row>
    <row r="58" spans="1:18" ht="13">
      <c r="F58" s="322" t="s">
        <v>193</v>
      </c>
      <c r="G58" s="324"/>
      <c r="H58" s="324"/>
      <c r="I58" s="324"/>
      <c r="J58" s="324"/>
      <c r="K58" s="323"/>
    </row>
    <row r="59" spans="1:18" ht="13">
      <c r="F59" s="251"/>
      <c r="G59" s="252" t="s">
        <v>3</v>
      </c>
      <c r="H59" s="47" t="s">
        <v>141</v>
      </c>
      <c r="I59" s="47" t="s">
        <v>90</v>
      </c>
      <c r="J59" s="252" t="s">
        <v>91</v>
      </c>
      <c r="K59" s="253" t="s">
        <v>6</v>
      </c>
    </row>
    <row r="60" spans="1:18" ht="13">
      <c r="F60" s="254" t="s">
        <v>81</v>
      </c>
      <c r="G60" s="255">
        <f>G46+G48+G49+G52</f>
        <v>2966.076651908802</v>
      </c>
      <c r="H60" s="193">
        <f>H46+H48+H49+H52</f>
        <v>5258.7742831104897</v>
      </c>
      <c r="I60" s="32">
        <f>I46+I48+I49+I52</f>
        <v>192.85366010396373</v>
      </c>
      <c r="J60" s="32">
        <f>J46+J48+J49+J52</f>
        <v>4160.0714968977627</v>
      </c>
      <c r="K60" s="33">
        <f>K46+K48+K49+K52</f>
        <v>6891.2074021463213</v>
      </c>
    </row>
    <row r="61" spans="1:18" ht="13">
      <c r="F61" s="234" t="s">
        <v>88</v>
      </c>
      <c r="G61" s="256">
        <f>G51+G54</f>
        <v>854.29954046662669</v>
      </c>
      <c r="H61" s="207">
        <f>H51+H54</f>
        <v>1514.6501526141742</v>
      </c>
      <c r="I61" s="23">
        <f>I51+I54</f>
        <v>55.546370690756163</v>
      </c>
      <c r="J61" s="23">
        <f>J51+J54</f>
        <v>1198.1980188613627</v>
      </c>
      <c r="K61" s="26">
        <f>K51+K54</f>
        <v>1984.829122040785</v>
      </c>
    </row>
    <row r="62" spans="1:18" ht="14.5">
      <c r="F62" s="234" t="s">
        <v>84</v>
      </c>
      <c r="G62" s="257">
        <f>G53</f>
        <v>0</v>
      </c>
      <c r="H62" s="258">
        <v>0</v>
      </c>
      <c r="I62" s="27">
        <v>0</v>
      </c>
      <c r="J62" s="27">
        <v>0</v>
      </c>
      <c r="K62" s="28">
        <v>0</v>
      </c>
    </row>
    <row r="63" spans="1:18" ht="13.5" thickBot="1">
      <c r="F63" s="259" t="s">
        <v>37</v>
      </c>
      <c r="G63" s="260">
        <f>SUM(G60:G62)</f>
        <v>3820.3761923754287</v>
      </c>
      <c r="H63" s="261">
        <f>SUM(H60:H62)</f>
        <v>6773.4244357246644</v>
      </c>
      <c r="I63" s="261">
        <f>SUM(I60:I62)</f>
        <v>248.4000307947199</v>
      </c>
      <c r="J63" s="261">
        <f t="shared" ref="J63:K63" si="20">SUM(J60:J62)</f>
        <v>5358.2695157591252</v>
      </c>
      <c r="K63" s="262">
        <f t="shared" si="20"/>
        <v>8876.0365241871059</v>
      </c>
    </row>
    <row r="64" spans="1:18" ht="13.5" thickTop="1">
      <c r="G64" s="16"/>
      <c r="H64" s="24" t="s">
        <v>142</v>
      </c>
      <c r="I64" s="24" t="s">
        <v>147</v>
      </c>
      <c r="J64" s="24" t="s">
        <v>150</v>
      </c>
      <c r="K64" s="24" t="s">
        <v>154</v>
      </c>
    </row>
  </sheetData>
  <mergeCells count="5">
    <mergeCell ref="P29:Q29"/>
    <mergeCell ref="G43:K43"/>
    <mergeCell ref="O7:P7"/>
    <mergeCell ref="F58:K58"/>
    <mergeCell ref="F27:G27"/>
  </mergeCells>
  <pageMargins left="0" right="0" top="0.75" bottom="0.75" header="0.3" footer="0.3"/>
  <pageSetup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B2CA-D2F1-41D8-A42A-707AD8F7157E}">
  <dimension ref="A1:L29"/>
  <sheetViews>
    <sheetView workbookViewId="0"/>
  </sheetViews>
  <sheetFormatPr defaultColWidth="11.4140625" defaultRowHeight="12.5"/>
  <cols>
    <col min="1" max="1" width="11.4140625" style="7"/>
    <col min="2" max="2" width="31.83203125" style="7" customWidth="1"/>
    <col min="3" max="3" width="14.4140625" style="7" customWidth="1"/>
    <col min="4" max="4" width="16.58203125" style="7" customWidth="1"/>
    <col min="5" max="5" width="13.83203125" style="7" bestFit="1" customWidth="1"/>
    <col min="6" max="6" width="13.58203125" style="7" bestFit="1" customWidth="1"/>
    <col min="7" max="7" width="12.75" style="7" bestFit="1" customWidth="1"/>
    <col min="8" max="8" width="14.25" style="7" bestFit="1" customWidth="1"/>
    <col min="9" max="9" width="16.25" style="7" bestFit="1" customWidth="1"/>
    <col min="10" max="10" width="16" style="7" bestFit="1" customWidth="1"/>
    <col min="11" max="11" width="19.58203125" style="7" bestFit="1" customWidth="1"/>
    <col min="12" max="12" width="24" style="7" bestFit="1" customWidth="1"/>
    <col min="13" max="13" width="11.25" style="7" bestFit="1" customWidth="1"/>
    <col min="14" max="16" width="11.4140625" style="7"/>
    <col min="17" max="17" width="13.25" style="7" bestFit="1" customWidth="1"/>
    <col min="18" max="18" width="10.25" style="7" bestFit="1" customWidth="1"/>
    <col min="19" max="19" width="13.58203125" style="7" bestFit="1" customWidth="1"/>
    <col min="20" max="16384" width="11.4140625" style="7"/>
  </cols>
  <sheetData>
    <row r="1" spans="1:12" ht="15.5">
      <c r="A1" s="45" t="s">
        <v>214</v>
      </c>
    </row>
    <row r="2" spans="1:12">
      <c r="A2" s="7" t="s">
        <v>215</v>
      </c>
    </row>
    <row r="7" spans="1:12" ht="13.5" thickBot="1">
      <c r="D7" s="328" t="s">
        <v>231</v>
      </c>
      <c r="E7" s="328"/>
      <c r="F7" s="328"/>
      <c r="G7" s="328"/>
      <c r="H7" s="328"/>
      <c r="I7" s="328"/>
      <c r="L7" s="49">
        <v>0.59040000000000004</v>
      </c>
    </row>
    <row r="8" spans="1:12" ht="13">
      <c r="B8" s="11"/>
      <c r="C8" s="13">
        <v>2024</v>
      </c>
      <c r="D8" s="327"/>
      <c r="E8" s="327"/>
      <c r="F8" s="327"/>
      <c r="G8" s="327"/>
      <c r="H8" s="13" t="s">
        <v>37</v>
      </c>
      <c r="I8" s="13" t="s">
        <v>37</v>
      </c>
      <c r="K8" s="16" t="s">
        <v>221</v>
      </c>
      <c r="L8" s="50" t="s">
        <v>128</v>
      </c>
    </row>
    <row r="9" spans="1:12" ht="13">
      <c r="A9" s="48" t="s">
        <v>92</v>
      </c>
      <c r="B9" s="48" t="s">
        <v>93</v>
      </c>
      <c r="C9" s="48" t="s">
        <v>107</v>
      </c>
      <c r="D9" s="48" t="s">
        <v>216</v>
      </c>
      <c r="E9" s="48" t="s">
        <v>217</v>
      </c>
      <c r="F9" s="48" t="s">
        <v>99</v>
      </c>
      <c r="G9" s="48" t="s">
        <v>218</v>
      </c>
      <c r="H9" s="48" t="s">
        <v>219</v>
      </c>
      <c r="I9" s="48" t="s">
        <v>220</v>
      </c>
      <c r="J9" s="48" t="s">
        <v>106</v>
      </c>
      <c r="K9" s="25" t="s">
        <v>222</v>
      </c>
      <c r="L9" s="48" t="s">
        <v>144</v>
      </c>
    </row>
    <row r="10" spans="1:12" ht="13">
      <c r="A10" s="13" t="s">
        <v>232</v>
      </c>
      <c r="B10" s="30" t="s">
        <v>94</v>
      </c>
      <c r="C10" s="14">
        <v>29.57</v>
      </c>
      <c r="D10" s="21">
        <v>109.3</v>
      </c>
      <c r="E10" s="70">
        <f>+D10*C10</f>
        <v>3232.0009999999997</v>
      </c>
      <c r="F10" s="21">
        <v>31.7</v>
      </c>
      <c r="G10" s="70">
        <f>+F10*C10*1.5</f>
        <v>1406.0535</v>
      </c>
      <c r="H10" s="21">
        <f>+D10+F10</f>
        <v>141</v>
      </c>
      <c r="I10" s="71">
        <f>+E10+G10</f>
        <v>4638.0545000000002</v>
      </c>
      <c r="J10" s="71">
        <f>+I10*0.05</f>
        <v>231.90272500000003</v>
      </c>
      <c r="K10" s="86">
        <f>+I10+J10</f>
        <v>4869.9572250000001</v>
      </c>
      <c r="L10" s="67">
        <f>+I10*L7</f>
        <v>2738.3073768000004</v>
      </c>
    </row>
    <row r="11" spans="1:12" ht="13">
      <c r="A11" s="13" t="s">
        <v>105</v>
      </c>
      <c r="B11" s="30" t="s">
        <v>95</v>
      </c>
      <c r="C11" s="14">
        <v>21.09</v>
      </c>
      <c r="D11" s="14">
        <v>222</v>
      </c>
      <c r="E11" s="82">
        <f t="shared" ref="E11:E16" si="0">+D11*C11</f>
        <v>4681.9799999999996</v>
      </c>
      <c r="F11" s="14">
        <v>31.840000000000003</v>
      </c>
      <c r="G11" s="82">
        <f>+F11*C11*1.5</f>
        <v>1007.2584000000002</v>
      </c>
      <c r="H11" s="15">
        <f t="shared" ref="H11:I16" si="1">+D11+F11</f>
        <v>253.84</v>
      </c>
      <c r="I11" s="65">
        <f t="shared" si="1"/>
        <v>5689.2384000000002</v>
      </c>
      <c r="J11" s="65">
        <f t="shared" ref="J11:J16" si="2">+I11*0.05</f>
        <v>284.46192000000002</v>
      </c>
      <c r="K11" s="87">
        <f t="shared" ref="K11:K16" si="3">+I11+J11</f>
        <v>5973.7003199999999</v>
      </c>
      <c r="L11" s="73">
        <f>+I11*$L$7</f>
        <v>3358.9263513600004</v>
      </c>
    </row>
    <row r="12" spans="1:12" ht="13">
      <c r="A12" s="13" t="s">
        <v>100</v>
      </c>
      <c r="B12" s="30" t="s">
        <v>96</v>
      </c>
      <c r="C12" s="14">
        <v>22.94</v>
      </c>
      <c r="D12" s="14">
        <v>275.36000000000007</v>
      </c>
      <c r="E12" s="82">
        <f t="shared" si="0"/>
        <v>6316.7584000000015</v>
      </c>
      <c r="F12" s="14">
        <v>14.56</v>
      </c>
      <c r="G12" s="82">
        <f t="shared" ref="G12:G16" si="4">+F12*C12*1.5</f>
        <v>501.00960000000009</v>
      </c>
      <c r="H12" s="15">
        <f t="shared" si="1"/>
        <v>289.92000000000007</v>
      </c>
      <c r="I12" s="65">
        <f t="shared" si="1"/>
        <v>6817.7680000000018</v>
      </c>
      <c r="J12" s="65">
        <f t="shared" si="2"/>
        <v>340.8884000000001</v>
      </c>
      <c r="K12" s="87">
        <f t="shared" si="3"/>
        <v>7158.6564000000017</v>
      </c>
      <c r="L12" s="73">
        <f t="shared" ref="L12:L16" si="5">+I12*$L$7</f>
        <v>4025.2102272000016</v>
      </c>
    </row>
    <row r="13" spans="1:12" ht="13">
      <c r="A13" s="13" t="s">
        <v>101</v>
      </c>
      <c r="B13" s="30" t="s">
        <v>97</v>
      </c>
      <c r="C13" s="14">
        <v>20</v>
      </c>
      <c r="D13" s="14">
        <v>214.72000000000003</v>
      </c>
      <c r="E13" s="82">
        <f t="shared" si="0"/>
        <v>4294.4000000000005</v>
      </c>
      <c r="F13" s="14">
        <v>28.880000000000003</v>
      </c>
      <c r="G13" s="82">
        <f t="shared" si="4"/>
        <v>866.40000000000009</v>
      </c>
      <c r="H13" s="15">
        <f t="shared" si="1"/>
        <v>243.60000000000002</v>
      </c>
      <c r="I13" s="65">
        <f t="shared" si="1"/>
        <v>5160.8000000000011</v>
      </c>
      <c r="J13" s="65">
        <f t="shared" si="2"/>
        <v>258.04000000000008</v>
      </c>
      <c r="K13" s="87">
        <f t="shared" si="3"/>
        <v>5418.8400000000011</v>
      </c>
      <c r="L13" s="73">
        <f t="shared" si="5"/>
        <v>3046.9363200000007</v>
      </c>
    </row>
    <row r="14" spans="1:12" ht="13">
      <c r="A14" s="13" t="s">
        <v>102</v>
      </c>
      <c r="B14" s="30" t="s">
        <v>97</v>
      </c>
      <c r="C14" s="14">
        <v>16.850000000000001</v>
      </c>
      <c r="D14" s="14">
        <v>245.52000000000004</v>
      </c>
      <c r="E14" s="82">
        <f t="shared" si="0"/>
        <v>4137.0120000000006</v>
      </c>
      <c r="F14" s="14">
        <v>14.4</v>
      </c>
      <c r="G14" s="82">
        <f t="shared" si="4"/>
        <v>363.96000000000004</v>
      </c>
      <c r="H14" s="15">
        <f t="shared" si="1"/>
        <v>259.92</v>
      </c>
      <c r="I14" s="65">
        <f t="shared" si="1"/>
        <v>4500.9720000000007</v>
      </c>
      <c r="J14" s="65">
        <f t="shared" si="2"/>
        <v>225.04860000000005</v>
      </c>
      <c r="K14" s="87">
        <f t="shared" si="3"/>
        <v>4726.0206000000007</v>
      </c>
      <c r="L14" s="73">
        <f t="shared" si="5"/>
        <v>2657.3738688000008</v>
      </c>
    </row>
    <row r="15" spans="1:12" ht="13">
      <c r="A15" s="13" t="s">
        <v>103</v>
      </c>
      <c r="B15" s="30" t="s">
        <v>98</v>
      </c>
      <c r="C15" s="14">
        <v>19.670000000000002</v>
      </c>
      <c r="D15" s="14">
        <v>286</v>
      </c>
      <c r="E15" s="82">
        <f t="shared" si="0"/>
        <v>5625.6200000000008</v>
      </c>
      <c r="F15" s="14">
        <v>4.6400000000000006</v>
      </c>
      <c r="G15" s="82">
        <f t="shared" si="4"/>
        <v>136.90320000000003</v>
      </c>
      <c r="H15" s="15">
        <f t="shared" si="1"/>
        <v>290.64</v>
      </c>
      <c r="I15" s="65">
        <f t="shared" si="1"/>
        <v>5762.5232000000005</v>
      </c>
      <c r="J15" s="65">
        <f t="shared" si="2"/>
        <v>288.12616000000003</v>
      </c>
      <c r="K15" s="87">
        <f t="shared" si="3"/>
        <v>6050.6493600000003</v>
      </c>
      <c r="L15" s="73">
        <f t="shared" si="5"/>
        <v>3402.1936972800004</v>
      </c>
    </row>
    <row r="16" spans="1:12" ht="16">
      <c r="A16" s="13" t="s">
        <v>104</v>
      </c>
      <c r="B16" s="30" t="s">
        <v>97</v>
      </c>
      <c r="C16" s="14">
        <v>18.2</v>
      </c>
      <c r="D16" s="51">
        <v>247.44000000000003</v>
      </c>
      <c r="E16" s="83">
        <f t="shared" si="0"/>
        <v>4503.4080000000004</v>
      </c>
      <c r="F16" s="51">
        <v>13.840000000000002</v>
      </c>
      <c r="G16" s="83">
        <f t="shared" si="4"/>
        <v>377.83200000000005</v>
      </c>
      <c r="H16" s="52">
        <f t="shared" si="1"/>
        <v>261.28000000000003</v>
      </c>
      <c r="I16" s="85">
        <f t="shared" si="1"/>
        <v>4881.2400000000007</v>
      </c>
      <c r="J16" s="85">
        <f t="shared" si="2"/>
        <v>244.06200000000004</v>
      </c>
      <c r="K16" s="88">
        <f t="shared" si="3"/>
        <v>5125.3020000000006</v>
      </c>
      <c r="L16" s="75">
        <f t="shared" si="5"/>
        <v>2881.8840960000007</v>
      </c>
    </row>
    <row r="17" spans="2:12" ht="14.5">
      <c r="B17" s="30" t="s">
        <v>224</v>
      </c>
      <c r="D17" s="14">
        <f t="shared" ref="D17:L17" si="6">SUM(D10:D16)</f>
        <v>1600.3400000000001</v>
      </c>
      <c r="E17" s="84">
        <f t="shared" si="6"/>
        <v>32791.179400000008</v>
      </c>
      <c r="F17" s="14">
        <f t="shared" si="6"/>
        <v>139.86000000000001</v>
      </c>
      <c r="G17" s="84">
        <f t="shared" si="6"/>
        <v>4659.4167000000007</v>
      </c>
      <c r="H17" s="21">
        <f t="shared" si="6"/>
        <v>1740.2</v>
      </c>
      <c r="I17" s="84">
        <f t="shared" si="6"/>
        <v>37450.59610000001</v>
      </c>
      <c r="J17" s="84">
        <f t="shared" si="6"/>
        <v>1872.5298050000006</v>
      </c>
      <c r="K17" s="89">
        <f t="shared" si="6"/>
        <v>39323.125905000008</v>
      </c>
      <c r="L17" s="84">
        <f t="shared" si="6"/>
        <v>22110.831937440005</v>
      </c>
    </row>
    <row r="18" spans="2:12" ht="13">
      <c r="K18" s="24" t="s">
        <v>139</v>
      </c>
    </row>
    <row r="19" spans="2:12" ht="13">
      <c r="K19" s="24" t="s">
        <v>223</v>
      </c>
    </row>
    <row r="20" spans="2:12" ht="13">
      <c r="K20" s="16"/>
    </row>
    <row r="22" spans="2:12" ht="13">
      <c r="G22" s="322" t="s">
        <v>192</v>
      </c>
      <c r="H22" s="324"/>
      <c r="I22" s="324"/>
      <c r="J22" s="324"/>
      <c r="K22" s="323"/>
    </row>
    <row r="23" spans="2:12">
      <c r="G23" s="53">
        <v>0.152348819484972</v>
      </c>
      <c r="H23" s="29">
        <v>0.27011036732790655</v>
      </c>
      <c r="I23" s="29">
        <v>9.9056871747690498E-3</v>
      </c>
      <c r="J23" s="29">
        <v>0.21367687214610187</v>
      </c>
      <c r="K23" s="54">
        <v>0.35395825386625035</v>
      </c>
    </row>
    <row r="24" spans="2:12">
      <c r="G24" s="55" t="s">
        <v>3</v>
      </c>
      <c r="H24" s="48" t="s">
        <v>141</v>
      </c>
      <c r="I24" s="48" t="s">
        <v>90</v>
      </c>
      <c r="J24" s="48" t="s">
        <v>91</v>
      </c>
      <c r="K24" s="56" t="s">
        <v>6</v>
      </c>
    </row>
    <row r="25" spans="2:12" ht="14.5">
      <c r="G25" s="90">
        <f>+L17*G23</f>
        <v>3368.5591434996013</v>
      </c>
      <c r="H25" s="91">
        <f>+L17*H23</f>
        <v>5972.3649365475276</v>
      </c>
      <c r="I25" s="91">
        <f>+L17*I23</f>
        <v>219.02298434617336</v>
      </c>
      <c r="J25" s="91">
        <f>+L17*J23</f>
        <v>4724.573408940314</v>
      </c>
      <c r="K25" s="92">
        <f>+L17*K23</f>
        <v>7826.3114641063858</v>
      </c>
      <c r="L25" s="76">
        <f>SUM(G25:K25)</f>
        <v>22110.831937440002</v>
      </c>
    </row>
    <row r="26" spans="2:12" ht="13">
      <c r="B26" s="20"/>
      <c r="G26" s="13" t="s">
        <v>25</v>
      </c>
      <c r="H26" s="24" t="s">
        <v>145</v>
      </c>
      <c r="I26" s="24" t="s">
        <v>148</v>
      </c>
      <c r="J26" s="24" t="s">
        <v>151</v>
      </c>
      <c r="K26" s="24" t="s">
        <v>157</v>
      </c>
    </row>
    <row r="27" spans="2:12" ht="13">
      <c r="B27" s="20"/>
    </row>
    <row r="28" spans="2:12" ht="13">
      <c r="B28" s="20"/>
      <c r="L28" s="32"/>
    </row>
    <row r="29" spans="2:12" ht="13">
      <c r="B29" s="20"/>
    </row>
  </sheetData>
  <mergeCells count="4">
    <mergeCell ref="D8:E8"/>
    <mergeCell ref="F8:G8"/>
    <mergeCell ref="G22:K22"/>
    <mergeCell ref="D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C875-A931-4DF8-A293-10D647000D9E}">
  <dimension ref="A1:N61"/>
  <sheetViews>
    <sheetView workbookViewId="0"/>
  </sheetViews>
  <sheetFormatPr defaultColWidth="9.1640625" defaultRowHeight="13"/>
  <cols>
    <col min="1" max="1" width="50.25" style="81" customWidth="1"/>
    <col min="2" max="2" width="19" style="81" bestFit="1" customWidth="1"/>
    <col min="3" max="3" width="25.25" style="81" customWidth="1"/>
    <col min="4" max="4" width="20" style="81" customWidth="1"/>
    <col min="5" max="5" width="4.1640625" style="81" customWidth="1"/>
    <col min="6" max="6" width="14.58203125" style="81" customWidth="1"/>
    <col min="7" max="7" width="4" style="81" customWidth="1"/>
    <col min="8" max="8" width="15" style="81" bestFit="1" customWidth="1"/>
    <col min="9" max="9" width="4.75" style="81" customWidth="1"/>
    <col min="10" max="10" width="12.58203125" style="81" bestFit="1" customWidth="1"/>
    <col min="11" max="11" width="4.75" style="81" customWidth="1"/>
    <col min="12" max="12" width="12.58203125" style="81" bestFit="1" customWidth="1"/>
    <col min="13" max="13" width="9.75" style="81" customWidth="1"/>
    <col min="14" max="14" width="9.75" style="81" bestFit="1" customWidth="1"/>
    <col min="15" max="16384" width="9.1640625" style="81"/>
  </cols>
  <sheetData>
    <row r="1" spans="1:14" ht="15.5">
      <c r="A1" s="45" t="s">
        <v>1</v>
      </c>
      <c r="L1" s="186"/>
      <c r="M1" s="208"/>
      <c r="N1" s="208"/>
    </row>
    <row r="2" spans="1:14">
      <c r="A2" s="7" t="s">
        <v>241</v>
      </c>
      <c r="L2" s="186"/>
      <c r="M2" s="208"/>
      <c r="N2" s="208"/>
    </row>
    <row r="3" spans="1:14">
      <c r="A3" s="7"/>
      <c r="L3" s="186"/>
      <c r="M3" s="208"/>
      <c r="N3" s="208"/>
    </row>
    <row r="5" spans="1:14">
      <c r="A5" s="20" t="s">
        <v>239</v>
      </c>
      <c r="B5" s="164"/>
      <c r="C5" s="263"/>
      <c r="D5" s="263"/>
      <c r="E5" s="263"/>
      <c r="F5" s="164"/>
      <c r="G5" s="164"/>
    </row>
    <row r="6" spans="1:14">
      <c r="B6" s="195"/>
      <c r="C6" s="264"/>
      <c r="D6" s="265"/>
      <c r="E6" s="265"/>
      <c r="F6" s="164"/>
      <c r="G6" s="164"/>
    </row>
    <row r="7" spans="1:14">
      <c r="A7" s="266" t="s">
        <v>133</v>
      </c>
      <c r="B7" s="267" t="s">
        <v>134</v>
      </c>
      <c r="C7" s="268" t="s">
        <v>108</v>
      </c>
      <c r="D7" s="269" t="s">
        <v>135</v>
      </c>
      <c r="E7" s="269"/>
      <c r="F7" s="270" t="s">
        <v>69</v>
      </c>
      <c r="G7" s="197"/>
    </row>
    <row r="8" spans="1:14">
      <c r="A8" s="271" t="s">
        <v>3</v>
      </c>
      <c r="B8" s="272">
        <v>412982</v>
      </c>
      <c r="C8" s="273">
        <f>+B8</f>
        <v>412982</v>
      </c>
      <c r="D8" s="274">
        <f>+C8/C22</f>
        <v>0.15234881948497214</v>
      </c>
      <c r="E8" s="275"/>
      <c r="F8" s="276" t="s">
        <v>3</v>
      </c>
      <c r="G8" s="276"/>
    </row>
    <row r="9" spans="1:14">
      <c r="A9" s="271" t="s">
        <v>113</v>
      </c>
      <c r="B9" s="277">
        <v>16822</v>
      </c>
      <c r="C9" s="278"/>
      <c r="D9" s="279"/>
      <c r="E9" s="280"/>
      <c r="F9" s="278"/>
      <c r="G9" s="278"/>
    </row>
    <row r="10" spans="1:14">
      <c r="A10" s="271" t="s">
        <v>114</v>
      </c>
      <c r="B10" s="277">
        <v>34202</v>
      </c>
      <c r="C10" s="278"/>
      <c r="D10" s="279"/>
      <c r="E10" s="280"/>
      <c r="F10" s="278"/>
      <c r="G10" s="278"/>
    </row>
    <row r="11" spans="1:14">
      <c r="A11" s="271" t="s">
        <v>115</v>
      </c>
      <c r="B11" s="277">
        <v>139912</v>
      </c>
      <c r="C11" s="278"/>
      <c r="D11" s="279"/>
      <c r="E11" s="280"/>
      <c r="F11" s="278"/>
      <c r="G11" s="278"/>
    </row>
    <row r="12" spans="1:14">
      <c r="A12" s="271" t="s">
        <v>116</v>
      </c>
      <c r="B12" s="277">
        <v>340969</v>
      </c>
      <c r="C12" s="278"/>
      <c r="D12" s="279"/>
      <c r="E12" s="280"/>
      <c r="F12" s="278"/>
      <c r="G12" s="278"/>
    </row>
    <row r="13" spans="1:14">
      <c r="A13" s="271" t="s">
        <v>117</v>
      </c>
      <c r="B13" s="277">
        <v>200301</v>
      </c>
      <c r="C13" s="281">
        <f>SUM(B9:B13)</f>
        <v>732206</v>
      </c>
      <c r="D13" s="282">
        <f>+C13/C22</f>
        <v>0.27011036732790655</v>
      </c>
      <c r="E13" s="275"/>
      <c r="F13" s="278" t="s">
        <v>140</v>
      </c>
      <c r="G13" s="278"/>
    </row>
    <row r="14" spans="1:14">
      <c r="A14" s="271" t="s">
        <v>110</v>
      </c>
      <c r="B14" s="283">
        <v>26852</v>
      </c>
      <c r="C14" s="281">
        <f>+B14</f>
        <v>26852</v>
      </c>
      <c r="D14" s="284">
        <f>+C14/C22</f>
        <v>9.9056871747690498E-3</v>
      </c>
      <c r="E14" s="275"/>
      <c r="F14" s="278" t="s">
        <v>118</v>
      </c>
      <c r="G14" s="278"/>
    </row>
    <row r="15" spans="1:14">
      <c r="A15" s="271" t="s">
        <v>119</v>
      </c>
      <c r="B15" s="283">
        <v>504091</v>
      </c>
      <c r="C15" s="278"/>
      <c r="D15" s="279"/>
      <c r="E15" s="280"/>
      <c r="F15" s="278"/>
      <c r="G15" s="278"/>
    </row>
    <row r="16" spans="1:14">
      <c r="A16" s="271" t="s">
        <v>120</v>
      </c>
      <c r="B16" s="277">
        <v>32553</v>
      </c>
      <c r="C16" s="278"/>
      <c r="D16" s="279"/>
      <c r="E16" s="280"/>
      <c r="F16" s="278"/>
      <c r="G16" s="278"/>
    </row>
    <row r="17" spans="1:11">
      <c r="A17" s="271" t="s">
        <v>121</v>
      </c>
      <c r="B17" s="277">
        <v>10375</v>
      </c>
      <c r="C17" s="278"/>
      <c r="D17" s="279"/>
      <c r="E17" s="280"/>
      <c r="F17" s="278"/>
      <c r="G17" s="278"/>
    </row>
    <row r="18" spans="1:11">
      <c r="A18" s="271" t="s">
        <v>122</v>
      </c>
      <c r="B18" s="277">
        <v>22821</v>
      </c>
      <c r="C18" s="278"/>
      <c r="D18" s="279"/>
      <c r="E18" s="280"/>
      <c r="F18" s="278"/>
      <c r="G18" s="278"/>
    </row>
    <row r="19" spans="1:11">
      <c r="A19" s="271" t="s">
        <v>123</v>
      </c>
      <c r="B19" s="277">
        <v>9388</v>
      </c>
      <c r="C19" s="281">
        <f>SUM(B15:B19)</f>
        <v>579228</v>
      </c>
      <c r="D19" s="285">
        <f>+C19/C22</f>
        <v>0.21367687214610187</v>
      </c>
      <c r="E19" s="275"/>
      <c r="F19" s="278" t="s">
        <v>124</v>
      </c>
      <c r="G19" s="278"/>
    </row>
    <row r="20" spans="1:11">
      <c r="A20" s="271" t="s">
        <v>125</v>
      </c>
      <c r="B20" s="283">
        <v>294535</v>
      </c>
      <c r="C20" s="278"/>
      <c r="D20" s="279"/>
      <c r="E20" s="280"/>
      <c r="F20" s="278"/>
      <c r="G20" s="278"/>
    </row>
    <row r="21" spans="1:11">
      <c r="A21" s="271" t="s">
        <v>126</v>
      </c>
      <c r="B21" s="277">
        <v>664963</v>
      </c>
      <c r="C21" s="281">
        <f>SUM(B20:B21)</f>
        <v>959498</v>
      </c>
      <c r="D21" s="285">
        <f>+C21/C22</f>
        <v>0.35395825386625035</v>
      </c>
      <c r="E21" s="275"/>
      <c r="F21" s="278" t="s">
        <v>6</v>
      </c>
      <c r="G21" s="278"/>
    </row>
    <row r="22" spans="1:11">
      <c r="A22" s="81" t="s">
        <v>111</v>
      </c>
      <c r="B22" s="278">
        <f>SUM(B8:B21)</f>
        <v>2710766</v>
      </c>
      <c r="C22" s="276">
        <f>SUM(C8:C21)</f>
        <v>2710766</v>
      </c>
      <c r="D22" s="286">
        <f>SUM(D8:D21)</f>
        <v>0.99999999999999989</v>
      </c>
      <c r="E22" s="286"/>
      <c r="H22" s="287"/>
      <c r="I22" s="287"/>
      <c r="J22" s="276"/>
      <c r="K22" s="276"/>
    </row>
    <row r="23" spans="1:11">
      <c r="B23" s="278"/>
      <c r="C23" s="276"/>
      <c r="D23" s="286"/>
      <c r="E23" s="286"/>
      <c r="H23" s="287"/>
      <c r="I23" s="287"/>
      <c r="J23" s="276"/>
      <c r="K23" s="276"/>
    </row>
    <row r="24" spans="1:11">
      <c r="A24" s="81" t="s">
        <v>112</v>
      </c>
      <c r="B24" s="276">
        <v>4591313</v>
      </c>
      <c r="C24" s="276">
        <v>4591313</v>
      </c>
    </row>
    <row r="25" spans="1:11">
      <c r="A25" s="81" t="s">
        <v>237</v>
      </c>
      <c r="B25" s="287">
        <f>+B22/B24</f>
        <v>0.59041193662902092</v>
      </c>
      <c r="C25" s="287">
        <f>+C22/C24</f>
        <v>0.59041193662902092</v>
      </c>
      <c r="J25" s="287"/>
      <c r="K25" s="287"/>
    </row>
    <row r="26" spans="1:11">
      <c r="J26" s="276"/>
      <c r="K26" s="276"/>
    </row>
    <row r="27" spans="1:11">
      <c r="J27" s="276"/>
      <c r="K27" s="276"/>
    </row>
    <row r="28" spans="1:11">
      <c r="A28" s="20" t="s">
        <v>240</v>
      </c>
      <c r="J28" s="276"/>
      <c r="K28" s="276"/>
    </row>
    <row r="29" spans="1:11">
      <c r="A29" s="20"/>
      <c r="J29" s="276"/>
      <c r="K29" s="276"/>
    </row>
    <row r="30" spans="1:11">
      <c r="A30" s="30" t="s">
        <v>3</v>
      </c>
      <c r="B30" s="172">
        <v>27367.79</v>
      </c>
      <c r="J30" s="276"/>
      <c r="K30" s="276"/>
    </row>
    <row r="31" spans="1:11">
      <c r="A31" s="30" t="s">
        <v>143</v>
      </c>
      <c r="B31" s="165">
        <v>48522.36</v>
      </c>
      <c r="J31" s="276"/>
      <c r="K31" s="276"/>
    </row>
    <row r="32" spans="1:11">
      <c r="A32" s="30" t="s">
        <v>118</v>
      </c>
      <c r="B32" s="165">
        <v>1779.44</v>
      </c>
      <c r="J32" s="276"/>
      <c r="K32" s="276"/>
    </row>
    <row r="33" spans="1:13">
      <c r="A33" s="30" t="s">
        <v>91</v>
      </c>
      <c r="B33" s="165">
        <v>38384.699999999997</v>
      </c>
      <c r="J33" s="276"/>
      <c r="K33" s="276"/>
    </row>
    <row r="34" spans="1:13" ht="14.5">
      <c r="A34" s="30" t="s">
        <v>6</v>
      </c>
      <c r="B34" s="173">
        <v>63584.71</v>
      </c>
      <c r="J34" s="276"/>
      <c r="K34" s="276"/>
    </row>
    <row r="35" spans="1:13">
      <c r="A35" s="77" t="s">
        <v>238</v>
      </c>
      <c r="B35" s="187">
        <f>SUM(B30:B34)</f>
        <v>179639</v>
      </c>
      <c r="J35" s="276"/>
      <c r="K35" s="276"/>
    </row>
    <row r="36" spans="1:13">
      <c r="A36" s="7"/>
      <c r="J36" s="276"/>
      <c r="K36" s="276"/>
    </row>
    <row r="37" spans="1:13">
      <c r="J37" s="276"/>
      <c r="K37" s="276"/>
    </row>
    <row r="38" spans="1:13">
      <c r="C38" s="172"/>
    </row>
    <row r="39" spans="1:13" ht="13.5" thickBot="1">
      <c r="B39" s="220"/>
      <c r="C39" s="288"/>
      <c r="D39" s="289">
        <f>+D8</f>
        <v>0.15234881948497214</v>
      </c>
      <c r="E39" s="280"/>
      <c r="F39" s="290">
        <f>+D13</f>
        <v>0.27011036732790655</v>
      </c>
      <c r="G39" s="290"/>
      <c r="H39" s="290">
        <f>+D14</f>
        <v>9.9056871747690498E-3</v>
      </c>
      <c r="I39" s="290"/>
      <c r="J39" s="290">
        <f>+D19</f>
        <v>0.21367687214610187</v>
      </c>
      <c r="K39" s="290"/>
      <c r="L39" s="290">
        <f>+D21</f>
        <v>0.35395825386625035</v>
      </c>
      <c r="M39" s="291"/>
    </row>
    <row r="40" spans="1:13" ht="13.5" thickBot="1">
      <c r="A40" s="292" t="s">
        <v>127</v>
      </c>
      <c r="B40" s="293" t="s">
        <v>128</v>
      </c>
      <c r="C40" s="294" t="s">
        <v>168</v>
      </c>
      <c r="D40" s="295" t="s">
        <v>3</v>
      </c>
      <c r="E40" s="296"/>
      <c r="F40" s="297" t="s">
        <v>141</v>
      </c>
      <c r="G40" s="17" t="s">
        <v>225</v>
      </c>
      <c r="H40" s="297" t="s">
        <v>5</v>
      </c>
      <c r="I40" s="17" t="s">
        <v>225</v>
      </c>
      <c r="J40" s="297" t="s">
        <v>91</v>
      </c>
      <c r="K40" s="17" t="s">
        <v>225</v>
      </c>
      <c r="L40" s="297" t="s">
        <v>6</v>
      </c>
      <c r="M40" s="17" t="s">
        <v>225</v>
      </c>
    </row>
    <row r="41" spans="1:13">
      <c r="A41" s="298" t="s">
        <v>167</v>
      </c>
      <c r="B41" s="299" t="s">
        <v>129</v>
      </c>
      <c r="C41" s="300">
        <v>35892</v>
      </c>
      <c r="D41" s="165">
        <f>+C41*$D$39</f>
        <v>5468.1038289546204</v>
      </c>
      <c r="E41" s="208"/>
      <c r="F41" s="165">
        <f>+C41*$F$39</f>
        <v>9694.8013041332215</v>
      </c>
      <c r="G41" s="165"/>
      <c r="H41" s="165">
        <f>+C41*$H$39</f>
        <v>355.53492407681074</v>
      </c>
      <c r="I41" s="165"/>
      <c r="J41" s="165">
        <f>+C41*$J$39</f>
        <v>7669.2902950678881</v>
      </c>
      <c r="K41" s="165"/>
      <c r="L41" s="165">
        <f>+C41*$L$39</f>
        <v>12704.269647767458</v>
      </c>
    </row>
    <row r="42" spans="1:13">
      <c r="A42" s="301" t="s">
        <v>164</v>
      </c>
      <c r="B42" s="299" t="s">
        <v>130</v>
      </c>
      <c r="C42" s="300">
        <v>41094</v>
      </c>
      <c r="D42" s="165">
        <f>+C42*$D$39</f>
        <v>6260.622387915445</v>
      </c>
      <c r="E42" s="208"/>
      <c r="F42" s="165">
        <f>+C42*$F$39</f>
        <v>11099.915434972992</v>
      </c>
      <c r="G42" s="165"/>
      <c r="H42" s="165">
        <f>+C42*$H$39</f>
        <v>407.06430875995932</v>
      </c>
      <c r="I42" s="165"/>
      <c r="J42" s="165">
        <f t="shared" ref="J42:J44" si="0">+C42*$J$39</f>
        <v>8780.8373839719097</v>
      </c>
      <c r="K42" s="165"/>
      <c r="L42" s="165">
        <f t="shared" ref="L42:L44" si="1">+C42*$L$39</f>
        <v>14545.560484379692</v>
      </c>
    </row>
    <row r="43" spans="1:13">
      <c r="A43" s="301" t="s">
        <v>165</v>
      </c>
      <c r="B43" s="299" t="s">
        <v>131</v>
      </c>
      <c r="C43" s="300">
        <v>48168</v>
      </c>
      <c r="D43" s="165">
        <f>+C43*$D$39</f>
        <v>7338.3379369521381</v>
      </c>
      <c r="E43" s="208"/>
      <c r="F43" s="165">
        <f>+C43*$F$39</f>
        <v>13010.676173450604</v>
      </c>
      <c r="G43" s="165"/>
      <c r="H43" s="165">
        <f>+C43*$H$39</f>
        <v>477.13713983427562</v>
      </c>
      <c r="I43" s="165"/>
      <c r="J43" s="165">
        <f t="shared" si="0"/>
        <v>10292.387577533435</v>
      </c>
      <c r="K43" s="165"/>
      <c r="L43" s="165">
        <f t="shared" si="1"/>
        <v>17049.461172229549</v>
      </c>
    </row>
    <row r="44" spans="1:13" ht="15" thickBot="1">
      <c r="A44" s="302" t="s">
        <v>166</v>
      </c>
      <c r="B44" s="303" t="s">
        <v>132</v>
      </c>
      <c r="C44" s="304">
        <v>54485</v>
      </c>
      <c r="D44" s="173">
        <f>+C44*$D$39</f>
        <v>8300.7254296387073</v>
      </c>
      <c r="E44" s="305"/>
      <c r="F44" s="173">
        <f>+C44*$F$39</f>
        <v>14716.963363860988</v>
      </c>
      <c r="G44" s="173"/>
      <c r="H44" s="173">
        <f>+C44*$H$39</f>
        <v>539.71136571729164</v>
      </c>
      <c r="I44" s="173"/>
      <c r="J44" s="173">
        <f t="shared" si="0"/>
        <v>11642.18437888036</v>
      </c>
      <c r="K44" s="173"/>
      <c r="L44" s="173">
        <f t="shared" si="1"/>
        <v>19285.415461902649</v>
      </c>
    </row>
    <row r="45" spans="1:13">
      <c r="A45" s="197"/>
      <c r="B45" s="186" t="s">
        <v>158</v>
      </c>
      <c r="C45" s="306">
        <f t="shared" ref="C45:L45" si="2">SUM(C41:C44)</f>
        <v>179639</v>
      </c>
      <c r="D45" s="307">
        <f t="shared" si="2"/>
        <v>27367.789583460912</v>
      </c>
      <c r="E45" s="307" t="s">
        <v>185</v>
      </c>
      <c r="F45" s="308">
        <f t="shared" si="2"/>
        <v>48522.356276417806</v>
      </c>
      <c r="G45" s="308"/>
      <c r="H45" s="308">
        <f t="shared" si="2"/>
        <v>1779.4477383883373</v>
      </c>
      <c r="I45" s="308"/>
      <c r="J45" s="308">
        <f t="shared" si="2"/>
        <v>38384.699635453595</v>
      </c>
      <c r="K45" s="308"/>
      <c r="L45" s="308">
        <f t="shared" si="2"/>
        <v>63584.706766279356</v>
      </c>
      <c r="M45" s="193"/>
    </row>
    <row r="46" spans="1:13">
      <c r="A46" s="309"/>
      <c r="B46" s="186"/>
      <c r="C46" s="308"/>
      <c r="D46" s="310"/>
      <c r="E46" s="310"/>
      <c r="F46" s="310"/>
      <c r="G46" s="310"/>
      <c r="H46" s="310"/>
      <c r="I46" s="310"/>
      <c r="J46" s="310"/>
      <c r="K46" s="310"/>
      <c r="L46" s="310"/>
    </row>
    <row r="47" spans="1:13">
      <c r="A47" s="197"/>
      <c r="B47" s="30" t="s">
        <v>226</v>
      </c>
      <c r="C47" s="220"/>
      <c r="D47" s="307">
        <f>-D45</f>
        <v>-27367.789583460912</v>
      </c>
      <c r="E47" s="307" t="s">
        <v>185</v>
      </c>
    </row>
    <row r="48" spans="1:13">
      <c r="A48" s="197"/>
      <c r="B48" s="186"/>
      <c r="C48" s="220"/>
      <c r="D48" s="310"/>
      <c r="E48" s="310"/>
    </row>
    <row r="49" spans="1:13">
      <c r="A49" s="197"/>
      <c r="B49" s="166" t="s">
        <v>79</v>
      </c>
      <c r="D49" s="7"/>
      <c r="E49" s="311"/>
      <c r="F49" s="208">
        <f>+'New Employees '!H55</f>
        <v>6773.4244357246635</v>
      </c>
      <c r="G49" s="311" t="s">
        <v>142</v>
      </c>
      <c r="H49" s="165">
        <f>+'New Employees '!I55</f>
        <v>248.4000307947199</v>
      </c>
      <c r="I49" s="208" t="s">
        <v>147</v>
      </c>
      <c r="J49" s="165">
        <f>+'New Employees '!J63</f>
        <v>5358.2695157591252</v>
      </c>
      <c r="K49" s="171" t="s">
        <v>150</v>
      </c>
      <c r="L49" s="165">
        <f>+'New Employees '!K63</f>
        <v>8876.0365241871059</v>
      </c>
      <c r="M49" s="171" t="s">
        <v>154</v>
      </c>
    </row>
    <row r="50" spans="1:13" s="312" customFormat="1" ht="14.5">
      <c r="B50" s="166" t="s">
        <v>146</v>
      </c>
      <c r="D50" s="78"/>
      <c r="E50" s="164"/>
      <c r="F50" s="173">
        <f>+CSRs!H25</f>
        <v>5972.3649365475276</v>
      </c>
      <c r="G50" s="164" t="s">
        <v>145</v>
      </c>
      <c r="H50" s="173">
        <f>+CSRs!I25</f>
        <v>219.02298434617336</v>
      </c>
      <c r="I50" s="165" t="s">
        <v>148</v>
      </c>
      <c r="J50" s="173">
        <f>+CSRs!J25</f>
        <v>4724.573408940314</v>
      </c>
      <c r="K50" s="171" t="s">
        <v>151</v>
      </c>
      <c r="L50" s="173">
        <f>+CSRs!K25</f>
        <v>7826.3114641063858</v>
      </c>
      <c r="M50" s="171" t="s">
        <v>157</v>
      </c>
    </row>
    <row r="51" spans="1:13">
      <c r="B51" s="77" t="s">
        <v>233</v>
      </c>
      <c r="D51" s="20"/>
      <c r="E51" s="186"/>
      <c r="F51" s="187">
        <f>SUM(F49:F50)</f>
        <v>12745.789372272191</v>
      </c>
      <c r="G51" s="187"/>
      <c r="H51" s="187">
        <f>SUM(H49:H50)</f>
        <v>467.42301514089326</v>
      </c>
      <c r="I51" s="313"/>
      <c r="J51" s="187">
        <f>SUM(J49:J50)</f>
        <v>10082.842924699438</v>
      </c>
      <c r="K51" s="187"/>
      <c r="L51" s="187">
        <f>SUM(L49:L50)</f>
        <v>16702.347988293492</v>
      </c>
    </row>
    <row r="52" spans="1:13">
      <c r="D52" s="7"/>
      <c r="F52" s="314"/>
      <c r="G52" s="314"/>
      <c r="H52" s="314"/>
      <c r="I52" s="191"/>
      <c r="J52" s="191"/>
      <c r="K52" s="191"/>
      <c r="L52" s="191"/>
    </row>
    <row r="53" spans="1:13" ht="15" thickBot="1">
      <c r="B53" s="77" t="s">
        <v>234</v>
      </c>
      <c r="C53" s="186"/>
      <c r="D53" s="79">
        <f>SUM(D45:D52)</f>
        <v>0</v>
      </c>
      <c r="E53" s="315"/>
      <c r="F53" s="316">
        <f>+F45+F51</f>
        <v>61268.145648689999</v>
      </c>
      <c r="G53" s="317"/>
      <c r="H53" s="316">
        <f>+H45+H51</f>
        <v>2246.8707535292306</v>
      </c>
      <c r="I53" s="318"/>
      <c r="J53" s="316">
        <f>+J45+J51</f>
        <v>48467.54256015303</v>
      </c>
      <c r="K53" s="316"/>
      <c r="L53" s="316">
        <f>+L45+L51</f>
        <v>80287.054754572848</v>
      </c>
    </row>
    <row r="54" spans="1:13" ht="15" thickTop="1">
      <c r="C54" s="186"/>
      <c r="E54" s="315"/>
      <c r="F54" s="316"/>
      <c r="G54" s="317"/>
      <c r="H54" s="316"/>
      <c r="I54" s="318"/>
      <c r="J54" s="316"/>
      <c r="K54" s="316"/>
      <c r="L54" s="316"/>
    </row>
    <row r="55" spans="1:13" ht="14.5">
      <c r="B55" s="80" t="s">
        <v>235</v>
      </c>
      <c r="C55" s="186"/>
      <c r="E55" s="315"/>
      <c r="F55" s="316"/>
      <c r="G55" s="317"/>
      <c r="H55" s="316"/>
      <c r="I55" s="318"/>
      <c r="J55" s="316"/>
      <c r="K55" s="316"/>
      <c r="L55" s="316"/>
    </row>
    <row r="56" spans="1:13" ht="14.5">
      <c r="B56" s="166" t="s">
        <v>79</v>
      </c>
      <c r="D56" s="171">
        <f>+'New Employees '!G63</f>
        <v>3820.3761923754287</v>
      </c>
      <c r="E56" s="315"/>
      <c r="F56" s="316"/>
      <c r="G56" s="317"/>
      <c r="H56" s="316"/>
      <c r="I56" s="318"/>
      <c r="J56" s="316"/>
      <c r="K56" s="316"/>
      <c r="L56" s="316"/>
    </row>
    <row r="57" spans="1:13" ht="14.5">
      <c r="B57" s="166" t="s">
        <v>146</v>
      </c>
      <c r="D57" s="319">
        <f>+CSRs!G25</f>
        <v>3368.5591434996013</v>
      </c>
      <c r="E57" s="315"/>
      <c r="F57" s="316"/>
      <c r="G57" s="317"/>
      <c r="H57" s="316"/>
      <c r="I57" s="318"/>
      <c r="J57" s="316"/>
      <c r="K57" s="316"/>
      <c r="L57" s="316"/>
    </row>
    <row r="58" spans="1:13" ht="14.5">
      <c r="B58" s="30" t="s">
        <v>108</v>
      </c>
      <c r="D58" s="313">
        <f>SUM(D56:D57)</f>
        <v>7188.9353358750304</v>
      </c>
      <c r="E58" s="315"/>
      <c r="F58" s="316"/>
      <c r="G58" s="317"/>
      <c r="H58" s="316"/>
      <c r="I58" s="318"/>
      <c r="J58" s="316"/>
      <c r="K58" s="316"/>
      <c r="L58" s="316"/>
    </row>
    <row r="59" spans="1:13" ht="14.5">
      <c r="C59" s="186"/>
      <c r="D59" s="191"/>
      <c r="E59" s="315"/>
      <c r="F59" s="316"/>
      <c r="G59" s="317"/>
      <c r="H59" s="316"/>
      <c r="I59" s="318"/>
      <c r="J59" s="316"/>
      <c r="K59" s="316"/>
      <c r="L59" s="316"/>
    </row>
    <row r="60" spans="1:13" ht="14.5">
      <c r="B60" s="77" t="s">
        <v>236</v>
      </c>
      <c r="C60" s="186"/>
      <c r="D60" s="316">
        <f>+D45+D58</f>
        <v>34556.724919335946</v>
      </c>
    </row>
    <row r="61" spans="1:13">
      <c r="D61" s="164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3A09-A1DF-4471-9641-92EC2768D1DE}">
  <dimension ref="A1:K1695"/>
  <sheetViews>
    <sheetView topLeftCell="A15" workbookViewId="0">
      <selection activeCell="B31" sqref="B31"/>
    </sheetView>
  </sheetViews>
  <sheetFormatPr defaultRowHeight="14"/>
  <cols>
    <col min="1" max="1" width="49.58203125" customWidth="1"/>
    <col min="2" max="4" width="14.58203125" style="93" customWidth="1"/>
    <col min="5" max="5" width="15.4140625" customWidth="1"/>
    <col min="6" max="6" width="42.1640625" style="13" customWidth="1"/>
    <col min="8" max="8" width="15.4140625" customWidth="1"/>
    <col min="9" max="9" width="14.25" customWidth="1"/>
    <col min="10" max="10" width="13.1640625" customWidth="1"/>
    <col min="11" max="11" width="14.75" customWidth="1"/>
  </cols>
  <sheetData>
    <row r="1" spans="1:11" ht="15.5">
      <c r="A1" s="45" t="s">
        <v>242</v>
      </c>
    </row>
    <row r="4" spans="1:11">
      <c r="A4" s="94" t="s">
        <v>243</v>
      </c>
      <c r="B4" s="95" t="s">
        <v>244</v>
      </c>
      <c r="C4" s="95" t="s">
        <v>245</v>
      </c>
      <c r="D4" s="95" t="s">
        <v>246</v>
      </c>
      <c r="E4" s="96" t="s">
        <v>37</v>
      </c>
      <c r="F4" s="97" t="s">
        <v>75</v>
      </c>
    </row>
    <row r="5" spans="1:11">
      <c r="A5" s="98" t="s">
        <v>247</v>
      </c>
      <c r="B5" s="99"/>
      <c r="C5" s="99"/>
      <c r="D5" s="99"/>
      <c r="E5" s="99"/>
      <c r="F5" s="100"/>
    </row>
    <row r="6" spans="1:11">
      <c r="A6" s="101" t="s">
        <v>257</v>
      </c>
      <c r="B6" s="102">
        <f>7398.13+7303.13</f>
        <v>14701.26</v>
      </c>
      <c r="C6" s="102">
        <f>7303.13+7208.13</f>
        <v>14511.26</v>
      </c>
      <c r="D6" s="102">
        <f>7208.13+7107.19</f>
        <v>14315.32</v>
      </c>
      <c r="E6" s="103">
        <f>SUM(B6:D6)</f>
        <v>43527.839999999997</v>
      </c>
      <c r="F6" s="100"/>
      <c r="H6" s="104"/>
      <c r="I6" s="5"/>
    </row>
    <row r="7" spans="1:11">
      <c r="A7" s="101" t="s">
        <v>258</v>
      </c>
      <c r="B7" s="105">
        <v>13010.95</v>
      </c>
      <c r="C7" s="105">
        <v>11738.91</v>
      </c>
      <c r="D7" s="105">
        <v>10428.219999999999</v>
      </c>
      <c r="E7" s="106">
        <f t="shared" ref="E7:E13" si="0">SUM(B7:D7)</f>
        <v>35178.080000000002</v>
      </c>
      <c r="F7" s="100"/>
      <c r="I7" s="5"/>
    </row>
    <row r="8" spans="1:11">
      <c r="A8" s="101" t="s">
        <v>248</v>
      </c>
      <c r="B8" s="105">
        <f>635.24+486.06</f>
        <v>1121.3</v>
      </c>
      <c r="C8" s="105">
        <f>486.06+330.51</f>
        <v>816.56999999999994</v>
      </c>
      <c r="D8" s="105">
        <f>330.51+190.02</f>
        <v>520.53</v>
      </c>
      <c r="E8" s="106">
        <f t="shared" ref="E8" si="1">SUM(B8:D8)</f>
        <v>2458.3999999999996</v>
      </c>
      <c r="F8" s="100"/>
      <c r="I8" s="5"/>
    </row>
    <row r="9" spans="1:11">
      <c r="A9" s="101" t="s">
        <v>259</v>
      </c>
      <c r="B9" s="105">
        <f>17483.14+17048.86</f>
        <v>34532</v>
      </c>
      <c r="C9" s="105">
        <f>16610.23+16167.22</f>
        <v>32777.449999999997</v>
      </c>
      <c r="D9" s="105">
        <f>15719.78+15267.87</f>
        <v>30987.65</v>
      </c>
      <c r="E9" s="106">
        <f t="shared" si="0"/>
        <v>98297.1</v>
      </c>
      <c r="F9" s="100"/>
      <c r="I9" s="5"/>
    </row>
    <row r="10" spans="1:11">
      <c r="A10" s="101" t="s">
        <v>249</v>
      </c>
      <c r="B10" s="105">
        <f>17387.5+15156.25</f>
        <v>32543.75</v>
      </c>
      <c r="C10" s="105">
        <f>15156.25+12925</f>
        <v>28081.25</v>
      </c>
      <c r="D10" s="105">
        <f>12925+11331.25</f>
        <v>24256.25</v>
      </c>
      <c r="E10" s="106">
        <f t="shared" si="0"/>
        <v>84881.25</v>
      </c>
      <c r="F10" s="100"/>
      <c r="H10" s="104"/>
      <c r="I10" s="5"/>
    </row>
    <row r="11" spans="1:11">
      <c r="A11" s="101" t="s">
        <v>250</v>
      </c>
      <c r="B11" s="105">
        <f>144455.85+144455.85</f>
        <v>288911.7</v>
      </c>
      <c r="C11" s="105">
        <v>0</v>
      </c>
      <c r="D11" s="105">
        <v>0</v>
      </c>
      <c r="E11" s="106">
        <f t="shared" si="0"/>
        <v>288911.7</v>
      </c>
      <c r="F11" s="100"/>
      <c r="I11" s="5"/>
    </row>
    <row r="12" spans="1:11">
      <c r="A12" s="101" t="s">
        <v>251</v>
      </c>
      <c r="B12" s="105">
        <v>0</v>
      </c>
      <c r="C12" s="105">
        <v>406247.97</v>
      </c>
      <c r="D12" s="105">
        <v>0</v>
      </c>
      <c r="E12" s="106">
        <f t="shared" si="0"/>
        <v>406247.97</v>
      </c>
      <c r="F12" s="100"/>
      <c r="I12" s="5"/>
    </row>
    <row r="13" spans="1:11">
      <c r="A13" s="101" t="s">
        <v>252</v>
      </c>
      <c r="B13" s="105">
        <v>0</v>
      </c>
      <c r="C13" s="105">
        <v>0</v>
      </c>
      <c r="D13" s="105">
        <v>406248.97</v>
      </c>
      <c r="E13" s="106">
        <f t="shared" si="0"/>
        <v>406248.97</v>
      </c>
      <c r="F13" s="100" t="s">
        <v>253</v>
      </c>
      <c r="I13" s="5"/>
    </row>
    <row r="14" spans="1:11">
      <c r="A14" s="107" t="s">
        <v>254</v>
      </c>
      <c r="B14" s="108">
        <f>SUM(B6:B13)</f>
        <v>384820.96</v>
      </c>
      <c r="C14" s="108">
        <f>SUM(C6:C13)</f>
        <v>494173.41</v>
      </c>
      <c r="D14" s="108">
        <f>SUM(D6:D13)</f>
        <v>486756.93999999994</v>
      </c>
      <c r="E14" s="109">
        <f>SUM(E6:E13)</f>
        <v>1365751.31</v>
      </c>
      <c r="F14" s="110"/>
      <c r="H14" s="5"/>
      <c r="I14" s="5"/>
      <c r="J14" s="5"/>
      <c r="K14" s="5"/>
    </row>
    <row r="15" spans="1:11" ht="14.5">
      <c r="A15" s="111"/>
      <c r="B15" s="112"/>
      <c r="C15" s="112"/>
      <c r="D15" s="112"/>
      <c r="E15" s="113"/>
      <c r="F15" s="100"/>
    </row>
    <row r="16" spans="1:11">
      <c r="A16" s="98" t="s">
        <v>255</v>
      </c>
      <c r="B16" s="114"/>
      <c r="C16" s="114"/>
      <c r="D16" s="114"/>
      <c r="E16" s="114"/>
      <c r="F16" s="100"/>
    </row>
    <row r="17" spans="1:11">
      <c r="A17" s="101" t="s">
        <v>257</v>
      </c>
      <c r="B17" s="115">
        <v>8000</v>
      </c>
      <c r="C17" s="115">
        <v>8000</v>
      </c>
      <c r="D17" s="115">
        <v>8500</v>
      </c>
      <c r="E17" s="106">
        <f>SUM(B17:D17)</f>
        <v>24500</v>
      </c>
      <c r="F17" s="100"/>
      <c r="I17" s="5"/>
    </row>
    <row r="18" spans="1:11">
      <c r="A18" s="101" t="s">
        <v>258</v>
      </c>
      <c r="B18" s="115">
        <v>41821.01</v>
      </c>
      <c r="C18" s="115">
        <v>43093.049999999996</v>
      </c>
      <c r="D18" s="115">
        <v>44403.740000000005</v>
      </c>
      <c r="E18" s="106">
        <f>SUM(B18:D18)</f>
        <v>129317.8</v>
      </c>
      <c r="F18" s="100"/>
      <c r="I18" s="5"/>
    </row>
    <row r="19" spans="1:11">
      <c r="A19" s="101" t="s">
        <v>248</v>
      </c>
      <c r="B19" s="115">
        <v>10199.98</v>
      </c>
      <c r="C19" s="115">
        <v>10199.98</v>
      </c>
      <c r="D19" s="115">
        <v>9212.89</v>
      </c>
      <c r="E19" s="106">
        <f>SUM(B19:D19)</f>
        <v>29612.85</v>
      </c>
      <c r="F19" s="100"/>
      <c r="I19" s="5"/>
    </row>
    <row r="20" spans="1:11">
      <c r="A20" s="101" t="s">
        <v>259</v>
      </c>
      <c r="B20" s="115">
        <f>43428.06+43862.34</f>
        <v>87290.4</v>
      </c>
      <c r="C20" s="115">
        <f>44300.97+44743.98</f>
        <v>89044.950000000012</v>
      </c>
      <c r="D20" s="115">
        <f>45191.42+45643.33</f>
        <v>90834.75</v>
      </c>
      <c r="E20" s="106">
        <f t="shared" ref="E20" si="2">SUM(B20:D20)</f>
        <v>267170.09999999998</v>
      </c>
      <c r="F20" s="100"/>
      <c r="I20" s="5"/>
    </row>
    <row r="21" spans="1:11">
      <c r="A21" s="101" t="s">
        <v>249</v>
      </c>
      <c r="B21" s="115">
        <v>105000</v>
      </c>
      <c r="C21" s="115">
        <v>105000</v>
      </c>
      <c r="D21" s="115">
        <v>75000</v>
      </c>
      <c r="E21" s="106">
        <f>SUM(B21:D21)</f>
        <v>285000</v>
      </c>
      <c r="F21" s="100"/>
      <c r="I21" s="5"/>
    </row>
    <row r="22" spans="1:11">
      <c r="A22" s="101"/>
      <c r="B22" s="115">
        <v>0</v>
      </c>
      <c r="C22" s="115">
        <v>0</v>
      </c>
      <c r="D22" s="115">
        <v>0</v>
      </c>
      <c r="E22" s="106">
        <f>SUM(B22:D22)</f>
        <v>0</v>
      </c>
      <c r="F22" s="100"/>
    </row>
    <row r="23" spans="1:11">
      <c r="A23" s="101"/>
      <c r="B23" s="115">
        <v>0</v>
      </c>
      <c r="C23" s="115">
        <v>0</v>
      </c>
      <c r="D23" s="115">
        <v>0</v>
      </c>
      <c r="E23" s="106">
        <f t="shared" ref="E23:E24" si="3">SUM(B23:D23)</f>
        <v>0</v>
      </c>
      <c r="F23" s="100"/>
    </row>
    <row r="24" spans="1:11">
      <c r="A24" s="101"/>
      <c r="B24" s="115">
        <v>0</v>
      </c>
      <c r="C24" s="115">
        <v>0</v>
      </c>
      <c r="D24" s="115">
        <v>0</v>
      </c>
      <c r="E24" s="106">
        <f t="shared" si="3"/>
        <v>0</v>
      </c>
      <c r="F24" s="100"/>
      <c r="I24" s="5"/>
    </row>
    <row r="25" spans="1:11">
      <c r="A25" s="107" t="s">
        <v>254</v>
      </c>
      <c r="B25" s="108">
        <f>SUM(B17:B24)</f>
        <v>252311.39</v>
      </c>
      <c r="C25" s="108">
        <f>SUM(C17:C24)</f>
        <v>255337.98</v>
      </c>
      <c r="D25" s="108">
        <f>SUM(D17:D24)</f>
        <v>227951.38</v>
      </c>
      <c r="E25" s="116">
        <f>SUM(E17:E24)</f>
        <v>735600.75</v>
      </c>
      <c r="F25" s="117"/>
      <c r="H25" s="5"/>
      <c r="I25" s="5"/>
      <c r="J25" s="5"/>
      <c r="K25" s="5"/>
    </row>
    <row r="26" spans="1:11" ht="14.5">
      <c r="A26" s="111"/>
      <c r="B26" s="112"/>
      <c r="C26" s="112"/>
      <c r="D26" s="112"/>
      <c r="E26" s="113"/>
      <c r="F26" s="100"/>
    </row>
    <row r="27" spans="1:11">
      <c r="A27" s="118" t="s">
        <v>256</v>
      </c>
      <c r="B27" s="119">
        <f>+B14+B25</f>
        <v>637132.35000000009</v>
      </c>
      <c r="C27" s="119">
        <f>+C14+C25</f>
        <v>749511.39</v>
      </c>
      <c r="D27" s="119">
        <f>+D14+D25</f>
        <v>714708.32</v>
      </c>
      <c r="E27" s="120">
        <f>+E14+E25</f>
        <v>2101352.06</v>
      </c>
      <c r="F27" s="121"/>
      <c r="H27" s="5"/>
    </row>
    <row r="29" spans="1:11" ht="14.5">
      <c r="B29" s="122" t="s">
        <v>264</v>
      </c>
      <c r="C29" s="123"/>
      <c r="D29" s="124"/>
      <c r="E29" s="4">
        <f>+E27/3</f>
        <v>700450.68666666665</v>
      </c>
      <c r="F29" s="125"/>
    </row>
    <row r="30" spans="1:11">
      <c r="F30" s="126"/>
    </row>
    <row r="31" spans="1:11" ht="14.5">
      <c r="B31" s="122" t="s">
        <v>265</v>
      </c>
      <c r="C31" s="123"/>
      <c r="D31" s="127">
        <v>0.2</v>
      </c>
      <c r="E31" s="128">
        <f>+E29*D31</f>
        <v>140090.13733333335</v>
      </c>
      <c r="F31" s="125"/>
    </row>
    <row r="33" spans="2:6" ht="14.5" thickBot="1">
      <c r="B33" s="129" t="s">
        <v>263</v>
      </c>
      <c r="E33" s="130">
        <f>+E29+E31</f>
        <v>840540.82400000002</v>
      </c>
      <c r="F33" s="131"/>
    </row>
    <row r="34" spans="2:6" ht="14.5" thickTop="1"/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Pro Forma</vt:lpstr>
      <vt:lpstr>COLA</vt:lpstr>
      <vt:lpstr>Merit</vt:lpstr>
      <vt:lpstr>New Employees </vt:lpstr>
      <vt:lpstr>CSRs</vt:lpstr>
      <vt:lpstr>Employee Overhead</vt:lpstr>
      <vt:lpstr>Principal &amp; Interest</vt:lpstr>
      <vt:lpstr>'New Employees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SKO</cp:lastModifiedBy>
  <cp:lastPrinted>2024-10-09T21:12:16Z</cp:lastPrinted>
  <dcterms:created xsi:type="dcterms:W3CDTF">2024-10-06T23:06:37Z</dcterms:created>
  <dcterms:modified xsi:type="dcterms:W3CDTF">2024-10-11T23:21:25Z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DocumentId">
    <vt:lpwstr>4872-6039-9086</vt:lpwstr>
  </property>
</Properties>
</file>