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C RATE STUDY\WC-SEWER\Data Request #2 8.30 24\"/>
    </mc:Choice>
  </mc:AlternateContent>
  <xr:revisionPtr revIDLastSave="0" documentId="13_ncr:1_{9832CBC7-4325-4947-86DA-5C830D085F62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Jan &amp; Feb Cycle Billing - Water" sheetId="5" r:id="rId1"/>
    <sheet name="Jan &amp; Feb Cycle Billing - Sewer" sheetId="6" r:id="rId2"/>
    <sheet name="UNBILLED Revenue" sheetId="11" r:id="rId3"/>
    <sheet name="UNBILLED Water &amp; Disposal Costs" sheetId="7" r:id="rId4"/>
    <sheet name="JOURNAL ENTRY" sheetId="4" r:id="rId5"/>
  </sheets>
  <externalReferences>
    <externalReference r:id="rId6"/>
  </externalReferences>
  <definedNames>
    <definedName name="_xlnm.Print_Area" localSheetId="4">'JOURNAL ENTRY'!$A$1:$J$27</definedName>
    <definedName name="_xlnm.Print_Area" localSheetId="2">'UNBILLED Revenue'!$A$1:$T$29</definedName>
    <definedName name="Project_Start" localSheetId="2">#REF!</definedName>
    <definedName name="Project_Start">#REF!</definedName>
    <definedName name="Scrolling_Increment" localSheetId="2">#REF!</definedName>
    <definedName name="Scrolling_Increme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7" l="1"/>
  <c r="I43" i="7"/>
  <c r="I42" i="7"/>
  <c r="I41" i="7"/>
  <c r="I40" i="7"/>
  <c r="I39" i="7"/>
  <c r="I38" i="7"/>
  <c r="I37" i="7"/>
  <c r="I36" i="7"/>
  <c r="I35" i="7"/>
  <c r="I34" i="7"/>
  <c r="K17" i="11" l="1"/>
  <c r="J17" i="11"/>
  <c r="K16" i="11"/>
  <c r="J16" i="11"/>
  <c r="K15" i="11"/>
  <c r="J15" i="11"/>
  <c r="I17" i="11"/>
  <c r="I16" i="11"/>
  <c r="I15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I13" i="11"/>
  <c r="I12" i="11"/>
  <c r="I11" i="11"/>
  <c r="I10" i="11"/>
  <c r="I9" i="11"/>
  <c r="I8" i="11"/>
  <c r="I7" i="11"/>
  <c r="I6" i="11"/>
  <c r="F45" i="7" l="1"/>
  <c r="F38" i="7"/>
  <c r="J45" i="7"/>
  <c r="J42" i="7"/>
  <c r="J38" i="7"/>
  <c r="J37" i="7"/>
  <c r="J36" i="7"/>
  <c r="J35" i="7"/>
  <c r="J34" i="7"/>
  <c r="J21" i="7"/>
  <c r="J20" i="7"/>
  <c r="J14" i="7"/>
  <c r="J12" i="7"/>
  <c r="J9" i="7"/>
  <c r="F21" i="7"/>
  <c r="F18" i="7"/>
  <c r="F13" i="7"/>
  <c r="F9" i="7"/>
  <c r="L16" i="11"/>
  <c r="L15" i="11"/>
  <c r="L7" i="11"/>
  <c r="L8" i="11"/>
  <c r="L9" i="11"/>
  <c r="L10" i="11"/>
  <c r="L11" i="11"/>
  <c r="L12" i="11"/>
  <c r="L13" i="11"/>
  <c r="L6" i="11"/>
  <c r="H46" i="7"/>
  <c r="D46" i="7"/>
  <c r="C45" i="7"/>
  <c r="A45" i="7"/>
  <c r="J44" i="7"/>
  <c r="E44" i="7"/>
  <c r="F44" i="7" s="1"/>
  <c r="C44" i="7"/>
  <c r="A44" i="7"/>
  <c r="J43" i="7"/>
  <c r="E43" i="7"/>
  <c r="F43" i="7" s="1"/>
  <c r="C43" i="7"/>
  <c r="A43" i="7"/>
  <c r="E42" i="7"/>
  <c r="F42" i="7" s="1"/>
  <c r="C42" i="7"/>
  <c r="A42" i="7"/>
  <c r="J41" i="7"/>
  <c r="E41" i="7"/>
  <c r="F41" i="7" s="1"/>
  <c r="C41" i="7"/>
  <c r="A41" i="7"/>
  <c r="J40" i="7"/>
  <c r="E40" i="7"/>
  <c r="F40" i="7" s="1"/>
  <c r="C40" i="7"/>
  <c r="A40" i="7"/>
  <c r="L39" i="7"/>
  <c r="E39" i="7"/>
  <c r="F39" i="7" s="1"/>
  <c r="C39" i="7"/>
  <c r="A39" i="7"/>
  <c r="E38" i="7"/>
  <c r="C38" i="7"/>
  <c r="A38" i="7"/>
  <c r="E37" i="7"/>
  <c r="F37" i="7" s="1"/>
  <c r="C37" i="7"/>
  <c r="A37" i="7"/>
  <c r="E36" i="7"/>
  <c r="F36" i="7" s="1"/>
  <c r="C36" i="7"/>
  <c r="A36" i="7"/>
  <c r="E35" i="7"/>
  <c r="F35" i="7" s="1"/>
  <c r="C35" i="7"/>
  <c r="A35" i="7"/>
  <c r="E34" i="7"/>
  <c r="F34" i="7" s="1"/>
  <c r="C34" i="7"/>
  <c r="A34" i="7"/>
  <c r="L33" i="7"/>
  <c r="J33" i="7"/>
  <c r="F33" i="7"/>
  <c r="C33" i="7"/>
  <c r="B33" i="7"/>
  <c r="A33" i="7"/>
  <c r="H22" i="7"/>
  <c r="D22" i="7"/>
  <c r="B21" i="7"/>
  <c r="B45" i="7" s="1"/>
  <c r="I20" i="7"/>
  <c r="E20" i="7"/>
  <c r="B20" i="7"/>
  <c r="B44" i="7" s="1"/>
  <c r="I19" i="7"/>
  <c r="J19" i="7" s="1"/>
  <c r="E19" i="7"/>
  <c r="F19" i="7" s="1"/>
  <c r="B19" i="7"/>
  <c r="B43" i="7" s="1"/>
  <c r="I18" i="7"/>
  <c r="J18" i="7" s="1"/>
  <c r="E18" i="7"/>
  <c r="L18" i="7" s="1"/>
  <c r="B18" i="7"/>
  <c r="B42" i="7" s="1"/>
  <c r="I17" i="7"/>
  <c r="J17" i="7" s="1"/>
  <c r="E17" i="7"/>
  <c r="F17" i="7" s="1"/>
  <c r="B17" i="7"/>
  <c r="B41" i="7" s="1"/>
  <c r="I16" i="7"/>
  <c r="J16" i="7" s="1"/>
  <c r="E16" i="7"/>
  <c r="F16" i="7" s="1"/>
  <c r="B16" i="7"/>
  <c r="B40" i="7" s="1"/>
  <c r="I15" i="7"/>
  <c r="L15" i="7" s="1"/>
  <c r="E15" i="7"/>
  <c r="F15" i="7" s="1"/>
  <c r="B15" i="7"/>
  <c r="B39" i="7" s="1"/>
  <c r="I14" i="7"/>
  <c r="E14" i="7"/>
  <c r="B14" i="7"/>
  <c r="B38" i="7" s="1"/>
  <c r="I13" i="7"/>
  <c r="L13" i="7" s="1"/>
  <c r="E13" i="7"/>
  <c r="B13" i="7"/>
  <c r="B37" i="7" s="1"/>
  <c r="I12" i="7"/>
  <c r="E12" i="7"/>
  <c r="L12" i="7" s="1"/>
  <c r="B12" i="7"/>
  <c r="B36" i="7" s="1"/>
  <c r="I11" i="7"/>
  <c r="J11" i="7" s="1"/>
  <c r="E11" i="7"/>
  <c r="F11" i="7" s="1"/>
  <c r="B11" i="7"/>
  <c r="B35" i="7" s="1"/>
  <c r="I10" i="7"/>
  <c r="E10" i="7"/>
  <c r="B10" i="7"/>
  <c r="B34" i="7" s="1"/>
  <c r="L9" i="7"/>
  <c r="J39" i="7" l="1"/>
  <c r="J46" i="7" s="1"/>
  <c r="L44" i="7"/>
  <c r="L43" i="7"/>
  <c r="L42" i="7"/>
  <c r="L41" i="7"/>
  <c r="L40" i="7"/>
  <c r="L38" i="7"/>
  <c r="L37" i="7"/>
  <c r="L36" i="7"/>
  <c r="L35" i="7"/>
  <c r="L34" i="7"/>
  <c r="E46" i="7"/>
  <c r="E48" i="7" s="1"/>
  <c r="L20" i="7"/>
  <c r="J15" i="7"/>
  <c r="L14" i="7"/>
  <c r="J13" i="7"/>
  <c r="I22" i="7"/>
  <c r="I24" i="7" s="1"/>
  <c r="J10" i="7"/>
  <c r="F20" i="7"/>
  <c r="L19" i="7"/>
  <c r="L17" i="7"/>
  <c r="L16" i="7"/>
  <c r="F14" i="7"/>
  <c r="F12" i="7"/>
  <c r="L11" i="7"/>
  <c r="E22" i="7"/>
  <c r="E24" i="7" s="1"/>
  <c r="F10" i="7"/>
  <c r="L10" i="7"/>
  <c r="L45" i="7"/>
  <c r="F46" i="7"/>
  <c r="L21" i="7"/>
  <c r="I46" i="7"/>
  <c r="I48" i="7" s="1"/>
  <c r="J22" i="7" l="1"/>
  <c r="F22" i="7"/>
  <c r="L54" i="11"/>
  <c r="O53" i="11"/>
  <c r="M53" i="11"/>
  <c r="N52" i="11"/>
  <c r="O52" i="11" s="1"/>
  <c r="O51" i="11"/>
  <c r="O50" i="11"/>
  <c r="N49" i="11"/>
  <c r="N48" i="11"/>
  <c r="O48" i="11" s="1"/>
  <c r="N47" i="11"/>
  <c r="O47" i="11" s="1"/>
  <c r="M46" i="11"/>
  <c r="O46" i="11" s="1"/>
  <c r="O39" i="11"/>
  <c r="O38" i="11"/>
  <c r="M41" i="11"/>
  <c r="O41" i="11" s="1"/>
  <c r="N40" i="11"/>
  <c r="O40" i="11" s="1"/>
  <c r="N37" i="11"/>
  <c r="O37" i="11" s="1"/>
  <c r="N36" i="11"/>
  <c r="O36" i="11" s="1"/>
  <c r="N35" i="11"/>
  <c r="O35" i="11" s="1"/>
  <c r="M34" i="11"/>
  <c r="O34" i="11" s="1"/>
  <c r="L42" i="11"/>
  <c r="L30" i="6"/>
  <c r="K30" i="6"/>
  <c r="C30" i="6"/>
  <c r="B30" i="6"/>
  <c r="B33" i="6" s="1"/>
  <c r="L15" i="6"/>
  <c r="K15" i="6"/>
  <c r="C15" i="6"/>
  <c r="C20" i="6" s="1"/>
  <c r="C21" i="6" s="1"/>
  <c r="B15" i="6"/>
  <c r="B20" i="6" s="1"/>
  <c r="B21" i="6" s="1"/>
  <c r="L30" i="5"/>
  <c r="K30" i="5"/>
  <c r="C30" i="5"/>
  <c r="B30" i="5"/>
  <c r="L15" i="5"/>
  <c r="K18" i="5" s="1"/>
  <c r="K15" i="5"/>
  <c r="C15" i="5"/>
  <c r="B15" i="5"/>
  <c r="B38" i="6" l="1"/>
  <c r="C38" i="6"/>
  <c r="C38" i="5"/>
  <c r="B16" i="5"/>
  <c r="B17" i="5" s="1"/>
  <c r="C16" i="5"/>
  <c r="C17" i="5" s="1"/>
  <c r="B33" i="5"/>
  <c r="N54" i="11"/>
  <c r="O49" i="11"/>
  <c r="M54" i="11"/>
  <c r="M42" i="11"/>
  <c r="N42" i="11"/>
  <c r="K33" i="6"/>
  <c r="B38" i="5"/>
  <c r="C31" i="5"/>
  <c r="C32" i="5" s="1"/>
  <c r="K33" i="5"/>
  <c r="K18" i="6"/>
  <c r="B31" i="6"/>
  <c r="B32" i="6" s="1"/>
  <c r="C31" i="6"/>
  <c r="C32" i="6" s="1"/>
  <c r="C16" i="6"/>
  <c r="C17" i="6" s="1"/>
  <c r="B18" i="6"/>
  <c r="B16" i="6"/>
  <c r="B17" i="6" s="1"/>
  <c r="B18" i="5"/>
  <c r="C20" i="5"/>
  <c r="C21" i="5" s="1"/>
  <c r="B20" i="5"/>
  <c r="B21" i="5" s="1"/>
  <c r="B31" i="5"/>
  <c r="B32" i="5" s="1"/>
  <c r="O54" i="11" l="1"/>
  <c r="M55" i="11" s="1"/>
  <c r="M27" i="11" s="1"/>
  <c r="O42" i="11"/>
  <c r="O43" i="11" s="1"/>
  <c r="O55" i="11" l="1"/>
  <c r="N55" i="11"/>
  <c r="M43" i="11"/>
  <c r="M23" i="11" s="1"/>
  <c r="M24" i="11" s="1"/>
  <c r="N43" i="11"/>
  <c r="C16" i="11"/>
  <c r="D16" i="11"/>
  <c r="E16" i="11"/>
  <c r="F16" i="11"/>
  <c r="C17" i="11"/>
  <c r="D17" i="11"/>
  <c r="E17" i="11"/>
  <c r="F17" i="11"/>
  <c r="F15" i="11"/>
  <c r="E15" i="11"/>
  <c r="D15" i="11"/>
  <c r="C15" i="11"/>
  <c r="C13" i="11"/>
  <c r="M17" i="11"/>
  <c r="M16" i="11"/>
  <c r="M15" i="11"/>
  <c r="L17" i="11"/>
  <c r="M8" i="11"/>
  <c r="M7" i="11"/>
  <c r="M6" i="11"/>
  <c r="M28" i="11"/>
  <c r="M13" i="11"/>
  <c r="F13" i="11"/>
  <c r="E13" i="11"/>
  <c r="D13" i="11"/>
  <c r="M12" i="11"/>
  <c r="F12" i="11"/>
  <c r="E12" i="11"/>
  <c r="D12" i="11"/>
  <c r="C12" i="11"/>
  <c r="M11" i="11"/>
  <c r="F11" i="11"/>
  <c r="E11" i="11"/>
  <c r="D11" i="11"/>
  <c r="C11" i="11"/>
  <c r="M10" i="11"/>
  <c r="F10" i="11"/>
  <c r="E10" i="11"/>
  <c r="D10" i="11"/>
  <c r="C10" i="11"/>
  <c r="M9" i="11"/>
  <c r="F9" i="11"/>
  <c r="E9" i="11"/>
  <c r="D9" i="11"/>
  <c r="C9" i="11"/>
  <c r="F8" i="11"/>
  <c r="E8" i="11"/>
  <c r="Q8" i="11" s="1"/>
  <c r="D8" i="11"/>
  <c r="C8" i="11"/>
  <c r="F7" i="11"/>
  <c r="R7" i="11" s="1"/>
  <c r="E7" i="11"/>
  <c r="Q7" i="11" s="1"/>
  <c r="D7" i="11"/>
  <c r="C7" i="11"/>
  <c r="F6" i="11"/>
  <c r="E6" i="11"/>
  <c r="D6" i="11"/>
  <c r="C6" i="11"/>
  <c r="C19" i="11" l="1"/>
  <c r="C20" i="11" s="1"/>
  <c r="D19" i="11"/>
  <c r="D20" i="11" s="1"/>
  <c r="E19" i="11"/>
  <c r="E20" i="11" s="1"/>
  <c r="F19" i="11"/>
  <c r="F20" i="11" s="1"/>
  <c r="N9" i="11"/>
  <c r="Q9" i="11" s="1"/>
  <c r="R6" i="11"/>
  <c r="Q6" i="11"/>
  <c r="N16" i="11"/>
  <c r="R16" i="11" s="1"/>
  <c r="N11" i="11"/>
  <c r="R11" i="11" s="1"/>
  <c r="G17" i="11"/>
  <c r="H15" i="11"/>
  <c r="H17" i="11"/>
  <c r="G16" i="11"/>
  <c r="N10" i="11"/>
  <c r="O10" i="11" s="1"/>
  <c r="N12" i="11"/>
  <c r="P12" i="11" s="1"/>
  <c r="G15" i="11"/>
  <c r="N17" i="11"/>
  <c r="O17" i="11" s="1"/>
  <c r="G10" i="11"/>
  <c r="H16" i="11"/>
  <c r="N13" i="11"/>
  <c r="Q13" i="11" s="1"/>
  <c r="N15" i="11"/>
  <c r="R15" i="11" s="1"/>
  <c r="G8" i="11"/>
  <c r="G12" i="11"/>
  <c r="N8" i="11"/>
  <c r="O8" i="11" s="1"/>
  <c r="S8" i="11" s="1"/>
  <c r="G9" i="11"/>
  <c r="G13" i="11"/>
  <c r="H9" i="11"/>
  <c r="H13" i="11"/>
  <c r="N7" i="11"/>
  <c r="O7" i="11" s="1"/>
  <c r="S7" i="11" s="1"/>
  <c r="G6" i="11"/>
  <c r="H8" i="11"/>
  <c r="H12" i="11"/>
  <c r="H6" i="11"/>
  <c r="H10" i="11"/>
  <c r="R8" i="11"/>
  <c r="G7" i="11"/>
  <c r="G11" i="11"/>
  <c r="H7" i="11"/>
  <c r="H11" i="11"/>
  <c r="O9" i="11" l="1"/>
  <c r="S9" i="11" s="1"/>
  <c r="H19" i="11"/>
  <c r="H20" i="11" s="1"/>
  <c r="Q16" i="11"/>
  <c r="P9" i="11"/>
  <c r="G19" i="11"/>
  <c r="G20" i="11" s="1"/>
  <c r="R9" i="11"/>
  <c r="P16" i="11"/>
  <c r="T16" i="11" s="1"/>
  <c r="O11" i="11"/>
  <c r="P11" i="11"/>
  <c r="T11" i="11" s="1"/>
  <c r="O16" i="11"/>
  <c r="Q11" i="11"/>
  <c r="P10" i="11"/>
  <c r="Q15" i="11"/>
  <c r="P8" i="11"/>
  <c r="T8" i="11" s="1"/>
  <c r="O12" i="11"/>
  <c r="Q12" i="11"/>
  <c r="R12" i="11"/>
  <c r="T12" i="11" s="1"/>
  <c r="Q10" i="11"/>
  <c r="S10" i="11" s="1"/>
  <c r="R10" i="11"/>
  <c r="O15" i="11"/>
  <c r="R17" i="11"/>
  <c r="P17" i="11"/>
  <c r="Q17" i="11"/>
  <c r="S17" i="11" s="1"/>
  <c r="R13" i="11"/>
  <c r="O13" i="11"/>
  <c r="S13" i="11" s="1"/>
  <c r="P15" i="11"/>
  <c r="T15" i="11" s="1"/>
  <c r="P13" i="11"/>
  <c r="P7" i="11"/>
  <c r="T7" i="11" s="1"/>
  <c r="S16" i="11" l="1"/>
  <c r="R19" i="11"/>
  <c r="R27" i="11" s="1"/>
  <c r="R28" i="11" s="1"/>
  <c r="T9" i="11"/>
  <c r="Q19" i="11"/>
  <c r="Q27" i="11" s="1"/>
  <c r="D13" i="4" s="1"/>
  <c r="S11" i="11"/>
  <c r="S12" i="11"/>
  <c r="S15" i="11"/>
  <c r="T10" i="11"/>
  <c r="T13" i="11"/>
  <c r="T17" i="11"/>
  <c r="R30" i="11" l="1"/>
  <c r="Q28" i="11"/>
  <c r="Q30" i="11" l="1"/>
  <c r="D14" i="4"/>
  <c r="D16" i="4"/>
  <c r="I16" i="4" s="1"/>
  <c r="J16" i="4" l="1"/>
  <c r="D8" i="4" l="1"/>
  <c r="J8" i="4" l="1"/>
  <c r="I8" i="4"/>
  <c r="J24" i="4" l="1"/>
  <c r="J25" i="4" l="1"/>
  <c r="D9" i="4" l="1"/>
  <c r="D17" i="4"/>
  <c r="J17" i="4" l="1"/>
  <c r="I17" i="4"/>
  <c r="J9" i="4"/>
  <c r="I9" i="4"/>
  <c r="I24" i="4"/>
  <c r="D24" i="4"/>
  <c r="D25" i="4"/>
  <c r="I25" i="4"/>
  <c r="D26" i="4"/>
  <c r="I26" i="4" l="1"/>
  <c r="I13" i="4"/>
  <c r="J13" i="4"/>
  <c r="J14" i="4"/>
  <c r="I14" i="4"/>
  <c r="J26" i="4"/>
  <c r="D15" i="4"/>
  <c r="J15" i="4" l="1"/>
  <c r="J18" i="4" s="1"/>
  <c r="I15" i="4"/>
  <c r="I18" i="4" s="1"/>
  <c r="J19" i="4" l="1"/>
  <c r="N6" i="11"/>
  <c r="P6" i="11" s="1"/>
  <c r="P19" i="11" l="1"/>
  <c r="T6" i="11"/>
  <c r="T19" i="11" s="1"/>
  <c r="O6" i="11"/>
  <c r="O19" i="11" l="1"/>
  <c r="S6" i="11"/>
  <c r="S19" i="11" s="1"/>
  <c r="P23" i="11"/>
  <c r="P24" i="11" l="1"/>
  <c r="P30" i="11" s="1"/>
  <c r="O23" i="11"/>
  <c r="D5" i="4" l="1"/>
  <c r="O24" i="11"/>
  <c r="D6" i="4" s="1"/>
  <c r="O30" i="11" l="1"/>
  <c r="D7" i="4"/>
  <c r="I5" i="4"/>
  <c r="J5" i="4"/>
  <c r="D21" i="4"/>
  <c r="I6" i="4"/>
  <c r="I22" i="4" s="1"/>
  <c r="D22" i="4"/>
  <c r="J6" i="4"/>
  <c r="J22" i="4" s="1"/>
  <c r="D23" i="4" l="1"/>
  <c r="I7" i="4"/>
  <c r="I23" i="4" s="1"/>
  <c r="J7" i="4"/>
  <c r="J23" i="4" s="1"/>
  <c r="J21" i="4"/>
  <c r="I21" i="4"/>
  <c r="I27" i="4" l="1"/>
  <c r="I10" i="4"/>
  <c r="J27" i="4"/>
  <c r="J10" i="4"/>
  <c r="J11" i="4" l="1"/>
  <c r="I28" i="4"/>
</calcChain>
</file>

<file path=xl/sharedStrings.xml><?xml version="1.0" encoding="utf-8"?>
<sst xmlns="http://schemas.openxmlformats.org/spreadsheetml/2006/main" count="309" uniqueCount="104">
  <si>
    <t>Water</t>
  </si>
  <si>
    <t>Sewer</t>
  </si>
  <si>
    <t>Total</t>
  </si>
  <si>
    <t>READ DATES</t>
  </si>
  <si>
    <t>Days Billed</t>
  </si>
  <si>
    <t>CYCLE</t>
  </si>
  <si>
    <t>CLASS</t>
  </si>
  <si>
    <t>REVENUE</t>
  </si>
  <si>
    <t>GALLONS</t>
  </si>
  <si>
    <t>BILL DATE</t>
  </si>
  <si>
    <t>BEG</t>
  </si>
  <si>
    <t>END</t>
  </si>
  <si>
    <t>PY Days</t>
  </si>
  <si>
    <t>In Cycle</t>
  </si>
  <si>
    <t>TOTALS</t>
  </si>
  <si>
    <t>Unbilled Revenue - Residential</t>
  </si>
  <si>
    <t>Unbilled Revenue - Commercial</t>
  </si>
  <si>
    <t>TOTAL</t>
  </si>
  <si>
    <t>From</t>
  </si>
  <si>
    <t>To</t>
  </si>
  <si>
    <t>AR - Customer Accounts</t>
  </si>
  <si>
    <t>Purchased Water</t>
  </si>
  <si>
    <t>AP - Accrued Payable</t>
  </si>
  <si>
    <t>Disposal Costs</t>
  </si>
  <si>
    <t>Dr</t>
  </si>
  <si>
    <t>Cr</t>
  </si>
  <si>
    <t>FYE</t>
  </si>
  <si>
    <t xml:space="preserve">  Total</t>
  </si>
  <si>
    <t>Water Division</t>
  </si>
  <si>
    <t>Sewer Division</t>
  </si>
  <si>
    <t>Combined</t>
  </si>
  <si>
    <t>JOURNAL ENTRY</t>
  </si>
  <si>
    <t>UNBILLED REVENUE &amp; WATER\DISPSOAL:</t>
  </si>
  <si>
    <t>Res &amp; Comm</t>
  </si>
  <si>
    <t>WARREN COUNTY WATER DISTRICT</t>
  </si>
  <si>
    <t>CYCLE BILL ANALYSIS - WATER</t>
  </si>
  <si>
    <t>Kelly Vance, BGN, Porter Pike, Mizpah, Detour</t>
  </si>
  <si>
    <t>Richardsville, Ben Leo, Sandhill, Smiths Grove</t>
  </si>
  <si>
    <t>Oakland, Hays, Barren Co.</t>
  </si>
  <si>
    <t>Cemetery, Barringtion, Drakes, Alvaton, Bluegrass</t>
  </si>
  <si>
    <t>Plano, Hwy 240, Boyce</t>
  </si>
  <si>
    <t>Three Springs, Nashville Rd, Old 31W, Grider</t>
  </si>
  <si>
    <t>Hwy 68, Rockfield, Fuqua</t>
  </si>
  <si>
    <t>Hwy 231, Mtown Rd, Hadley, Beech Bend, Briggs</t>
  </si>
  <si>
    <t>PY Variance</t>
  </si>
  <si>
    <t>PY '% Variance</t>
  </si>
  <si>
    <t>Revenue Per 1000</t>
  </si>
  <si>
    <t>PM Variance</t>
  </si>
  <si>
    <t>PM '% Variance</t>
  </si>
  <si>
    <t>Gallons</t>
  </si>
  <si>
    <t>Allocation - Residential</t>
  </si>
  <si>
    <t>Allocation - Commercial</t>
  </si>
  <si>
    <t>461.0101-2</t>
  </si>
  <si>
    <t>461-0102-2</t>
  </si>
  <si>
    <t>141-0100-2</t>
  </si>
  <si>
    <t>610-1100-2</t>
  </si>
  <si>
    <t>231-0100-2</t>
  </si>
  <si>
    <t>461.0101-3</t>
  </si>
  <si>
    <t>461-0102-3</t>
  </si>
  <si>
    <t>141-0100-3</t>
  </si>
  <si>
    <t>610-1100-3</t>
  </si>
  <si>
    <t>231-0100-3</t>
  </si>
  <si>
    <t>Read Date</t>
  </si>
  <si>
    <t>Cycle</t>
  </si>
  <si>
    <t>Revenue</t>
  </si>
  <si>
    <t>Bill Date</t>
  </si>
  <si>
    <t>Days</t>
  </si>
  <si>
    <t>Location</t>
  </si>
  <si>
    <t>CYCLE BILL ANALYSIS - SEWER</t>
  </si>
  <si>
    <t>RECONCILIATION OF PURCHASED WATER</t>
  </si>
  <si>
    <t>BGMU \ WARREN COUNTY WATER DISTRICT</t>
  </si>
  <si>
    <t>SERVICE PERIOD</t>
  </si>
  <si>
    <t>CHARGES</t>
  </si>
  <si>
    <t>Date</t>
  </si>
  <si>
    <t>BGMU (Invoiced)</t>
  </si>
  <si>
    <t>WCWD (Recorded)</t>
  </si>
  <si>
    <t>Difference</t>
  </si>
  <si>
    <t>PJE</t>
  </si>
  <si>
    <t>wholesale rate.</t>
  </si>
  <si>
    <t>RECONCILIATION OF DISPOSAL COSTS</t>
  </si>
  <si>
    <t>Water Unbilled</t>
  </si>
  <si>
    <t>R &amp; E Stmt</t>
  </si>
  <si>
    <t>Statistical Report</t>
  </si>
  <si>
    <t>Sewer - Unbilled</t>
  </si>
  <si>
    <t>JANUARY 2023</t>
  </si>
  <si>
    <t>FEBRUARY 2023</t>
  </si>
  <si>
    <t>Residential</t>
  </si>
  <si>
    <t>Commerical</t>
  </si>
  <si>
    <t>Industrial</t>
  </si>
  <si>
    <t>Agricultural</t>
  </si>
  <si>
    <t>UB Res</t>
  </si>
  <si>
    <t>UB Com</t>
  </si>
  <si>
    <t>Fire Protection</t>
  </si>
  <si>
    <t>Leak Adjusts</t>
  </si>
  <si>
    <t>Res</t>
  </si>
  <si>
    <t>Comm</t>
  </si>
  <si>
    <t>R &amp; E</t>
  </si>
  <si>
    <t>WATER</t>
  </si>
  <si>
    <t>SEWER</t>
  </si>
  <si>
    <t>JANUARY 2024</t>
  </si>
  <si>
    <t>FEBRUARY 2024</t>
  </si>
  <si>
    <t>%  in Year 2023</t>
  </si>
  <si>
    <t>YEAR 2023</t>
  </si>
  <si>
    <t>JE - FYE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</si>
</sst>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mmmm\ dd\,\ yyyy"/>
    <numFmt numFmtId="169" formatCode="mm/dd/yy;@"/>
    <numFmt numFmtId="170" formatCode="m/d/yy;@"/>
    <numFmt numFmtId="171" formatCode="_(* #,##0.00_);_(* \(#,##0.0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 tint="0.34998626667073579"/>
      <name val="Calibri Light"/>
      <family val="2"/>
      <scheme val="major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8"/>
      <color rgb="FF002060"/>
      <name val="Arial"/>
      <family val="2"/>
    </font>
    <font>
      <sz val="8"/>
      <color rgb="FFFF000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8"/>
      <color rgb="FF0000FF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7" fontId="1" fillId="0" borderId="0" applyFont="0" applyFill="0" applyBorder="0" applyProtection="0">
      <alignment horizontal="center" vertical="center"/>
    </xf>
    <xf numFmtId="14" fontId="1" fillId="0" borderId="0" applyFont="0" applyFill="0" applyBorder="0">
      <alignment horizontal="center" vertical="center"/>
    </xf>
    <xf numFmtId="9" fontId="1" fillId="0" borderId="0" applyFont="0" applyFill="0" applyBorder="0" applyProtection="0">
      <alignment horizontal="center" vertical="center"/>
    </xf>
    <xf numFmtId="0" fontId="1" fillId="0" borderId="0" applyNumberFormat="0" applyFill="0" applyProtection="0">
      <alignment horizontal="right" vertical="center" indent="1"/>
    </xf>
    <xf numFmtId="0" fontId="8" fillId="0" borderId="0" applyNumberFormat="0" applyFill="0" applyProtection="0">
      <alignment vertical="top"/>
    </xf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6">
    <xf numFmtId="0" fontId="0" fillId="0" borderId="0" xfId="0"/>
    <xf numFmtId="164" fontId="0" fillId="0" borderId="0" xfId="0" applyNumberFormat="1"/>
    <xf numFmtId="1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2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3" fontId="0" fillId="0" borderId="0" xfId="0" applyNumberFormat="1"/>
    <xf numFmtId="1" fontId="1" fillId="0" borderId="0" xfId="1" applyNumberFormat="1" applyAlignment="1">
      <alignment horizontal="center"/>
    </xf>
    <xf numFmtId="10" fontId="1" fillId="0" borderId="0" xfId="3" applyNumberFormat="1" applyAlignment="1">
      <alignment horizontal="center"/>
    </xf>
    <xf numFmtId="164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165" fontId="0" fillId="0" borderId="0" xfId="0" applyNumberFormat="1"/>
    <xf numFmtId="0" fontId="0" fillId="2" borderId="0" xfId="0" applyFill="1"/>
    <xf numFmtId="165" fontId="0" fillId="0" borderId="0" xfId="1" applyNumberFormat="1" applyFont="1"/>
    <xf numFmtId="43" fontId="0" fillId="0" borderId="0" xfId="0" applyNumberFormat="1"/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3" xfId="1" applyFont="1" applyBorder="1"/>
    <xf numFmtId="43" fontId="0" fillId="3" borderId="0" xfId="1" applyFont="1" applyFill="1"/>
    <xf numFmtId="0" fontId="0" fillId="3" borderId="0" xfId="0" applyFill="1"/>
    <xf numFmtId="43" fontId="0" fillId="3" borderId="0" xfId="0" applyNumberFormat="1" applyFill="1"/>
    <xf numFmtId="0" fontId="6" fillId="0" borderId="0" xfId="0" applyFont="1"/>
    <xf numFmtId="43" fontId="0" fillId="0" borderId="0" xfId="1" applyFont="1" applyBorder="1"/>
    <xf numFmtId="0" fontId="7" fillId="0" borderId="0" xfId="0" applyFont="1"/>
    <xf numFmtId="14" fontId="7" fillId="0" borderId="1" xfId="0" applyNumberFormat="1" applyFont="1" applyBorder="1" applyAlignment="1">
      <alignment horizontal="center"/>
    </xf>
    <xf numFmtId="165" fontId="1" fillId="0" borderId="0" xfId="1" applyNumberFormat="1" applyAlignment="1">
      <alignment horizontal="center"/>
    </xf>
    <xf numFmtId="1" fontId="0" fillId="0" borderId="0" xfId="0" applyNumberFormat="1" applyAlignment="1">
      <alignment horizontal="center"/>
    </xf>
    <xf numFmtId="3" fontId="11" fillId="0" borderId="3" xfId="0" applyNumberFormat="1" applyFont="1" applyBorder="1" applyAlignment="1">
      <alignment horizontal="right"/>
    </xf>
    <xf numFmtId="165" fontId="11" fillId="0" borderId="3" xfId="1" applyNumberFormat="1" applyFont="1" applyFill="1" applyBorder="1" applyAlignment="1">
      <alignment horizontal="right"/>
    </xf>
    <xf numFmtId="1" fontId="3" fillId="0" borderId="0" xfId="0" quotePrefix="1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/>
    <xf numFmtId="3" fontId="16" fillId="0" borderId="0" xfId="0" applyNumberFormat="1" applyFont="1" applyAlignment="1">
      <alignment horizontal="right"/>
    </xf>
    <xf numFmtId="37" fontId="16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center"/>
    </xf>
    <xf numFmtId="44" fontId="15" fillId="0" borderId="0" xfId="12" applyFont="1" applyAlignment="1">
      <alignment horizontal="right"/>
    </xf>
    <xf numFmtId="44" fontId="15" fillId="0" borderId="0" xfId="12" applyFont="1" applyAlignment="1">
      <alignment horizontal="left"/>
    </xf>
    <xf numFmtId="0" fontId="3" fillId="0" borderId="0" xfId="0" applyFont="1" applyAlignment="1">
      <alignment horizontal="center"/>
    </xf>
    <xf numFmtId="169" fontId="3" fillId="0" borderId="0" xfId="0" applyNumberFormat="1" applyFont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8" fillId="0" borderId="2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69" fontId="3" fillId="0" borderId="2" xfId="0" quotePrefix="1" applyNumberFormat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17" fontId="3" fillId="0" borderId="4" xfId="0" quotePrefix="1" applyNumberFormat="1" applyFont="1" applyBorder="1" applyAlignment="1">
      <alignment horizontal="center"/>
    </xf>
    <xf numFmtId="17" fontId="3" fillId="0" borderId="2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4" fontId="10" fillId="0" borderId="1" xfId="12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7" xfId="0" applyFont="1" applyBorder="1"/>
    <xf numFmtId="0" fontId="3" fillId="0" borderId="0" xfId="0" applyFont="1"/>
    <xf numFmtId="1" fontId="3" fillId="0" borderId="7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0" xfId="0" applyNumberFormat="1"/>
    <xf numFmtId="0" fontId="0" fillId="0" borderId="9" xfId="0" applyBorder="1"/>
    <xf numFmtId="1" fontId="0" fillId="0" borderId="9" xfId="0" applyNumberFormat="1" applyBorder="1" applyAlignment="1">
      <alignment horizontal="center"/>
    </xf>
    <xf numFmtId="41" fontId="15" fillId="0" borderId="0" xfId="12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42" fontId="10" fillId="0" borderId="3" xfId="12" applyNumberFormat="1" applyFont="1" applyFill="1" applyBorder="1" applyAlignment="1">
      <alignment horizontal="left"/>
    </xf>
    <xf numFmtId="168" fontId="12" fillId="0" borderId="8" xfId="0" quotePrefix="1" applyNumberFormat="1" applyFont="1" applyBorder="1" applyAlignment="1">
      <alignment horizontal="left"/>
    </xf>
    <xf numFmtId="44" fontId="13" fillId="0" borderId="0" xfId="12" applyFont="1" applyFill="1" applyBorder="1" applyAlignment="1"/>
    <xf numFmtId="165" fontId="14" fillId="0" borderId="0" xfId="1" applyNumberFormat="1" applyFont="1" applyFill="1" applyBorder="1" applyAlignment="1"/>
    <xf numFmtId="169" fontId="3" fillId="0" borderId="0" xfId="0" quotePrefix="1" applyNumberFormat="1" applyFont="1"/>
    <xf numFmtId="0" fontId="0" fillId="0" borderId="8" xfId="0" applyBorder="1"/>
    <xf numFmtId="44" fontId="15" fillId="0" borderId="0" xfId="12" applyFont="1" applyBorder="1"/>
    <xf numFmtId="165" fontId="16" fillId="0" borderId="0" xfId="1" applyNumberFormat="1" applyFont="1" applyBorder="1"/>
    <xf numFmtId="167" fontId="13" fillId="0" borderId="0" xfId="3" applyNumberFormat="1" applyFont="1" applyFill="1" applyBorder="1" applyAlignment="1">
      <alignment horizontal="right"/>
    </xf>
    <xf numFmtId="167" fontId="14" fillId="0" borderId="0" xfId="3" applyNumberFormat="1" applyFont="1" applyFill="1" applyBorder="1" applyAlignment="1">
      <alignment horizontal="right"/>
    </xf>
    <xf numFmtId="169" fontId="3" fillId="0" borderId="0" xfId="1" quotePrefix="1" applyNumberFormat="1" applyFont="1" applyBorder="1" applyAlignment="1">
      <alignment horizontal="center"/>
    </xf>
    <xf numFmtId="169" fontId="3" fillId="0" borderId="0" xfId="0" quotePrefix="1" applyNumberFormat="1" applyFont="1" applyAlignment="1">
      <alignment horizontal="center"/>
    </xf>
    <xf numFmtId="43" fontId="13" fillId="0" borderId="0" xfId="1" applyFont="1" applyFill="1" applyBorder="1" applyAlignment="1">
      <alignment horizontal="right"/>
    </xf>
    <xf numFmtId="10" fontId="11" fillId="0" borderId="0" xfId="3" applyNumberFormat="1" applyFont="1" applyFill="1" applyBorder="1" applyAlignment="1">
      <alignment horizontal="center"/>
    </xf>
    <xf numFmtId="169" fontId="3" fillId="0" borderId="0" xfId="1" applyNumberFormat="1" applyFont="1" applyBorder="1" applyAlignment="1">
      <alignment horizontal="center"/>
    </xf>
    <xf numFmtId="168" fontId="12" fillId="0" borderId="8" xfId="0" quotePrefix="1" applyNumberFormat="1" applyFont="1" applyBorder="1"/>
    <xf numFmtId="43" fontId="13" fillId="0" borderId="0" xfId="1" applyFont="1" applyBorder="1" applyAlignment="1">
      <alignment horizontal="right"/>
    </xf>
    <xf numFmtId="168" fontId="12" fillId="0" borderId="6" xfId="0" quotePrefix="1" applyNumberFormat="1" applyFont="1" applyBorder="1" applyAlignment="1">
      <alignment horizontal="left"/>
    </xf>
    <xf numFmtId="167" fontId="13" fillId="0" borderId="1" xfId="3" applyNumberFormat="1" applyFont="1" applyFill="1" applyBorder="1" applyAlignment="1">
      <alignment horizontal="right"/>
    </xf>
    <xf numFmtId="167" fontId="14" fillId="0" borderId="1" xfId="3" applyNumberFormat="1" applyFont="1" applyFill="1" applyBorder="1" applyAlignment="1">
      <alignment horizontal="right"/>
    </xf>
    <xf numFmtId="16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15" fillId="0" borderId="1" xfId="0" applyFont="1" applyBorder="1"/>
    <xf numFmtId="0" fontId="16" fillId="0" borderId="1" xfId="0" applyFont="1" applyBorder="1"/>
    <xf numFmtId="169" fontId="0" fillId="0" borderId="1" xfId="0" applyNumberFormat="1" applyBorder="1"/>
    <xf numFmtId="1" fontId="0" fillId="0" borderId="7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5" fontId="0" fillId="0" borderId="0" xfId="1" applyNumberFormat="1" applyFont="1" applyBorder="1"/>
    <xf numFmtId="44" fontId="15" fillId="0" borderId="0" xfId="12" applyFont="1" applyBorder="1" applyAlignment="1">
      <alignment horizontal="left"/>
    </xf>
    <xf numFmtId="44" fontId="15" fillId="0" borderId="0" xfId="12" applyFont="1" applyBorder="1" applyAlignment="1">
      <alignment horizontal="right"/>
    </xf>
    <xf numFmtId="41" fontId="3" fillId="0" borderId="0" xfId="0" applyNumberFormat="1" applyFont="1" applyAlignment="1">
      <alignment horizontal="center"/>
    </xf>
    <xf numFmtId="41" fontId="18" fillId="0" borderId="2" xfId="0" quotePrefix="1" applyNumberFormat="1" applyFont="1" applyBorder="1" applyAlignment="1">
      <alignment horizontal="center"/>
    </xf>
    <xf numFmtId="41" fontId="3" fillId="0" borderId="2" xfId="0" quotePrefix="1" applyNumberFormat="1" applyFont="1" applyBorder="1" applyAlignment="1">
      <alignment horizontal="center"/>
    </xf>
    <xf numFmtId="41" fontId="10" fillId="0" borderId="1" xfId="12" applyNumberFormat="1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41" fontId="13" fillId="0" borderId="0" xfId="12" applyNumberFormat="1" applyFont="1" applyFill="1" applyBorder="1" applyAlignment="1"/>
    <xf numFmtId="41" fontId="13" fillId="0" borderId="0" xfId="3" applyNumberFormat="1" applyFont="1" applyFill="1" applyBorder="1" applyAlignment="1">
      <alignment horizontal="right"/>
    </xf>
    <xf numFmtId="41" fontId="10" fillId="0" borderId="0" xfId="0" applyNumberFormat="1" applyFont="1" applyAlignment="1">
      <alignment horizontal="center"/>
    </xf>
    <xf numFmtId="41" fontId="15" fillId="0" borderId="1" xfId="12" applyNumberFormat="1" applyFont="1" applyBorder="1" applyAlignment="1">
      <alignment horizontal="left"/>
    </xf>
    <xf numFmtId="41" fontId="15" fillId="0" borderId="0" xfId="0" applyNumberFormat="1" applyFont="1"/>
    <xf numFmtId="41" fontId="15" fillId="0" borderId="0" xfId="12" applyNumberFormat="1" applyFont="1" applyAlignment="1">
      <alignment horizontal="right"/>
    </xf>
    <xf numFmtId="41" fontId="15" fillId="0" borderId="0" xfId="12" applyNumberFormat="1" applyFont="1" applyAlignment="1">
      <alignment horizontal="left"/>
    </xf>
    <xf numFmtId="41" fontId="15" fillId="0" borderId="0" xfId="12" applyNumberFormat="1" applyFont="1" applyBorder="1" applyAlignment="1">
      <alignment horizontal="right"/>
    </xf>
    <xf numFmtId="0" fontId="0" fillId="2" borderId="10" xfId="0" applyFill="1" applyBorder="1"/>
    <xf numFmtId="0" fontId="0" fillId="2" borderId="11" xfId="0" applyFill="1" applyBorder="1"/>
    <xf numFmtId="165" fontId="0" fillId="2" borderId="11" xfId="1" applyNumberFormat="1" applyFont="1" applyFill="1" applyBorder="1"/>
    <xf numFmtId="0" fontId="0" fillId="2" borderId="12" xfId="0" applyFill="1" applyBorder="1"/>
    <xf numFmtId="0" fontId="0" fillId="2" borderId="13" xfId="0" applyFill="1" applyBorder="1"/>
    <xf numFmtId="165" fontId="0" fillId="2" borderId="0" xfId="1" applyNumberFormat="1" applyFont="1" applyFill="1" applyBorder="1"/>
    <xf numFmtId="0" fontId="0" fillId="2" borderId="14" xfId="0" applyFill="1" applyBorder="1"/>
    <xf numFmtId="0" fontId="17" fillId="2" borderId="13" xfId="0" applyFont="1" applyFill="1" applyBorder="1" applyAlignment="1">
      <alignment horizontal="center"/>
    </xf>
    <xf numFmtId="165" fontId="19" fillId="2" borderId="0" xfId="1" applyNumberFormat="1" applyFont="1" applyFill="1" applyBorder="1" applyAlignment="1">
      <alignment horizontal="center"/>
    </xf>
    <xf numFmtId="43" fontId="7" fillId="2" borderId="13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70" fontId="0" fillId="2" borderId="13" xfId="0" applyNumberFormat="1" applyFill="1" applyBorder="1" applyAlignment="1">
      <alignment horizontal="center"/>
    </xf>
    <xf numFmtId="170" fontId="0" fillId="2" borderId="0" xfId="0" applyNumberFormat="1" applyFill="1" applyAlignment="1">
      <alignment horizontal="center"/>
    </xf>
    <xf numFmtId="165" fontId="0" fillId="2" borderId="0" xfId="0" applyNumberFormat="1" applyFill="1"/>
    <xf numFmtId="166" fontId="0" fillId="2" borderId="0" xfId="2" applyNumberFormat="1" applyFont="1" applyFill="1" applyBorder="1"/>
    <xf numFmtId="165" fontId="21" fillId="2" borderId="0" xfId="1" applyNumberFormat="1" applyFont="1" applyFill="1" applyBorder="1"/>
    <xf numFmtId="43" fontId="0" fillId="2" borderId="0" xfId="0" applyNumberFormat="1" applyFill="1"/>
    <xf numFmtId="165" fontId="0" fillId="2" borderId="1" xfId="1" applyNumberFormat="1" applyFont="1" applyFill="1" applyBorder="1"/>
    <xf numFmtId="165" fontId="0" fillId="2" borderId="1" xfId="0" applyNumberFormat="1" applyFill="1" applyBorder="1"/>
    <xf numFmtId="170" fontId="0" fillId="2" borderId="13" xfId="0" applyNumberFormat="1" applyFill="1" applyBorder="1"/>
    <xf numFmtId="170" fontId="0" fillId="2" borderId="0" xfId="0" applyNumberFormat="1" applyFill="1"/>
    <xf numFmtId="0" fontId="0" fillId="2" borderId="15" xfId="0" applyFill="1" applyBorder="1"/>
    <xf numFmtId="0" fontId="0" fillId="2" borderId="16" xfId="0" applyFill="1" applyBorder="1"/>
    <xf numFmtId="0" fontId="22" fillId="2" borderId="16" xfId="1" quotePrefix="1" applyNumberFormat="1" applyFont="1" applyFill="1" applyBorder="1" applyAlignment="1">
      <alignment horizontal="right" indent="2"/>
    </xf>
    <xf numFmtId="0" fontId="0" fillId="2" borderId="16" xfId="0" applyFill="1" applyBorder="1" applyAlignment="1">
      <alignment horizontal="right" indent="2"/>
    </xf>
    <xf numFmtId="0" fontId="0" fillId="2" borderId="17" xfId="0" applyFill="1" applyBorder="1"/>
    <xf numFmtId="164" fontId="1" fillId="0" borderId="0" xfId="1" applyNumberFormat="1" applyBorder="1" applyAlignment="1">
      <alignment horizontal="right"/>
    </xf>
    <xf numFmtId="164" fontId="0" fillId="0" borderId="3" xfId="1" applyNumberFormat="1" applyFont="1" applyBorder="1"/>
    <xf numFmtId="165" fontId="0" fillId="0" borderId="3" xfId="1" applyNumberFormat="1" applyFont="1" applyBorder="1"/>
    <xf numFmtId="44" fontId="0" fillId="0" borderId="0" xfId="0" applyNumberFormat="1"/>
    <xf numFmtId="164" fontId="1" fillId="0" borderId="2" xfId="1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164" fontId="1" fillId="0" borderId="11" xfId="1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0" fillId="0" borderId="13" xfId="0" applyBorder="1"/>
    <xf numFmtId="167" fontId="0" fillId="0" borderId="0" xfId="3" applyNumberFormat="1" applyFont="1" applyBorder="1" applyAlignment="1">
      <alignment horizontal="center"/>
    </xf>
    <xf numFmtId="0" fontId="0" fillId="0" borderId="14" xfId="0" applyBorder="1"/>
    <xf numFmtId="0" fontId="6" fillId="0" borderId="13" xfId="0" applyFont="1" applyBorder="1"/>
    <xf numFmtId="0" fontId="6" fillId="0" borderId="0" xfId="0" applyFont="1" applyAlignment="1">
      <alignment horizontal="center"/>
    </xf>
    <xf numFmtId="165" fontId="0" fillId="0" borderId="14" xfId="1" applyNumberFormat="1" applyFont="1" applyBorder="1"/>
    <xf numFmtId="165" fontId="0" fillId="0" borderId="21" xfId="1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4" fillId="0" borderId="0" xfId="0" applyNumberFormat="1" applyFont="1" applyAlignment="1">
      <alignment horizontal="right"/>
    </xf>
    <xf numFmtId="42" fontId="13" fillId="0" borderId="0" xfId="12" applyNumberFormat="1" applyFont="1" applyFill="1" applyBorder="1" applyAlignment="1"/>
    <xf numFmtId="171" fontId="13" fillId="0" borderId="0" xfId="1" applyNumberFormat="1" applyFont="1" applyFill="1" applyBorder="1" applyAlignment="1">
      <alignment horizontal="right"/>
    </xf>
    <xf numFmtId="165" fontId="1" fillId="0" borderId="0" xfId="1" applyNumberFormat="1" applyAlignment="1">
      <alignment horizontal="right"/>
    </xf>
    <xf numFmtId="165" fontId="15" fillId="0" borderId="0" xfId="1" applyNumberFormat="1" applyFont="1" applyAlignment="1">
      <alignment horizontal="right"/>
    </xf>
    <xf numFmtId="43" fontId="24" fillId="0" borderId="0" xfId="1" applyFont="1" applyBorder="1" applyAlignment="1">
      <alignment horizontal="right"/>
    </xf>
    <xf numFmtId="43" fontId="24" fillId="0" borderId="0" xfId="1" applyFont="1" applyAlignment="1">
      <alignment horizontal="right"/>
    </xf>
    <xf numFmtId="167" fontId="0" fillId="0" borderId="22" xfId="3" applyNumberFormat="1" applyFont="1" applyBorder="1" applyAlignment="1">
      <alignment horizontal="center"/>
    </xf>
    <xf numFmtId="167" fontId="0" fillId="0" borderId="0" xfId="3" applyNumberFormat="1" applyFont="1"/>
    <xf numFmtId="165" fontId="0" fillId="0" borderId="3" xfId="0" applyNumberFormat="1" applyBorder="1"/>
    <xf numFmtId="0" fontId="17" fillId="0" borderId="0" xfId="0" applyFont="1"/>
    <xf numFmtId="43" fontId="17" fillId="3" borderId="0" xfId="1" applyFont="1" applyFill="1"/>
    <xf numFmtId="43" fontId="17" fillId="3" borderId="0" xfId="0" applyNumberFormat="1" applyFont="1" applyFill="1"/>
    <xf numFmtId="0" fontId="0" fillId="4" borderId="0" xfId="0" applyFill="1"/>
    <xf numFmtId="43" fontId="0" fillId="4" borderId="0" xfId="1" applyFont="1" applyFill="1"/>
    <xf numFmtId="17" fontId="3" fillId="0" borderId="1" xfId="0" quotePrefix="1" applyNumberFormat="1" applyFont="1" applyBorder="1" applyAlignment="1">
      <alignment horizontal="center"/>
    </xf>
    <xf numFmtId="169" fontId="3" fillId="0" borderId="2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5" fontId="19" fillId="2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/>
    <xf numFmtId="43" fontId="0" fillId="0" borderId="0" xfId="1" applyFont="1" applyFill="1"/>
  </cellXfs>
  <cellStyles count="14">
    <cellStyle name="Comma" xfId="1" builtinId="3"/>
    <cellStyle name="Comma [0] 2" xfId="5" xr:uid="{00000000-0005-0000-0000-000001000000}"/>
    <cellStyle name="Currency" xfId="2" builtinId="4"/>
    <cellStyle name="Currency 2" xfId="12" xr:uid="{00000000-0005-0000-0000-000003000000}"/>
    <cellStyle name="Currency 4" xfId="13" xr:uid="{00000000-0005-0000-0000-000004000000}"/>
    <cellStyle name="Date" xfId="6" xr:uid="{00000000-0005-0000-0000-000005000000}"/>
    <cellStyle name="Heading 1 2" xfId="10" xr:uid="{00000000-0005-0000-0000-000006000000}"/>
    <cellStyle name="Heading 2 2" xfId="9" xr:uid="{00000000-0005-0000-0000-000007000000}"/>
    <cellStyle name="Heading 3 2" xfId="8" xr:uid="{00000000-0005-0000-0000-000008000000}"/>
    <cellStyle name="Normal" xfId="0" builtinId="0"/>
    <cellStyle name="Percent" xfId="3" builtinId="5"/>
    <cellStyle name="Percent 2" xfId="7" xr:uid="{00000000-0005-0000-0000-00000B000000}"/>
    <cellStyle name="Title 2" xfId="11" xr:uid="{00000000-0005-0000-0000-00000C000000}"/>
    <cellStyle name="zHiddenText" xfId="4" xr:uid="{00000000-0005-0000-0000-00000D000000}"/>
  </cellStyles>
  <dxfs count="3">
    <dxf>
      <fill>
        <patternFill patternType="none">
          <fgColor indexed="64"/>
          <bgColor auto="1"/>
        </patternFill>
      </fill>
      <border>
        <top style="thin">
          <color theme="6" tint="0.39994506668294322"/>
        </top>
        <bottom style="thin">
          <color theme="6" tint="0.39994506668294322"/>
        </bottom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theme="3" tint="-0.24994659260841701"/>
      </font>
      <border diagonalUp="0" diagonalDown="0">
        <left/>
        <right style="thin">
          <color theme="6" tint="0.39994506668294322"/>
        </right>
        <top/>
        <bottom/>
        <vertical/>
        <horizontal/>
      </border>
    </dxf>
  </dxfs>
  <tableStyles count="1" defaultTableStyle="TableStyleMedium2" defaultPivotStyle="PivotStyleLight16">
    <tableStyle name="Gantt Table Sty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28</xdr:row>
      <xdr:rowOff>1</xdr:rowOff>
    </xdr:from>
    <xdr:to>
      <xdr:col>6</xdr:col>
      <xdr:colOff>2091</xdr:colOff>
      <xdr:row>36</xdr:row>
      <xdr:rowOff>60961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D9FB1-8523-1003-856D-AF1543D14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166361"/>
          <a:ext cx="6197150" cy="15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937261</xdr:colOff>
      <xdr:row>28</xdr:row>
      <xdr:rowOff>53341</xdr:rowOff>
    </xdr:from>
    <xdr:to>
      <xdr:col>13</xdr:col>
      <xdr:colOff>38100</xdr:colOff>
      <xdr:row>35</xdr:row>
      <xdr:rowOff>159615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86EAA8-3186-172D-359C-D0F8E57DC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1721" y="5219701"/>
          <a:ext cx="5707379" cy="1386434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37</xdr:row>
      <xdr:rowOff>114300</xdr:rowOff>
    </xdr:from>
    <xdr:to>
      <xdr:col>5</xdr:col>
      <xdr:colOff>988695</xdr:colOff>
      <xdr:row>45</xdr:row>
      <xdr:rowOff>40673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0E0925-4C90-CD37-1EAE-0455832F2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" y="6926580"/>
          <a:ext cx="6172200" cy="1389413"/>
        </a:xfrm>
        <a:prstGeom prst="rect">
          <a:avLst/>
        </a:prstGeom>
      </xdr:spPr>
    </xdr:pic>
    <xdr:clientData/>
  </xdr:twoCellAnchor>
  <xdr:twoCellAnchor editAs="oneCell">
    <xdr:from>
      <xdr:col>5</xdr:col>
      <xdr:colOff>982980</xdr:colOff>
      <xdr:row>38</xdr:row>
      <xdr:rowOff>7620</xdr:rowOff>
    </xdr:from>
    <xdr:to>
      <xdr:col>13</xdr:col>
      <xdr:colOff>289560</xdr:colOff>
      <xdr:row>45</xdr:row>
      <xdr:rowOff>159253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FBBF25B-5303-D9B2-230A-419DCA47F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87440" y="7002780"/>
          <a:ext cx="5913120" cy="143179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47</xdr:row>
      <xdr:rowOff>0</xdr:rowOff>
    </xdr:from>
    <xdr:to>
      <xdr:col>6</xdr:col>
      <xdr:colOff>45721</xdr:colOff>
      <xdr:row>54</xdr:row>
      <xdr:rowOff>16881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665E066-0BF5-1D01-1541-D4175B0F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" y="8641080"/>
          <a:ext cx="6271260" cy="1297041"/>
        </a:xfrm>
        <a:prstGeom prst="rect">
          <a:avLst/>
        </a:prstGeom>
      </xdr:spPr>
    </xdr:pic>
    <xdr:clientData/>
  </xdr:twoCellAnchor>
  <xdr:twoCellAnchor editAs="oneCell">
    <xdr:from>
      <xdr:col>6</xdr:col>
      <xdr:colOff>205740</xdr:colOff>
      <xdr:row>46</xdr:row>
      <xdr:rowOff>136118</xdr:rowOff>
    </xdr:from>
    <xdr:to>
      <xdr:col>13</xdr:col>
      <xdr:colOff>441960</xdr:colOff>
      <xdr:row>54</xdr:row>
      <xdr:rowOff>19459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75FE5D5-F7C0-ED13-4914-265FC9E95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31280" y="8594318"/>
          <a:ext cx="5821680" cy="134638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55</xdr:row>
      <xdr:rowOff>0</xdr:rowOff>
    </xdr:from>
    <xdr:to>
      <xdr:col>5</xdr:col>
      <xdr:colOff>982981</xdr:colOff>
      <xdr:row>62</xdr:row>
      <xdr:rowOff>113529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1D1C81E-0764-1741-28A1-B9EBDBEA0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" y="10104120"/>
          <a:ext cx="6187440" cy="1393689"/>
        </a:xfrm>
        <a:prstGeom prst="rect">
          <a:avLst/>
        </a:prstGeom>
      </xdr:spPr>
    </xdr:pic>
    <xdr:clientData/>
  </xdr:twoCellAnchor>
  <xdr:twoCellAnchor editAs="oneCell">
    <xdr:from>
      <xdr:col>6</xdr:col>
      <xdr:colOff>236220</xdr:colOff>
      <xdr:row>55</xdr:row>
      <xdr:rowOff>76200</xdr:rowOff>
    </xdr:from>
    <xdr:to>
      <xdr:col>13</xdr:col>
      <xdr:colOff>480060</xdr:colOff>
      <xdr:row>62</xdr:row>
      <xdr:rowOff>132858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427D7D1-2AB0-4F98-1417-88A64AD04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461760" y="10180320"/>
          <a:ext cx="5829300" cy="13368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Audit\WC%20Audit%202021\WC%2021%20Unbilled%20Revenue%20ENTRY%202.21.22%20CRI.xlsx" TargetMode="External"/><Relationship Id="rId1" Type="http://schemas.openxmlformats.org/officeDocument/2006/relationships/externalLinkPath" Target="file:///U:\Audit\WC%20Audit%202021\WC%2021%20Unbilled%20Revenue%20ENTRY%202.21.22%20C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&amp; Feb Cycle Billing - Water"/>
      <sheetName val="Jan &amp; Feb Cycle Billing - Sewer"/>
      <sheetName val="Purchased Water Spreadsheet"/>
      <sheetName val="Dispoal Cost Spreadsheet"/>
      <sheetName val="UNBILLED Revenue"/>
      <sheetName val="UNBILLED Water &amp; Disposal Costs"/>
      <sheetName val="JOURNAL ENTRY"/>
    </sheetNames>
    <sheetDataSet>
      <sheetData sheetId="0"/>
      <sheetData sheetId="1"/>
      <sheetData sheetId="2">
        <row r="27">
          <cell r="AA27">
            <v>3323308000</v>
          </cell>
          <cell r="AB27">
            <v>6296338.4699999988</v>
          </cell>
        </row>
      </sheetData>
      <sheetData sheetId="3">
        <row r="23">
          <cell r="AA23">
            <v>1000249000</v>
          </cell>
          <cell r="AB23">
            <v>2930300.81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topLeftCell="A2" workbookViewId="0">
      <selection activeCell="A5" sqref="A5"/>
    </sheetView>
  </sheetViews>
  <sheetFormatPr defaultColWidth="13.5703125" defaultRowHeight="15" x14ac:dyDescent="0.25"/>
  <cols>
    <col min="1" max="1" width="16.140625" style="8" customWidth="1"/>
    <col min="2" max="2" width="14.140625" style="43" bestFit="1" customWidth="1"/>
    <col min="3" max="3" width="15.140625" style="40" bestFit="1" customWidth="1"/>
    <col min="4" max="4" width="8.7109375" style="65" bestFit="1" customWidth="1"/>
    <col min="5" max="5" width="11.28515625" style="65" customWidth="1"/>
    <col min="6" max="6" width="11.5703125" style="65" customWidth="1"/>
    <col min="7" max="7" width="6" style="32" bestFit="1" customWidth="1"/>
    <col min="8" max="8" width="43.7109375" bestFit="1" customWidth="1"/>
    <col min="9" max="9" width="1.5703125" customWidth="1"/>
    <col min="10" max="10" width="13.85546875" bestFit="1" customWidth="1"/>
    <col min="11" max="11" width="12.28515625" style="39" bestFit="1" customWidth="1"/>
    <col min="12" max="12" width="14" style="38" bestFit="1" customWidth="1"/>
    <col min="13" max="13" width="8.7109375" style="65" bestFit="1" customWidth="1"/>
    <col min="14" max="15" width="10" style="65" customWidth="1"/>
    <col min="16" max="16" width="5.28515625" style="32" bestFit="1" customWidth="1"/>
  </cols>
  <sheetData>
    <row r="1" spans="1:16" x14ac:dyDescent="0.25">
      <c r="A1" s="181" t="s">
        <v>34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6" x14ac:dyDescent="0.25">
      <c r="A2" s="181" t="s">
        <v>35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6" x14ac:dyDescent="0.25">
      <c r="A3" s="45"/>
      <c r="B3" s="45"/>
      <c r="C3" s="45"/>
      <c r="D3" s="46"/>
      <c r="E3" s="46"/>
      <c r="F3" s="46"/>
      <c r="G3" s="45"/>
      <c r="H3" s="45"/>
      <c r="I3" s="45"/>
      <c r="J3" s="45"/>
      <c r="K3" s="45"/>
      <c r="L3" s="45"/>
      <c r="M3" s="46"/>
      <c r="N3" s="46"/>
      <c r="O3" s="46"/>
    </row>
    <row r="4" spans="1:16" x14ac:dyDescent="0.25">
      <c r="A4" s="179" t="s">
        <v>99</v>
      </c>
      <c r="B4" s="179"/>
      <c r="C4" s="179"/>
      <c r="D4" s="179"/>
      <c r="E4" s="179"/>
      <c r="F4" s="179"/>
      <c r="G4" s="179"/>
      <c r="H4" s="179"/>
      <c r="J4" s="179" t="s">
        <v>84</v>
      </c>
      <c r="K4" s="179"/>
      <c r="L4" s="179"/>
      <c r="M4" s="179"/>
      <c r="N4" s="179"/>
      <c r="O4" s="179"/>
      <c r="P4" s="179"/>
    </row>
    <row r="5" spans="1:16" x14ac:dyDescent="0.25">
      <c r="A5" s="47"/>
      <c r="B5" s="48"/>
      <c r="C5" s="49"/>
      <c r="D5" s="50"/>
      <c r="E5" s="180" t="s">
        <v>62</v>
      </c>
      <c r="F5" s="180"/>
      <c r="G5" s="49"/>
      <c r="H5" s="51"/>
      <c r="J5" s="52"/>
      <c r="K5" s="53"/>
      <c r="L5" s="53"/>
      <c r="M5" s="50"/>
      <c r="N5" s="180" t="s">
        <v>62</v>
      </c>
      <c r="O5" s="180"/>
      <c r="P5" s="51"/>
    </row>
    <row r="6" spans="1:16" x14ac:dyDescent="0.25">
      <c r="A6" s="54" t="s">
        <v>63</v>
      </c>
      <c r="B6" s="55" t="s">
        <v>64</v>
      </c>
      <c r="C6" s="56" t="s">
        <v>49</v>
      </c>
      <c r="D6" s="57" t="s">
        <v>65</v>
      </c>
      <c r="E6" s="58" t="s">
        <v>18</v>
      </c>
      <c r="F6" s="58" t="s">
        <v>19</v>
      </c>
      <c r="G6" s="59" t="s">
        <v>66</v>
      </c>
      <c r="H6" s="60" t="s">
        <v>67</v>
      </c>
      <c r="I6" s="61"/>
      <c r="J6" s="54" t="s">
        <v>63</v>
      </c>
      <c r="K6" s="55" t="s">
        <v>64</v>
      </c>
      <c r="L6" s="56" t="s">
        <v>49</v>
      </c>
      <c r="M6" s="57" t="s">
        <v>65</v>
      </c>
      <c r="N6" s="58" t="s">
        <v>18</v>
      </c>
      <c r="O6" s="58" t="s">
        <v>19</v>
      </c>
      <c r="P6" s="62" t="s">
        <v>66</v>
      </c>
    </row>
    <row r="7" spans="1:16" x14ac:dyDescent="0.25">
      <c r="A7" s="63">
        <v>2</v>
      </c>
      <c r="B7" s="68">
        <v>260096.92</v>
      </c>
      <c r="C7" s="164">
        <v>52780866</v>
      </c>
      <c r="D7" s="64">
        <v>45294</v>
      </c>
      <c r="E7" s="65">
        <v>45251</v>
      </c>
      <c r="F7" s="64">
        <v>45280</v>
      </c>
      <c r="G7" s="32">
        <v>29</v>
      </c>
      <c r="H7" s="66" t="s">
        <v>36</v>
      </c>
      <c r="J7" s="63">
        <v>2</v>
      </c>
      <c r="K7" s="68">
        <v>247351.31</v>
      </c>
      <c r="L7" s="164">
        <v>49485755</v>
      </c>
      <c r="M7" s="64">
        <v>44930</v>
      </c>
      <c r="N7" s="65">
        <v>44883</v>
      </c>
      <c r="O7" s="64">
        <v>44915</v>
      </c>
      <c r="P7" s="67">
        <v>32</v>
      </c>
    </row>
    <row r="8" spans="1:16" x14ac:dyDescent="0.25">
      <c r="A8" s="63">
        <v>4</v>
      </c>
      <c r="B8" s="68">
        <v>70061.810000000012</v>
      </c>
      <c r="C8" s="164">
        <v>10785293</v>
      </c>
      <c r="D8" s="64">
        <v>45296</v>
      </c>
      <c r="E8" s="65">
        <v>45257</v>
      </c>
      <c r="F8" s="64">
        <v>45287</v>
      </c>
      <c r="G8" s="32">
        <v>30</v>
      </c>
      <c r="H8" s="66" t="s">
        <v>37</v>
      </c>
      <c r="J8" s="63">
        <v>4</v>
      </c>
      <c r="K8" s="68">
        <v>70186.22</v>
      </c>
      <c r="L8" s="164">
        <v>11045948</v>
      </c>
      <c r="M8" s="64">
        <v>44932</v>
      </c>
      <c r="N8" s="65">
        <v>44887</v>
      </c>
      <c r="O8" s="64">
        <v>44916</v>
      </c>
      <c r="P8" s="67">
        <v>29</v>
      </c>
    </row>
    <row r="9" spans="1:16" x14ac:dyDescent="0.25">
      <c r="A9" s="63">
        <v>6</v>
      </c>
      <c r="B9" s="68">
        <v>57948.31</v>
      </c>
      <c r="C9" s="164">
        <v>10267763</v>
      </c>
      <c r="D9" s="64">
        <v>45299</v>
      </c>
      <c r="E9" s="65">
        <v>45258</v>
      </c>
      <c r="F9" s="64">
        <v>45289</v>
      </c>
      <c r="G9" s="32">
        <v>31</v>
      </c>
      <c r="H9" s="66" t="s">
        <v>38</v>
      </c>
      <c r="J9" s="63">
        <v>6</v>
      </c>
      <c r="K9" s="68">
        <v>59841.48</v>
      </c>
      <c r="L9" s="164">
        <v>10782091</v>
      </c>
      <c r="M9" s="64">
        <v>44935</v>
      </c>
      <c r="N9" s="65">
        <v>44887</v>
      </c>
      <c r="O9" s="64">
        <v>44919</v>
      </c>
      <c r="P9" s="67">
        <v>32</v>
      </c>
    </row>
    <row r="10" spans="1:16" x14ac:dyDescent="0.25">
      <c r="A10" s="63">
        <v>8</v>
      </c>
      <c r="B10" s="68">
        <v>189403.50000000003</v>
      </c>
      <c r="C10" s="164">
        <v>29689747</v>
      </c>
      <c r="D10" s="64">
        <v>45301</v>
      </c>
      <c r="E10" s="65">
        <v>45264</v>
      </c>
      <c r="F10" s="64">
        <v>45295</v>
      </c>
      <c r="G10" s="32">
        <v>31</v>
      </c>
      <c r="H10" s="66" t="s">
        <v>39</v>
      </c>
      <c r="J10" s="63">
        <v>8</v>
      </c>
      <c r="K10" s="68">
        <v>185890.33</v>
      </c>
      <c r="L10" s="164">
        <v>30206376</v>
      </c>
      <c r="M10" s="64">
        <v>44937</v>
      </c>
      <c r="N10" s="65">
        <v>44895</v>
      </c>
      <c r="O10" s="64">
        <v>44924</v>
      </c>
      <c r="P10" s="67">
        <v>29</v>
      </c>
    </row>
    <row r="11" spans="1:16" x14ac:dyDescent="0.25">
      <c r="A11" s="63">
        <v>10</v>
      </c>
      <c r="B11" s="68">
        <v>107857.31</v>
      </c>
      <c r="C11" s="164">
        <v>17773071</v>
      </c>
      <c r="D11" s="64">
        <v>45308</v>
      </c>
      <c r="E11" s="65">
        <v>45267</v>
      </c>
      <c r="F11" s="64">
        <v>45299</v>
      </c>
      <c r="G11" s="32">
        <v>32</v>
      </c>
      <c r="H11" s="66" t="s">
        <v>40</v>
      </c>
      <c r="J11" s="63">
        <v>10</v>
      </c>
      <c r="K11" s="68">
        <v>107880.95000000003</v>
      </c>
      <c r="L11" s="164">
        <v>18114839</v>
      </c>
      <c r="M11" s="64">
        <v>44944</v>
      </c>
      <c r="N11" s="65">
        <v>44900</v>
      </c>
      <c r="O11" s="64">
        <v>44931</v>
      </c>
      <c r="P11" s="67">
        <v>31</v>
      </c>
    </row>
    <row r="12" spans="1:16" x14ac:dyDescent="0.25">
      <c r="A12" s="63">
        <v>12</v>
      </c>
      <c r="B12" s="68">
        <v>331923.17</v>
      </c>
      <c r="C12" s="164">
        <v>65628930</v>
      </c>
      <c r="D12" s="64">
        <v>45313</v>
      </c>
      <c r="E12" s="65">
        <v>45273</v>
      </c>
      <c r="F12" s="64">
        <v>45303</v>
      </c>
      <c r="G12" s="32">
        <v>30</v>
      </c>
      <c r="H12" s="66" t="s">
        <v>41</v>
      </c>
      <c r="J12" s="63">
        <v>12</v>
      </c>
      <c r="K12" s="68">
        <v>380159.14999999997</v>
      </c>
      <c r="L12" s="164">
        <v>78817919</v>
      </c>
      <c r="M12" s="64">
        <v>44949</v>
      </c>
      <c r="N12" s="65">
        <v>44903</v>
      </c>
      <c r="O12" s="64">
        <v>44935</v>
      </c>
      <c r="P12" s="67">
        <v>32</v>
      </c>
    </row>
    <row r="13" spans="1:16" x14ac:dyDescent="0.25">
      <c r="A13" s="63">
        <v>14</v>
      </c>
      <c r="B13" s="68">
        <v>80205.63</v>
      </c>
      <c r="C13" s="164">
        <v>12999932</v>
      </c>
      <c r="D13" s="64">
        <v>45315</v>
      </c>
      <c r="E13" s="65">
        <v>45275</v>
      </c>
      <c r="F13" s="64">
        <v>45306</v>
      </c>
      <c r="G13" s="32">
        <v>31</v>
      </c>
      <c r="H13" s="66" t="s">
        <v>42</v>
      </c>
      <c r="J13" s="63">
        <v>14</v>
      </c>
      <c r="K13" s="68">
        <v>86646.13</v>
      </c>
      <c r="L13" s="164">
        <v>14752416</v>
      </c>
      <c r="M13" s="64">
        <v>44951</v>
      </c>
      <c r="N13" s="65">
        <v>44907</v>
      </c>
      <c r="O13" s="64">
        <v>44939</v>
      </c>
      <c r="P13" s="67">
        <v>32</v>
      </c>
    </row>
    <row r="14" spans="1:16" x14ac:dyDescent="0.25">
      <c r="A14" s="63">
        <v>16</v>
      </c>
      <c r="B14" s="68">
        <v>99813.27</v>
      </c>
      <c r="C14" s="164">
        <v>17162076</v>
      </c>
      <c r="D14" s="64">
        <v>45320</v>
      </c>
      <c r="E14" s="65">
        <v>45278</v>
      </c>
      <c r="F14" s="64">
        <v>45308</v>
      </c>
      <c r="G14" s="32">
        <v>30</v>
      </c>
      <c r="H14" s="66" t="s">
        <v>43</v>
      </c>
      <c r="J14" s="63">
        <v>16</v>
      </c>
      <c r="K14" s="68">
        <v>116412.36</v>
      </c>
      <c r="L14" s="164">
        <v>21694768</v>
      </c>
      <c r="M14" s="64">
        <v>44956</v>
      </c>
      <c r="N14" s="65">
        <v>44908</v>
      </c>
      <c r="O14" s="64">
        <v>44943</v>
      </c>
      <c r="P14" s="67">
        <v>35</v>
      </c>
    </row>
    <row r="15" spans="1:16" ht="15.75" thickBot="1" x14ac:dyDescent="0.3">
      <c r="A15" s="69" t="s">
        <v>17</v>
      </c>
      <c r="B15" s="70">
        <f>SUM(B7:B14)</f>
        <v>1197309.92</v>
      </c>
      <c r="C15" s="33">
        <f>SUM(C7:C14)</f>
        <v>217087678</v>
      </c>
      <c r="H15" s="66"/>
      <c r="J15" s="69" t="s">
        <v>17</v>
      </c>
      <c r="K15" s="70">
        <f>SUM(K7:K14)</f>
        <v>1254367.93</v>
      </c>
      <c r="L15" s="34">
        <f>SUM(L7:L14)</f>
        <v>234900112</v>
      </c>
      <c r="P15" s="67"/>
    </row>
    <row r="16" spans="1:16" ht="15.75" thickTop="1" x14ac:dyDescent="0.25">
      <c r="A16" s="71" t="s">
        <v>44</v>
      </c>
      <c r="B16" s="165">
        <f>+B15-K15</f>
        <v>-57058.010000000009</v>
      </c>
      <c r="C16" s="73">
        <f>+C15-L15</f>
        <v>-17812434</v>
      </c>
      <c r="D16" s="74"/>
      <c r="E16" s="74"/>
      <c r="F16" s="74"/>
      <c r="G16" s="35"/>
      <c r="H16" s="66"/>
      <c r="J16" s="75"/>
      <c r="K16" s="76"/>
      <c r="L16" s="77"/>
      <c r="P16" s="67"/>
    </row>
    <row r="17" spans="1:16" x14ac:dyDescent="0.25">
      <c r="A17" s="71" t="s">
        <v>45</v>
      </c>
      <c r="B17" s="78">
        <f>+B16/K15</f>
        <v>-4.5487459169974168E-2</v>
      </c>
      <c r="C17" s="79">
        <f>+C16/L15</f>
        <v>-7.5829823359130619E-2</v>
      </c>
      <c r="D17" s="80"/>
      <c r="E17" s="81"/>
      <c r="F17" s="81"/>
      <c r="G17" s="35"/>
      <c r="H17" s="66"/>
      <c r="J17" s="75"/>
      <c r="K17" s="76"/>
      <c r="L17" s="77"/>
      <c r="P17" s="67"/>
    </row>
    <row r="18" spans="1:16" x14ac:dyDescent="0.25">
      <c r="A18" s="71" t="s">
        <v>46</v>
      </c>
      <c r="B18" s="82">
        <f>+B15/C15*1000</f>
        <v>5.5153287880300601</v>
      </c>
      <c r="C18" s="83"/>
      <c r="D18" s="84"/>
      <c r="E18" s="46"/>
      <c r="F18" s="46"/>
      <c r="G18" s="37"/>
      <c r="H18" s="66"/>
      <c r="J18" s="85" t="s">
        <v>46</v>
      </c>
      <c r="K18" s="86">
        <f>+K15/L15*1000</f>
        <v>5.3400056701548104</v>
      </c>
      <c r="P18" s="67"/>
    </row>
    <row r="19" spans="1:16" x14ac:dyDescent="0.25">
      <c r="A19" s="71"/>
      <c r="B19" s="42"/>
      <c r="C19" s="36"/>
      <c r="D19" s="46"/>
      <c r="E19" s="46"/>
      <c r="F19" s="46"/>
      <c r="G19" s="37"/>
      <c r="H19" s="66"/>
      <c r="J19" s="75"/>
      <c r="P19" s="67"/>
    </row>
    <row r="20" spans="1:16" x14ac:dyDescent="0.25">
      <c r="A20" s="71" t="s">
        <v>47</v>
      </c>
      <c r="B20" s="72">
        <f>+B15-1202571</f>
        <v>-5261.0800000000745</v>
      </c>
      <c r="C20" s="73">
        <f>+C15-223442003</f>
        <v>-6354325</v>
      </c>
      <c r="H20" s="66"/>
      <c r="J20" s="75"/>
      <c r="P20" s="67"/>
    </row>
    <row r="21" spans="1:16" x14ac:dyDescent="0.25">
      <c r="A21" s="87" t="s">
        <v>48</v>
      </c>
      <c r="B21" s="88">
        <f>+B20/1202571</f>
        <v>-4.3748601953648263E-3</v>
      </c>
      <c r="C21" s="89">
        <f>+C20/223442003</f>
        <v>-2.8438363936434997E-2</v>
      </c>
      <c r="D21" s="90"/>
      <c r="E21" s="90"/>
      <c r="F21" s="90"/>
      <c r="G21" s="91"/>
      <c r="H21" s="92"/>
      <c r="J21" s="93"/>
      <c r="K21" s="94"/>
      <c r="L21" s="95"/>
      <c r="M21" s="96"/>
      <c r="N21" s="96"/>
      <c r="O21" s="96"/>
      <c r="P21" s="97"/>
    </row>
    <row r="22" spans="1:16" x14ac:dyDescent="0.25">
      <c r="A22" s="45"/>
      <c r="B22" s="45"/>
      <c r="C22" s="45"/>
      <c r="D22" s="46"/>
      <c r="E22" s="46"/>
      <c r="F22" s="46"/>
      <c r="G22" s="45"/>
      <c r="H22" s="45"/>
      <c r="I22" s="45"/>
      <c r="J22" s="45"/>
      <c r="K22" s="45"/>
      <c r="L22" s="45"/>
      <c r="M22" s="46"/>
      <c r="N22" s="46"/>
      <c r="O22" s="46"/>
    </row>
    <row r="23" spans="1:16" x14ac:dyDescent="0.25">
      <c r="A23" s="179" t="s">
        <v>100</v>
      </c>
      <c r="B23" s="179"/>
      <c r="C23" s="179"/>
      <c r="D23" s="179"/>
      <c r="E23" s="179"/>
      <c r="F23" s="179"/>
      <c r="G23" s="179"/>
      <c r="H23" s="179"/>
      <c r="J23" s="179" t="s">
        <v>85</v>
      </c>
      <c r="K23" s="179"/>
      <c r="L23" s="179"/>
      <c r="M23" s="179"/>
      <c r="N23" s="179"/>
      <c r="O23" s="179"/>
    </row>
    <row r="24" spans="1:16" x14ac:dyDescent="0.25">
      <c r="A24" s="47"/>
      <c r="B24" s="48"/>
      <c r="C24" s="49"/>
      <c r="D24" s="50"/>
      <c r="E24" s="180" t="s">
        <v>62</v>
      </c>
      <c r="F24" s="180"/>
      <c r="G24" s="49"/>
      <c r="H24" s="51"/>
      <c r="J24" s="52"/>
      <c r="K24" s="53"/>
      <c r="L24" s="53"/>
      <c r="M24" s="50"/>
      <c r="N24" s="180" t="s">
        <v>62</v>
      </c>
      <c r="O24" s="180"/>
      <c r="P24" s="51"/>
    </row>
    <row r="25" spans="1:16" x14ac:dyDescent="0.25">
      <c r="A25" s="54" t="s">
        <v>63</v>
      </c>
      <c r="B25" s="55" t="s">
        <v>64</v>
      </c>
      <c r="C25" s="56" t="s">
        <v>49</v>
      </c>
      <c r="D25" s="57" t="s">
        <v>65</v>
      </c>
      <c r="E25" s="58" t="s">
        <v>18</v>
      </c>
      <c r="F25" s="58" t="s">
        <v>19</v>
      </c>
      <c r="G25" s="59" t="s">
        <v>66</v>
      </c>
      <c r="H25" s="60" t="s">
        <v>67</v>
      </c>
      <c r="I25" s="61"/>
      <c r="J25" s="54" t="s">
        <v>63</v>
      </c>
      <c r="K25" s="55" t="s">
        <v>64</v>
      </c>
      <c r="L25" s="56" t="s">
        <v>49</v>
      </c>
      <c r="M25" s="57" t="s">
        <v>65</v>
      </c>
      <c r="N25" s="58" t="s">
        <v>18</v>
      </c>
      <c r="O25" s="58" t="s">
        <v>19</v>
      </c>
      <c r="P25" s="62" t="s">
        <v>66</v>
      </c>
    </row>
    <row r="26" spans="1:16" x14ac:dyDescent="0.25">
      <c r="A26" s="63">
        <v>2</v>
      </c>
      <c r="B26" s="68">
        <v>268873.06</v>
      </c>
      <c r="C26" s="164">
        <v>54445249</v>
      </c>
      <c r="D26" s="64">
        <v>45324</v>
      </c>
      <c r="E26" s="64">
        <v>45280</v>
      </c>
      <c r="F26" s="64">
        <v>45313</v>
      </c>
      <c r="G26" s="32">
        <v>33</v>
      </c>
      <c r="H26" s="66" t="s">
        <v>36</v>
      </c>
      <c r="J26" s="63">
        <v>2</v>
      </c>
      <c r="K26" s="68">
        <v>256689.71000000002</v>
      </c>
      <c r="L26" s="164">
        <v>51430228</v>
      </c>
      <c r="M26" s="64">
        <v>44958</v>
      </c>
      <c r="N26" s="64">
        <v>44915</v>
      </c>
      <c r="O26" s="64">
        <v>44946</v>
      </c>
      <c r="P26" s="67">
        <v>31</v>
      </c>
    </row>
    <row r="27" spans="1:16" x14ac:dyDescent="0.25">
      <c r="A27" s="63">
        <v>4</v>
      </c>
      <c r="B27" s="68">
        <v>76150.140000000014</v>
      </c>
      <c r="C27" s="164">
        <v>12271042</v>
      </c>
      <c r="D27" s="64">
        <v>45327</v>
      </c>
      <c r="E27" s="64">
        <v>45287</v>
      </c>
      <c r="F27" s="64">
        <v>45316</v>
      </c>
      <c r="G27" s="32">
        <v>29</v>
      </c>
      <c r="H27" s="66" t="s">
        <v>37</v>
      </c>
      <c r="J27" s="63">
        <v>4</v>
      </c>
      <c r="K27" s="68">
        <v>80764.070000000022</v>
      </c>
      <c r="L27" s="164">
        <v>13613862</v>
      </c>
      <c r="M27" s="64">
        <v>44960</v>
      </c>
      <c r="N27" s="64">
        <v>44916</v>
      </c>
      <c r="O27" s="64">
        <v>44949</v>
      </c>
      <c r="P27" s="67">
        <v>33</v>
      </c>
    </row>
    <row r="28" spans="1:16" x14ac:dyDescent="0.25">
      <c r="A28" s="63">
        <v>6</v>
      </c>
      <c r="B28" s="68">
        <v>61487.31</v>
      </c>
      <c r="C28" s="164">
        <v>11104528</v>
      </c>
      <c r="D28" s="64">
        <v>45329</v>
      </c>
      <c r="E28" s="64">
        <v>45289</v>
      </c>
      <c r="F28" s="64">
        <v>45320</v>
      </c>
      <c r="G28" s="32">
        <v>31</v>
      </c>
      <c r="H28" s="66" t="s">
        <v>38</v>
      </c>
      <c r="J28" s="63">
        <v>6</v>
      </c>
      <c r="K28" s="68">
        <v>64901.130000000005</v>
      </c>
      <c r="L28" s="164">
        <v>11969542</v>
      </c>
      <c r="M28" s="64">
        <v>44963</v>
      </c>
      <c r="N28" s="64">
        <v>44919</v>
      </c>
      <c r="O28" s="64">
        <v>44951</v>
      </c>
      <c r="P28" s="67">
        <v>32</v>
      </c>
    </row>
    <row r="29" spans="1:16" x14ac:dyDescent="0.25">
      <c r="A29" s="63"/>
      <c r="B29" s="68"/>
      <c r="C29" s="164"/>
      <c r="D29" s="64"/>
      <c r="E29" s="64"/>
      <c r="F29" s="64"/>
      <c r="H29" s="66"/>
      <c r="J29" s="63">
        <v>8</v>
      </c>
      <c r="K29" s="68">
        <v>174568.14000000004</v>
      </c>
      <c r="L29" s="164">
        <v>27407871</v>
      </c>
      <c r="M29" s="64">
        <v>44965</v>
      </c>
      <c r="N29" s="64">
        <v>44924</v>
      </c>
      <c r="O29" s="64">
        <v>44956</v>
      </c>
      <c r="P29" s="67">
        <v>32</v>
      </c>
    </row>
    <row r="30" spans="1:16" ht="15.75" thickBot="1" x14ac:dyDescent="0.3">
      <c r="A30" s="69" t="s">
        <v>17</v>
      </c>
      <c r="B30" s="70">
        <f>SUM(B26:B29)</f>
        <v>406510.51</v>
      </c>
      <c r="C30" s="33">
        <f>SUM(C26:C29)</f>
        <v>77820819</v>
      </c>
      <c r="H30" s="66"/>
      <c r="J30" s="69" t="s">
        <v>17</v>
      </c>
      <c r="K30" s="70">
        <f>SUM(K26:K29)</f>
        <v>576923.05000000005</v>
      </c>
      <c r="L30" s="34">
        <f>SUM(L26:L29)</f>
        <v>104421503</v>
      </c>
      <c r="P30" s="67"/>
    </row>
    <row r="31" spans="1:16" ht="15.75" thickTop="1" x14ac:dyDescent="0.25">
      <c r="A31" s="71" t="s">
        <v>44</v>
      </c>
      <c r="B31" s="165">
        <f>+B30-K30</f>
        <v>-170412.54000000004</v>
      </c>
      <c r="C31" s="73">
        <f>+C30-L30</f>
        <v>-26600684</v>
      </c>
      <c r="D31" s="74"/>
      <c r="E31" s="74"/>
      <c r="F31" s="74"/>
      <c r="G31" s="35"/>
      <c r="H31" s="66"/>
      <c r="J31" s="75"/>
      <c r="K31" s="76"/>
      <c r="L31" s="77"/>
      <c r="P31" s="67"/>
    </row>
    <row r="32" spans="1:16" x14ac:dyDescent="0.25">
      <c r="A32" s="71" t="s">
        <v>45</v>
      </c>
      <c r="B32" s="78">
        <f>+B31/K30</f>
        <v>-0.29538174978448167</v>
      </c>
      <c r="C32" s="79">
        <f>+C31/L30</f>
        <v>-0.25474335491991529</v>
      </c>
      <c r="D32" s="80"/>
      <c r="E32" s="81"/>
      <c r="F32" s="81"/>
      <c r="G32" s="35"/>
      <c r="H32" s="66"/>
      <c r="J32" s="75"/>
      <c r="K32" s="76"/>
      <c r="L32" s="77"/>
      <c r="P32" s="67"/>
    </row>
    <row r="33" spans="1:16" x14ac:dyDescent="0.25">
      <c r="A33" s="71" t="s">
        <v>46</v>
      </c>
      <c r="B33" s="82">
        <f>+B30/C30*1000</f>
        <v>5.2236729865307634</v>
      </c>
      <c r="C33" s="83"/>
      <c r="D33" s="84"/>
      <c r="E33" s="46"/>
      <c r="F33" s="46"/>
      <c r="G33" s="37"/>
      <c r="H33" s="66"/>
      <c r="J33" s="85" t="s">
        <v>46</v>
      </c>
      <c r="K33" s="86">
        <f>+K30/L30*1000</f>
        <v>5.5249448956887743</v>
      </c>
      <c r="P33" s="67"/>
    </row>
    <row r="34" spans="1:16" x14ac:dyDescent="0.25">
      <c r="A34" s="71"/>
      <c r="B34" s="42"/>
      <c r="C34" s="36"/>
      <c r="D34" s="46"/>
      <c r="E34" s="46"/>
      <c r="F34" s="46"/>
      <c r="G34" s="37"/>
      <c r="H34" s="66"/>
      <c r="J34" s="75"/>
      <c r="P34" s="67"/>
    </row>
    <row r="35" spans="1:16" x14ac:dyDescent="0.25">
      <c r="A35" s="71" t="s">
        <v>47</v>
      </c>
      <c r="B35" s="72"/>
      <c r="C35" s="73"/>
      <c r="D35" s="46"/>
      <c r="E35" s="46"/>
      <c r="F35" s="46"/>
      <c r="G35" s="37"/>
      <c r="H35" s="66"/>
      <c r="J35" s="75"/>
      <c r="P35" s="67"/>
    </row>
    <row r="36" spans="1:16" x14ac:dyDescent="0.25">
      <c r="A36" s="87" t="s">
        <v>48</v>
      </c>
      <c r="B36" s="88"/>
      <c r="C36" s="89"/>
      <c r="D36" s="57"/>
      <c r="E36" s="57"/>
      <c r="F36" s="57"/>
      <c r="G36" s="98"/>
      <c r="H36" s="92"/>
      <c r="J36" s="93"/>
      <c r="K36" s="94"/>
      <c r="L36" s="95"/>
      <c r="M36" s="96"/>
      <c r="N36" s="96"/>
      <c r="O36" s="96"/>
      <c r="P36" s="97"/>
    </row>
    <row r="38" spans="1:16" x14ac:dyDescent="0.25">
      <c r="B38" s="43">
        <f>+B15+B30</f>
        <v>1603820.43</v>
      </c>
      <c r="C38" s="168">
        <f>+C15+C30</f>
        <v>294908497</v>
      </c>
    </row>
    <row r="39" spans="1:16" x14ac:dyDescent="0.25">
      <c r="B39" s="44"/>
      <c r="C39" s="41"/>
      <c r="D39" s="64"/>
      <c r="E39" s="64"/>
      <c r="F39" s="64"/>
    </row>
    <row r="40" spans="1:16" x14ac:dyDescent="0.25">
      <c r="B40" s="44"/>
      <c r="C40" s="41"/>
      <c r="D40" s="64"/>
      <c r="E40" s="64"/>
      <c r="F40" s="64"/>
    </row>
    <row r="41" spans="1:16" x14ac:dyDescent="0.25">
      <c r="B41" s="44"/>
      <c r="C41" s="41"/>
      <c r="D41" s="64"/>
      <c r="E41" s="64"/>
      <c r="F41" s="64"/>
    </row>
    <row r="42" spans="1:16" x14ac:dyDescent="0.25">
      <c r="B42" s="100"/>
      <c r="C42" s="41"/>
      <c r="D42" s="64"/>
      <c r="E42" s="64"/>
      <c r="F42" s="64"/>
    </row>
    <row r="43" spans="1:16" x14ac:dyDescent="0.25">
      <c r="B43" s="100"/>
      <c r="C43" s="41"/>
    </row>
    <row r="44" spans="1:16" x14ac:dyDescent="0.25">
      <c r="B44" s="101"/>
    </row>
  </sheetData>
  <mergeCells count="10">
    <mergeCell ref="A23:H23"/>
    <mergeCell ref="J23:O23"/>
    <mergeCell ref="E24:F24"/>
    <mergeCell ref="N24:O24"/>
    <mergeCell ref="A1:O1"/>
    <mergeCell ref="A2:O2"/>
    <mergeCell ref="A4:H4"/>
    <mergeCell ref="J4:P4"/>
    <mergeCell ref="E5:F5"/>
    <mergeCell ref="N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8"/>
  <sheetViews>
    <sheetView workbookViewId="0">
      <selection activeCell="C6" sqref="C6"/>
    </sheetView>
  </sheetViews>
  <sheetFormatPr defaultRowHeight="15" x14ac:dyDescent="0.25"/>
  <cols>
    <col min="1" max="1" width="16.140625" style="8" customWidth="1"/>
    <col min="2" max="2" width="13.28515625" style="112" customWidth="1"/>
    <col min="3" max="3" width="14.7109375" style="40" bestFit="1" customWidth="1"/>
    <col min="4" max="4" width="8.7109375" style="65" bestFit="1" customWidth="1"/>
    <col min="5" max="6" width="9.7109375" style="65" customWidth="1"/>
    <col min="7" max="7" width="5.28515625" style="32" bestFit="1" customWidth="1"/>
    <col min="8" max="8" width="43.7109375" bestFit="1" customWidth="1"/>
    <col min="9" max="9" width="1.5703125" customWidth="1"/>
    <col min="10" max="10" width="13.85546875" bestFit="1" customWidth="1"/>
    <col min="11" max="11" width="11.28515625" style="111" bestFit="1" customWidth="1"/>
    <col min="12" max="12" width="14" style="38" bestFit="1" customWidth="1"/>
    <col min="13" max="15" width="9.140625" style="65" bestFit="1" customWidth="1"/>
    <col min="16" max="16" width="5.28515625" style="32" bestFit="1" customWidth="1"/>
  </cols>
  <sheetData>
    <row r="1" spans="1:16" x14ac:dyDescent="0.25">
      <c r="A1" s="181" t="s">
        <v>34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6" x14ac:dyDescent="0.25">
      <c r="A2" s="181" t="s">
        <v>68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6" x14ac:dyDescent="0.25">
      <c r="A3" s="45"/>
      <c r="B3" s="102"/>
      <c r="C3" s="45"/>
      <c r="D3" s="46"/>
      <c r="E3" s="46"/>
      <c r="F3" s="46"/>
      <c r="G3" s="45"/>
      <c r="H3" s="45"/>
      <c r="I3" s="45"/>
      <c r="J3" s="45"/>
      <c r="K3" s="102"/>
      <c r="L3" s="45"/>
      <c r="M3" s="46"/>
      <c r="N3" s="46"/>
      <c r="O3" s="46"/>
    </row>
    <row r="4" spans="1:16" x14ac:dyDescent="0.25">
      <c r="A4" s="179" t="s">
        <v>99</v>
      </c>
      <c r="B4" s="179"/>
      <c r="C4" s="179"/>
      <c r="D4" s="179"/>
      <c r="E4" s="179"/>
      <c r="F4" s="179"/>
      <c r="G4" s="179"/>
      <c r="H4" s="179"/>
      <c r="J4" s="179" t="s">
        <v>84</v>
      </c>
      <c r="K4" s="179"/>
      <c r="L4" s="179"/>
      <c r="M4" s="179"/>
      <c r="N4" s="179"/>
      <c r="O4" s="179"/>
      <c r="P4" s="179"/>
    </row>
    <row r="5" spans="1:16" x14ac:dyDescent="0.25">
      <c r="A5" s="47"/>
      <c r="B5" s="103"/>
      <c r="C5" s="49"/>
      <c r="D5" s="50"/>
      <c r="E5" s="180" t="s">
        <v>62</v>
      </c>
      <c r="F5" s="180"/>
      <c r="G5" s="49"/>
      <c r="H5" s="51"/>
      <c r="J5" s="52"/>
      <c r="K5" s="104"/>
      <c r="L5" s="53"/>
      <c r="M5" s="50"/>
      <c r="N5" s="180" t="s">
        <v>62</v>
      </c>
      <c r="O5" s="180"/>
      <c r="P5" s="51"/>
    </row>
    <row r="6" spans="1:16" x14ac:dyDescent="0.25">
      <c r="A6" s="54" t="s">
        <v>63</v>
      </c>
      <c r="B6" s="105" t="s">
        <v>64</v>
      </c>
      <c r="C6" s="56" t="s">
        <v>49</v>
      </c>
      <c r="D6" s="57" t="s">
        <v>65</v>
      </c>
      <c r="E6" s="58" t="s">
        <v>18</v>
      </c>
      <c r="F6" s="58" t="s">
        <v>19</v>
      </c>
      <c r="G6" s="59" t="s">
        <v>66</v>
      </c>
      <c r="H6" s="60" t="s">
        <v>67</v>
      </c>
      <c r="I6" s="61"/>
      <c r="J6" s="54" t="s">
        <v>63</v>
      </c>
      <c r="K6" s="105" t="s">
        <v>64</v>
      </c>
      <c r="L6" s="56" t="s">
        <v>49</v>
      </c>
      <c r="M6" s="57" t="s">
        <v>65</v>
      </c>
      <c r="N6" s="58" t="s">
        <v>18</v>
      </c>
      <c r="O6" s="58" t="s">
        <v>19</v>
      </c>
      <c r="P6" s="62" t="s">
        <v>66</v>
      </c>
    </row>
    <row r="7" spans="1:16" x14ac:dyDescent="0.25">
      <c r="A7" s="63">
        <v>2</v>
      </c>
      <c r="B7" s="68">
        <v>157382.65000000002</v>
      </c>
      <c r="C7" s="164">
        <v>37910085</v>
      </c>
      <c r="D7" s="64">
        <v>45294</v>
      </c>
      <c r="E7" s="65">
        <v>45251</v>
      </c>
      <c r="F7" s="64">
        <v>45280</v>
      </c>
      <c r="G7" s="32">
        <v>29</v>
      </c>
      <c r="H7" s="66" t="s">
        <v>36</v>
      </c>
      <c r="J7" s="63">
        <v>2</v>
      </c>
      <c r="K7" s="68">
        <v>153104.72</v>
      </c>
      <c r="L7" s="164">
        <v>36608433</v>
      </c>
      <c r="M7" s="64">
        <v>44930</v>
      </c>
      <c r="N7" s="64">
        <v>44883</v>
      </c>
      <c r="O7" s="64">
        <v>44915</v>
      </c>
      <c r="P7" s="106">
        <v>32</v>
      </c>
    </row>
    <row r="8" spans="1:16" x14ac:dyDescent="0.25">
      <c r="A8" s="63">
        <v>4</v>
      </c>
      <c r="B8" s="68">
        <v>18972.63</v>
      </c>
      <c r="C8" s="164">
        <v>2445288</v>
      </c>
      <c r="D8" s="64">
        <v>45296</v>
      </c>
      <c r="E8" s="65">
        <v>45257</v>
      </c>
      <c r="F8" s="64">
        <v>45287</v>
      </c>
      <c r="G8" s="32">
        <v>30</v>
      </c>
      <c r="H8" s="66" t="s">
        <v>37</v>
      </c>
      <c r="J8" s="63">
        <v>4</v>
      </c>
      <c r="K8" s="68">
        <v>19244.239999999998</v>
      </c>
      <c r="L8" s="164">
        <v>2579862</v>
      </c>
      <c r="M8" s="64">
        <v>44932</v>
      </c>
      <c r="N8" s="64">
        <v>44887</v>
      </c>
      <c r="O8" s="64">
        <v>44916</v>
      </c>
      <c r="P8" s="67">
        <v>29</v>
      </c>
    </row>
    <row r="9" spans="1:16" x14ac:dyDescent="0.25">
      <c r="A9" s="63">
        <v>6</v>
      </c>
      <c r="B9" s="68">
        <v>226.35</v>
      </c>
      <c r="C9" s="164">
        <v>43649</v>
      </c>
      <c r="D9" s="64">
        <v>45299</v>
      </c>
      <c r="E9" s="65">
        <v>45258</v>
      </c>
      <c r="F9" s="64">
        <v>45289</v>
      </c>
      <c r="G9" s="32">
        <v>31</v>
      </c>
      <c r="H9" s="66" t="s">
        <v>38</v>
      </c>
      <c r="J9" s="63">
        <v>6</v>
      </c>
      <c r="K9" s="68">
        <v>182.97</v>
      </c>
      <c r="L9" s="164">
        <v>22638</v>
      </c>
      <c r="M9" s="64">
        <v>44935</v>
      </c>
      <c r="N9" s="64">
        <v>44887</v>
      </c>
      <c r="O9" s="64">
        <v>44919</v>
      </c>
      <c r="P9" s="67">
        <v>32</v>
      </c>
    </row>
    <row r="10" spans="1:16" x14ac:dyDescent="0.25">
      <c r="A10" s="63">
        <v>8</v>
      </c>
      <c r="B10" s="68">
        <v>15556.2</v>
      </c>
      <c r="C10" s="164">
        <v>2814097</v>
      </c>
      <c r="D10" s="64">
        <v>45301</v>
      </c>
      <c r="E10" s="65">
        <v>45264</v>
      </c>
      <c r="F10" s="64">
        <v>45295</v>
      </c>
      <c r="G10" s="32">
        <v>31</v>
      </c>
      <c r="H10" s="66" t="s">
        <v>39</v>
      </c>
      <c r="J10" s="63">
        <v>8</v>
      </c>
      <c r="K10" s="68">
        <v>13005.380000000001</v>
      </c>
      <c r="L10" s="164">
        <v>2454312</v>
      </c>
      <c r="M10" s="64">
        <v>44937</v>
      </c>
      <c r="N10" s="64">
        <v>44895</v>
      </c>
      <c r="O10" s="64">
        <v>44924</v>
      </c>
      <c r="P10" s="67">
        <v>29</v>
      </c>
    </row>
    <row r="11" spans="1:16" x14ac:dyDescent="0.25">
      <c r="A11" s="63">
        <v>10</v>
      </c>
      <c r="B11" s="68">
        <v>27311.58</v>
      </c>
      <c r="C11" s="164">
        <v>4676910</v>
      </c>
      <c r="D11" s="64">
        <v>45308</v>
      </c>
      <c r="E11" s="65">
        <v>45267</v>
      </c>
      <c r="F11" s="64">
        <v>45299</v>
      </c>
      <c r="G11" s="32">
        <v>32</v>
      </c>
      <c r="H11" s="66" t="s">
        <v>40</v>
      </c>
      <c r="J11" s="63">
        <v>10</v>
      </c>
      <c r="K11" s="68">
        <v>26942.03</v>
      </c>
      <c r="L11" s="164">
        <v>4988970</v>
      </c>
      <c r="M11" s="64">
        <v>44944</v>
      </c>
      <c r="N11" s="64">
        <v>44900</v>
      </c>
      <c r="O11" s="64">
        <v>44931</v>
      </c>
      <c r="P11" s="67">
        <v>31</v>
      </c>
    </row>
    <row r="12" spans="1:16" x14ac:dyDescent="0.25">
      <c r="A12" s="63">
        <v>12</v>
      </c>
      <c r="B12" s="68">
        <v>222517.07</v>
      </c>
      <c r="C12" s="164">
        <v>51653999</v>
      </c>
      <c r="D12" s="64">
        <v>45313</v>
      </c>
      <c r="E12" s="65">
        <v>45273</v>
      </c>
      <c r="F12" s="64">
        <v>45303</v>
      </c>
      <c r="G12" s="32">
        <v>30</v>
      </c>
      <c r="H12" s="66" t="s">
        <v>41</v>
      </c>
      <c r="J12" s="63">
        <v>12</v>
      </c>
      <c r="K12" s="68">
        <v>248566.69000000003</v>
      </c>
      <c r="L12" s="164">
        <v>59504619</v>
      </c>
      <c r="M12" s="64">
        <v>44949</v>
      </c>
      <c r="N12" s="64">
        <v>44903</v>
      </c>
      <c r="O12" s="64">
        <v>44935</v>
      </c>
      <c r="P12" s="67">
        <v>32</v>
      </c>
    </row>
    <row r="13" spans="1:16" x14ac:dyDescent="0.25">
      <c r="A13" s="63">
        <v>14</v>
      </c>
      <c r="B13" s="68">
        <v>18895.64</v>
      </c>
      <c r="C13" s="164">
        <v>2976037</v>
      </c>
      <c r="D13" s="64">
        <v>45315</v>
      </c>
      <c r="E13" s="65">
        <v>45275</v>
      </c>
      <c r="F13" s="64">
        <v>45306</v>
      </c>
      <c r="G13" s="32">
        <v>31</v>
      </c>
      <c r="H13" s="66" t="s">
        <v>42</v>
      </c>
      <c r="J13" s="63">
        <v>14</v>
      </c>
      <c r="K13" s="68">
        <v>18160.010000000002</v>
      </c>
      <c r="L13" s="164">
        <v>2946098</v>
      </c>
      <c r="M13" s="64">
        <v>44951</v>
      </c>
      <c r="N13" s="64">
        <v>44907</v>
      </c>
      <c r="O13" s="64">
        <v>44939</v>
      </c>
      <c r="P13" s="67">
        <v>32</v>
      </c>
    </row>
    <row r="14" spans="1:16" x14ac:dyDescent="0.25">
      <c r="A14" s="63">
        <v>16</v>
      </c>
      <c r="B14" s="68">
        <v>482.59000000000003</v>
      </c>
      <c r="C14" s="164">
        <v>77434</v>
      </c>
      <c r="D14" s="64">
        <v>45320</v>
      </c>
      <c r="E14" s="65">
        <v>45278</v>
      </c>
      <c r="F14" s="64">
        <v>45308</v>
      </c>
      <c r="G14" s="32">
        <v>30</v>
      </c>
      <c r="H14" s="66" t="s">
        <v>43</v>
      </c>
      <c r="J14" s="63">
        <v>16</v>
      </c>
      <c r="K14" s="68">
        <v>851.31999999999994</v>
      </c>
      <c r="L14" s="164">
        <v>176924</v>
      </c>
      <c r="M14" s="64">
        <v>44956</v>
      </c>
      <c r="N14" s="64">
        <v>44908</v>
      </c>
      <c r="O14" s="64">
        <v>44943</v>
      </c>
      <c r="P14" s="67">
        <v>35</v>
      </c>
    </row>
    <row r="15" spans="1:16" ht="15.75" thickBot="1" x14ac:dyDescent="0.3">
      <c r="A15" s="69" t="s">
        <v>17</v>
      </c>
      <c r="B15" s="70">
        <f>SUM(B7:B14)</f>
        <v>461344.71000000008</v>
      </c>
      <c r="C15" s="33">
        <f>SUM(C7:C14)</f>
        <v>102597499</v>
      </c>
      <c r="H15" s="66"/>
      <c r="J15" s="69" t="s">
        <v>17</v>
      </c>
      <c r="K15" s="70">
        <f>SUM(K7:K14)</f>
        <v>480057.36000000004</v>
      </c>
      <c r="L15" s="33">
        <f>SUM(L7:L14)</f>
        <v>109281856</v>
      </c>
      <c r="P15" s="67"/>
    </row>
    <row r="16" spans="1:16" ht="15.75" thickTop="1" x14ac:dyDescent="0.25">
      <c r="A16" s="71" t="s">
        <v>44</v>
      </c>
      <c r="B16" s="165">
        <f>+B15-K15</f>
        <v>-18712.649999999965</v>
      </c>
      <c r="C16" s="73">
        <f>+C15-L15</f>
        <v>-6684357</v>
      </c>
      <c r="D16" s="74"/>
      <c r="E16" s="74"/>
      <c r="F16" s="74"/>
      <c r="G16" s="35"/>
      <c r="H16" s="66"/>
      <c r="J16" s="75"/>
      <c r="K16" s="107"/>
      <c r="L16" s="77"/>
      <c r="P16" s="67"/>
    </row>
    <row r="17" spans="1:16" x14ac:dyDescent="0.25">
      <c r="A17" s="71" t="s">
        <v>45</v>
      </c>
      <c r="B17" s="78">
        <f>+B16/K15</f>
        <v>-3.8980029386488237E-2</v>
      </c>
      <c r="C17" s="79">
        <f>+C16/L15</f>
        <v>-6.1166210427465652E-2</v>
      </c>
      <c r="D17" s="80"/>
      <c r="E17" s="81"/>
      <c r="F17" s="81"/>
      <c r="G17" s="35"/>
      <c r="H17" s="66"/>
      <c r="J17" s="75"/>
      <c r="K17" s="108"/>
      <c r="L17" s="77"/>
      <c r="P17" s="67"/>
    </row>
    <row r="18" spans="1:16" x14ac:dyDescent="0.25">
      <c r="A18" s="71" t="s">
        <v>46</v>
      </c>
      <c r="B18" s="166">
        <f>+B15/C15*1000</f>
        <v>4.4966467457457231</v>
      </c>
      <c r="C18" s="83"/>
      <c r="D18" s="84"/>
      <c r="E18" s="46"/>
      <c r="F18" s="46"/>
      <c r="G18" s="37"/>
      <c r="H18" s="66"/>
      <c r="J18" s="85" t="s">
        <v>46</v>
      </c>
      <c r="K18" s="166">
        <f>+K15/L15*1000</f>
        <v>4.3928368127276327</v>
      </c>
      <c r="P18" s="67"/>
    </row>
    <row r="19" spans="1:16" x14ac:dyDescent="0.25">
      <c r="A19" s="71"/>
      <c r="B19" s="109"/>
      <c r="C19" s="36"/>
      <c r="D19" s="46"/>
      <c r="E19" s="46"/>
      <c r="F19" s="46"/>
      <c r="G19" s="37"/>
      <c r="H19" s="66"/>
      <c r="J19" s="75"/>
      <c r="K19" s="109"/>
      <c r="P19" s="67"/>
    </row>
    <row r="20" spans="1:16" x14ac:dyDescent="0.25">
      <c r="A20" s="71" t="s">
        <v>47</v>
      </c>
      <c r="B20" s="107">
        <f>+B15-478322</f>
        <v>-16977.289999999921</v>
      </c>
      <c r="C20" s="73">
        <f>+C15-109679675</f>
        <v>-7082176</v>
      </c>
      <c r="H20" s="66"/>
      <c r="J20" s="75"/>
      <c r="K20" s="68"/>
      <c r="P20" s="67"/>
    </row>
    <row r="21" spans="1:16" x14ac:dyDescent="0.25">
      <c r="A21" s="87" t="s">
        <v>48</v>
      </c>
      <c r="B21" s="88">
        <f>+B20/478322</f>
        <v>-3.5493433293889723E-2</v>
      </c>
      <c r="C21" s="89">
        <f>+C20/109679675</f>
        <v>-6.4571453188569355E-2</v>
      </c>
      <c r="D21" s="90"/>
      <c r="E21" s="90"/>
      <c r="F21" s="90"/>
      <c r="G21" s="91"/>
      <c r="H21" s="92"/>
      <c r="J21" s="93"/>
      <c r="K21" s="110"/>
      <c r="L21" s="95"/>
      <c r="M21" s="96"/>
      <c r="N21" s="96"/>
      <c r="O21" s="96"/>
      <c r="P21" s="97"/>
    </row>
    <row r="22" spans="1:16" x14ac:dyDescent="0.25">
      <c r="A22" s="45"/>
      <c r="B22" s="102"/>
      <c r="C22" s="45"/>
      <c r="D22" s="46"/>
      <c r="E22" s="46"/>
      <c r="F22" s="46"/>
      <c r="G22" s="45"/>
      <c r="H22" s="45"/>
      <c r="I22" s="45"/>
      <c r="J22" s="45"/>
      <c r="K22" s="102"/>
      <c r="L22" s="45"/>
      <c r="M22" s="46"/>
      <c r="N22" s="46"/>
      <c r="O22" s="46"/>
    </row>
    <row r="23" spans="1:16" x14ac:dyDescent="0.25">
      <c r="A23" s="179" t="s">
        <v>100</v>
      </c>
      <c r="B23" s="179"/>
      <c r="C23" s="179"/>
      <c r="D23" s="179"/>
      <c r="E23" s="179"/>
      <c r="F23" s="179"/>
      <c r="G23" s="179"/>
      <c r="H23" s="179"/>
      <c r="J23" s="179" t="s">
        <v>85</v>
      </c>
      <c r="K23" s="179"/>
      <c r="L23" s="179"/>
      <c r="M23" s="179"/>
      <c r="N23" s="179"/>
      <c r="O23" s="179"/>
    </row>
    <row r="24" spans="1:16" x14ac:dyDescent="0.25">
      <c r="A24" s="47"/>
      <c r="B24" s="103"/>
      <c r="C24" s="49"/>
      <c r="D24" s="50"/>
      <c r="E24" s="180" t="s">
        <v>62</v>
      </c>
      <c r="F24" s="180"/>
      <c r="G24" s="49"/>
      <c r="H24" s="51"/>
      <c r="J24" s="52"/>
      <c r="K24" s="104"/>
      <c r="L24" s="53"/>
      <c r="M24" s="50"/>
      <c r="N24" s="180" t="s">
        <v>62</v>
      </c>
      <c r="O24" s="180"/>
      <c r="P24" s="51"/>
    </row>
    <row r="25" spans="1:16" x14ac:dyDescent="0.25">
      <c r="A25" s="54" t="s">
        <v>63</v>
      </c>
      <c r="B25" s="105" t="s">
        <v>64</v>
      </c>
      <c r="C25" s="56" t="s">
        <v>49</v>
      </c>
      <c r="D25" s="57" t="s">
        <v>65</v>
      </c>
      <c r="E25" s="58" t="s">
        <v>18</v>
      </c>
      <c r="F25" s="58" t="s">
        <v>19</v>
      </c>
      <c r="G25" s="59" t="s">
        <v>66</v>
      </c>
      <c r="H25" s="60" t="s">
        <v>67</v>
      </c>
      <c r="I25" s="61"/>
      <c r="J25" s="54" t="s">
        <v>63</v>
      </c>
      <c r="K25" s="105" t="s">
        <v>64</v>
      </c>
      <c r="L25" s="56" t="s">
        <v>49</v>
      </c>
      <c r="M25" s="57" t="s">
        <v>65</v>
      </c>
      <c r="N25" s="58" t="s">
        <v>18</v>
      </c>
      <c r="O25" s="58" t="s">
        <v>19</v>
      </c>
      <c r="P25" s="62" t="s">
        <v>66</v>
      </c>
    </row>
    <row r="26" spans="1:16" x14ac:dyDescent="0.25">
      <c r="A26" s="63">
        <v>2</v>
      </c>
      <c r="B26" s="68">
        <v>163981.88</v>
      </c>
      <c r="C26" s="164">
        <v>39398957</v>
      </c>
      <c r="D26" s="64">
        <v>45324</v>
      </c>
      <c r="E26" s="64">
        <v>45280</v>
      </c>
      <c r="F26" s="64">
        <v>45313</v>
      </c>
      <c r="G26" s="32">
        <v>33</v>
      </c>
      <c r="H26" s="66" t="s">
        <v>36</v>
      </c>
      <c r="J26" s="63">
        <v>2</v>
      </c>
      <c r="K26" s="68">
        <v>148121.16999999998</v>
      </c>
      <c r="L26" s="164">
        <v>35050422</v>
      </c>
      <c r="M26" s="64">
        <v>44958</v>
      </c>
      <c r="N26" s="64">
        <v>44915</v>
      </c>
      <c r="O26" s="64">
        <v>44946</v>
      </c>
      <c r="P26" s="67">
        <v>31</v>
      </c>
    </row>
    <row r="27" spans="1:16" x14ac:dyDescent="0.25">
      <c r="A27" s="63">
        <v>4</v>
      </c>
      <c r="B27" s="68">
        <v>20362.3</v>
      </c>
      <c r="C27" s="164">
        <v>2749139</v>
      </c>
      <c r="D27" s="64">
        <v>45327</v>
      </c>
      <c r="E27" s="64">
        <v>45287</v>
      </c>
      <c r="F27" s="64">
        <v>45316</v>
      </c>
      <c r="G27" s="32">
        <v>29</v>
      </c>
      <c r="H27" s="66" t="s">
        <v>37</v>
      </c>
      <c r="J27" s="63">
        <v>4</v>
      </c>
      <c r="K27" s="68">
        <v>21728</v>
      </c>
      <c r="L27" s="164">
        <v>3127115</v>
      </c>
      <c r="M27" s="64">
        <v>44960</v>
      </c>
      <c r="N27" s="64">
        <v>44916</v>
      </c>
      <c r="O27" s="64">
        <v>44949</v>
      </c>
      <c r="P27" s="67">
        <v>33</v>
      </c>
    </row>
    <row r="28" spans="1:16" x14ac:dyDescent="0.25">
      <c r="A28" s="63">
        <v>6</v>
      </c>
      <c r="B28" s="68">
        <v>181.51</v>
      </c>
      <c r="C28" s="164">
        <v>33108</v>
      </c>
      <c r="D28" s="64">
        <v>45329</v>
      </c>
      <c r="E28" s="64">
        <v>45289</v>
      </c>
      <c r="F28" s="64">
        <v>45320</v>
      </c>
      <c r="G28" s="32">
        <v>31</v>
      </c>
      <c r="H28" s="66" t="s">
        <v>38</v>
      </c>
      <c r="J28" s="63">
        <v>6</v>
      </c>
      <c r="K28" s="68">
        <v>177.56</v>
      </c>
      <c r="L28" s="164">
        <v>21673</v>
      </c>
      <c r="M28" s="64">
        <v>44963</v>
      </c>
      <c r="N28" s="64">
        <v>44919</v>
      </c>
      <c r="O28" s="64">
        <v>44951</v>
      </c>
      <c r="P28" s="67">
        <v>32</v>
      </c>
    </row>
    <row r="29" spans="1:16" x14ac:dyDescent="0.25">
      <c r="A29" s="63"/>
      <c r="B29" s="68"/>
      <c r="C29" s="164"/>
      <c r="D29" s="64"/>
      <c r="E29" s="64"/>
      <c r="F29" s="64"/>
      <c r="H29" s="66"/>
      <c r="J29" s="63">
        <v>8</v>
      </c>
      <c r="K29" s="68">
        <v>12631.98</v>
      </c>
      <c r="L29" s="164">
        <v>2346086</v>
      </c>
      <c r="M29" s="64">
        <v>44965</v>
      </c>
      <c r="N29" s="64">
        <v>44924</v>
      </c>
      <c r="O29" s="64">
        <v>44956</v>
      </c>
      <c r="P29" s="67">
        <v>32</v>
      </c>
    </row>
    <row r="30" spans="1:16" ht="15.75" thickBot="1" x14ac:dyDescent="0.3">
      <c r="A30" s="69" t="s">
        <v>17</v>
      </c>
      <c r="B30" s="70">
        <f>SUM(B26:B29)</f>
        <v>184525.69</v>
      </c>
      <c r="C30" s="33">
        <f>SUM(C26:C29)</f>
        <v>42181204</v>
      </c>
      <c r="H30" s="66"/>
      <c r="J30" s="69" t="s">
        <v>17</v>
      </c>
      <c r="K30" s="70">
        <f>SUM(K26:K29)</f>
        <v>182658.71</v>
      </c>
      <c r="L30" s="33">
        <f>SUM(L26:L29)</f>
        <v>40545296</v>
      </c>
      <c r="P30" s="67"/>
    </row>
    <row r="31" spans="1:16" ht="15.75" thickTop="1" x14ac:dyDescent="0.25">
      <c r="A31" s="71" t="s">
        <v>44</v>
      </c>
      <c r="B31" s="165">
        <f>+B30-K30</f>
        <v>1866.9800000000105</v>
      </c>
      <c r="C31" s="73">
        <f>+C30-L30</f>
        <v>1635908</v>
      </c>
      <c r="D31" s="74"/>
      <c r="E31" s="74"/>
      <c r="F31" s="74"/>
      <c r="G31" s="35"/>
      <c r="H31" s="66"/>
      <c r="J31" s="75"/>
      <c r="K31" s="107"/>
      <c r="L31" s="77"/>
      <c r="P31" s="67"/>
    </row>
    <row r="32" spans="1:16" x14ac:dyDescent="0.25">
      <c r="A32" s="71" t="s">
        <v>45</v>
      </c>
      <c r="B32" s="78">
        <f>+B31/K30</f>
        <v>1.022113864704295E-2</v>
      </c>
      <c r="C32" s="79">
        <f>+C31/L30</f>
        <v>4.0347664498490775E-2</v>
      </c>
      <c r="D32" s="80"/>
      <c r="E32" s="81"/>
      <c r="F32" s="81"/>
      <c r="G32" s="35"/>
      <c r="H32" s="66"/>
      <c r="J32" s="75"/>
      <c r="K32" s="108"/>
      <c r="L32" s="77"/>
      <c r="P32" s="67"/>
    </row>
    <row r="33" spans="1:16" x14ac:dyDescent="0.25">
      <c r="A33" s="71" t="s">
        <v>46</v>
      </c>
      <c r="B33" s="166">
        <f>+B30/C30*1000</f>
        <v>4.3745951395792302</v>
      </c>
      <c r="C33" s="83"/>
      <c r="D33" s="84"/>
      <c r="E33" s="46"/>
      <c r="F33" s="46"/>
      <c r="G33" s="37"/>
      <c r="H33" s="66"/>
      <c r="J33" s="85" t="s">
        <v>46</v>
      </c>
      <c r="K33" s="166">
        <f>+K30/L30*1000</f>
        <v>4.5050530646021185</v>
      </c>
      <c r="P33" s="67"/>
    </row>
    <row r="34" spans="1:16" x14ac:dyDescent="0.25">
      <c r="A34" s="71"/>
      <c r="B34" s="109"/>
      <c r="C34" s="36"/>
      <c r="D34" s="46"/>
      <c r="E34" s="46"/>
      <c r="F34" s="46"/>
      <c r="G34" s="37"/>
      <c r="H34" s="66"/>
      <c r="J34" s="75"/>
      <c r="K34" s="109"/>
      <c r="P34" s="67"/>
    </row>
    <row r="35" spans="1:16" x14ac:dyDescent="0.25">
      <c r="A35" s="71" t="s">
        <v>47</v>
      </c>
      <c r="B35" s="107"/>
      <c r="C35" s="73"/>
      <c r="D35" s="46"/>
      <c r="E35" s="46"/>
      <c r="F35" s="46"/>
      <c r="G35" s="37"/>
      <c r="H35" s="66"/>
      <c r="J35" s="75"/>
      <c r="K35" s="68"/>
      <c r="P35" s="67"/>
    </row>
    <row r="36" spans="1:16" x14ac:dyDescent="0.25">
      <c r="A36" s="87" t="s">
        <v>48</v>
      </c>
      <c r="B36" s="88"/>
      <c r="C36" s="89"/>
      <c r="D36" s="57"/>
      <c r="E36" s="57"/>
      <c r="F36" s="57"/>
      <c r="G36" s="98"/>
      <c r="H36" s="92"/>
      <c r="J36" s="93"/>
      <c r="K36" s="110"/>
      <c r="L36" s="95"/>
      <c r="M36" s="96"/>
      <c r="N36" s="96"/>
      <c r="O36" s="96"/>
      <c r="P36" s="97"/>
    </row>
    <row r="38" spans="1:16" x14ac:dyDescent="0.25">
      <c r="B38" s="43">
        <f>+B15+B30</f>
        <v>645870.40000000014</v>
      </c>
      <c r="C38" s="168">
        <f>+C15+C30</f>
        <v>144778703</v>
      </c>
    </row>
    <row r="43" spans="1:16" x14ac:dyDescent="0.25">
      <c r="B43" s="113"/>
      <c r="C43" s="41"/>
      <c r="D43" s="64"/>
      <c r="E43" s="64"/>
      <c r="F43" s="64"/>
    </row>
    <row r="44" spans="1:16" x14ac:dyDescent="0.25">
      <c r="B44" s="113"/>
      <c r="C44" s="41"/>
      <c r="D44" s="64"/>
      <c r="E44" s="64"/>
      <c r="F44" s="64"/>
    </row>
    <row r="45" spans="1:16" x14ac:dyDescent="0.25">
      <c r="B45" s="113"/>
      <c r="C45" s="41"/>
      <c r="D45" s="64"/>
      <c r="E45" s="64"/>
      <c r="F45" s="64"/>
    </row>
    <row r="46" spans="1:16" x14ac:dyDescent="0.25">
      <c r="B46" s="68"/>
      <c r="C46" s="41"/>
      <c r="D46" s="64"/>
      <c r="E46" s="64"/>
      <c r="F46" s="64"/>
    </row>
    <row r="47" spans="1:16" x14ac:dyDescent="0.25">
      <c r="B47" s="68"/>
      <c r="C47" s="41"/>
    </row>
    <row r="48" spans="1:16" x14ac:dyDescent="0.25">
      <c r="B48" s="114"/>
    </row>
  </sheetData>
  <mergeCells count="10">
    <mergeCell ref="E24:F24"/>
    <mergeCell ref="N24:O24"/>
    <mergeCell ref="A4:H4"/>
    <mergeCell ref="J4:P4"/>
    <mergeCell ref="A23:H23"/>
    <mergeCell ref="A1:O1"/>
    <mergeCell ref="A2:O2"/>
    <mergeCell ref="E5:F5"/>
    <mergeCell ref="N5:O5"/>
    <mergeCell ref="J23:O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workbookViewId="0">
      <selection activeCell="H5" sqref="H5"/>
    </sheetView>
  </sheetViews>
  <sheetFormatPr defaultRowHeight="15" x14ac:dyDescent="0.25"/>
  <cols>
    <col min="1" max="1" width="8.7109375" customWidth="1"/>
    <col min="2" max="5" width="13.85546875" customWidth="1"/>
    <col min="6" max="6" width="14.28515625" customWidth="1"/>
    <col min="7" max="8" width="13.85546875" customWidth="1"/>
    <col min="9" max="10" width="12" customWidth="1"/>
    <col min="11" max="11" width="12.5703125" customWidth="1"/>
    <col min="12" max="12" width="11.7109375" customWidth="1"/>
    <col min="13" max="13" width="13.140625" customWidth="1"/>
    <col min="14" max="14" width="16.28515625" customWidth="1"/>
    <col min="15" max="20" width="14" customWidth="1"/>
    <col min="251" max="251" width="8.7109375" customWidth="1"/>
    <col min="252" max="258" width="13.85546875" customWidth="1"/>
    <col min="259" max="261" width="12" customWidth="1"/>
    <col min="262" max="263" width="9.85546875" customWidth="1"/>
    <col min="265" max="270" width="14" customWidth="1"/>
    <col min="271" max="271" width="15.28515625" customWidth="1"/>
    <col min="272" max="272" width="14.7109375" customWidth="1"/>
    <col min="507" max="507" width="8.7109375" customWidth="1"/>
    <col min="508" max="514" width="13.85546875" customWidth="1"/>
    <col min="515" max="517" width="12" customWidth="1"/>
    <col min="518" max="519" width="9.85546875" customWidth="1"/>
    <col min="521" max="526" width="14" customWidth="1"/>
    <col min="527" max="527" width="15.28515625" customWidth="1"/>
    <col min="528" max="528" width="14.7109375" customWidth="1"/>
    <col min="763" max="763" width="8.7109375" customWidth="1"/>
    <col min="764" max="770" width="13.85546875" customWidth="1"/>
    <col min="771" max="773" width="12" customWidth="1"/>
    <col min="774" max="775" width="9.85546875" customWidth="1"/>
    <col min="777" max="782" width="14" customWidth="1"/>
    <col min="783" max="783" width="15.28515625" customWidth="1"/>
    <col min="784" max="784" width="14.7109375" customWidth="1"/>
    <col min="1019" max="1019" width="8.7109375" customWidth="1"/>
    <col min="1020" max="1026" width="13.85546875" customWidth="1"/>
    <col min="1027" max="1029" width="12" customWidth="1"/>
    <col min="1030" max="1031" width="9.85546875" customWidth="1"/>
    <col min="1033" max="1038" width="14" customWidth="1"/>
    <col min="1039" max="1039" width="15.28515625" customWidth="1"/>
    <col min="1040" max="1040" width="14.7109375" customWidth="1"/>
    <col min="1275" max="1275" width="8.7109375" customWidth="1"/>
    <col min="1276" max="1282" width="13.85546875" customWidth="1"/>
    <col min="1283" max="1285" width="12" customWidth="1"/>
    <col min="1286" max="1287" width="9.85546875" customWidth="1"/>
    <col min="1289" max="1294" width="14" customWidth="1"/>
    <col min="1295" max="1295" width="15.28515625" customWidth="1"/>
    <col min="1296" max="1296" width="14.7109375" customWidth="1"/>
    <col min="1531" max="1531" width="8.7109375" customWidth="1"/>
    <col min="1532" max="1538" width="13.85546875" customWidth="1"/>
    <col min="1539" max="1541" width="12" customWidth="1"/>
    <col min="1542" max="1543" width="9.85546875" customWidth="1"/>
    <col min="1545" max="1550" width="14" customWidth="1"/>
    <col min="1551" max="1551" width="15.28515625" customWidth="1"/>
    <col min="1552" max="1552" width="14.7109375" customWidth="1"/>
    <col min="1787" max="1787" width="8.7109375" customWidth="1"/>
    <col min="1788" max="1794" width="13.85546875" customWidth="1"/>
    <col min="1795" max="1797" width="12" customWidth="1"/>
    <col min="1798" max="1799" width="9.85546875" customWidth="1"/>
    <col min="1801" max="1806" width="14" customWidth="1"/>
    <col min="1807" max="1807" width="15.28515625" customWidth="1"/>
    <col min="1808" max="1808" width="14.7109375" customWidth="1"/>
    <col min="2043" max="2043" width="8.7109375" customWidth="1"/>
    <col min="2044" max="2050" width="13.85546875" customWidth="1"/>
    <col min="2051" max="2053" width="12" customWidth="1"/>
    <col min="2054" max="2055" width="9.85546875" customWidth="1"/>
    <col min="2057" max="2062" width="14" customWidth="1"/>
    <col min="2063" max="2063" width="15.28515625" customWidth="1"/>
    <col min="2064" max="2064" width="14.7109375" customWidth="1"/>
    <col min="2299" max="2299" width="8.7109375" customWidth="1"/>
    <col min="2300" max="2306" width="13.85546875" customWidth="1"/>
    <col min="2307" max="2309" width="12" customWidth="1"/>
    <col min="2310" max="2311" width="9.85546875" customWidth="1"/>
    <col min="2313" max="2318" width="14" customWidth="1"/>
    <col min="2319" max="2319" width="15.28515625" customWidth="1"/>
    <col min="2320" max="2320" width="14.7109375" customWidth="1"/>
    <col min="2555" max="2555" width="8.7109375" customWidth="1"/>
    <col min="2556" max="2562" width="13.85546875" customWidth="1"/>
    <col min="2563" max="2565" width="12" customWidth="1"/>
    <col min="2566" max="2567" width="9.85546875" customWidth="1"/>
    <col min="2569" max="2574" width="14" customWidth="1"/>
    <col min="2575" max="2575" width="15.28515625" customWidth="1"/>
    <col min="2576" max="2576" width="14.7109375" customWidth="1"/>
    <col min="2811" max="2811" width="8.7109375" customWidth="1"/>
    <col min="2812" max="2818" width="13.85546875" customWidth="1"/>
    <col min="2819" max="2821" width="12" customWidth="1"/>
    <col min="2822" max="2823" width="9.85546875" customWidth="1"/>
    <col min="2825" max="2830" width="14" customWidth="1"/>
    <col min="2831" max="2831" width="15.28515625" customWidth="1"/>
    <col min="2832" max="2832" width="14.7109375" customWidth="1"/>
    <col min="3067" max="3067" width="8.7109375" customWidth="1"/>
    <col min="3068" max="3074" width="13.85546875" customWidth="1"/>
    <col min="3075" max="3077" width="12" customWidth="1"/>
    <col min="3078" max="3079" width="9.85546875" customWidth="1"/>
    <col min="3081" max="3086" width="14" customWidth="1"/>
    <col min="3087" max="3087" width="15.28515625" customWidth="1"/>
    <col min="3088" max="3088" width="14.7109375" customWidth="1"/>
    <col min="3323" max="3323" width="8.7109375" customWidth="1"/>
    <col min="3324" max="3330" width="13.85546875" customWidth="1"/>
    <col min="3331" max="3333" width="12" customWidth="1"/>
    <col min="3334" max="3335" width="9.85546875" customWidth="1"/>
    <col min="3337" max="3342" width="14" customWidth="1"/>
    <col min="3343" max="3343" width="15.28515625" customWidth="1"/>
    <col min="3344" max="3344" width="14.7109375" customWidth="1"/>
    <col min="3579" max="3579" width="8.7109375" customWidth="1"/>
    <col min="3580" max="3586" width="13.85546875" customWidth="1"/>
    <col min="3587" max="3589" width="12" customWidth="1"/>
    <col min="3590" max="3591" width="9.85546875" customWidth="1"/>
    <col min="3593" max="3598" width="14" customWidth="1"/>
    <col min="3599" max="3599" width="15.28515625" customWidth="1"/>
    <col min="3600" max="3600" width="14.7109375" customWidth="1"/>
    <col min="3835" max="3835" width="8.7109375" customWidth="1"/>
    <col min="3836" max="3842" width="13.85546875" customWidth="1"/>
    <col min="3843" max="3845" width="12" customWidth="1"/>
    <col min="3846" max="3847" width="9.85546875" customWidth="1"/>
    <col min="3849" max="3854" width="14" customWidth="1"/>
    <col min="3855" max="3855" width="15.28515625" customWidth="1"/>
    <col min="3856" max="3856" width="14.7109375" customWidth="1"/>
    <col min="4091" max="4091" width="8.7109375" customWidth="1"/>
    <col min="4092" max="4098" width="13.85546875" customWidth="1"/>
    <col min="4099" max="4101" width="12" customWidth="1"/>
    <col min="4102" max="4103" width="9.85546875" customWidth="1"/>
    <col min="4105" max="4110" width="14" customWidth="1"/>
    <col min="4111" max="4111" width="15.28515625" customWidth="1"/>
    <col min="4112" max="4112" width="14.7109375" customWidth="1"/>
    <col min="4347" max="4347" width="8.7109375" customWidth="1"/>
    <col min="4348" max="4354" width="13.85546875" customWidth="1"/>
    <col min="4355" max="4357" width="12" customWidth="1"/>
    <col min="4358" max="4359" width="9.85546875" customWidth="1"/>
    <col min="4361" max="4366" width="14" customWidth="1"/>
    <col min="4367" max="4367" width="15.28515625" customWidth="1"/>
    <col min="4368" max="4368" width="14.7109375" customWidth="1"/>
    <col min="4603" max="4603" width="8.7109375" customWidth="1"/>
    <col min="4604" max="4610" width="13.85546875" customWidth="1"/>
    <col min="4611" max="4613" width="12" customWidth="1"/>
    <col min="4614" max="4615" width="9.85546875" customWidth="1"/>
    <col min="4617" max="4622" width="14" customWidth="1"/>
    <col min="4623" max="4623" width="15.28515625" customWidth="1"/>
    <col min="4624" max="4624" width="14.7109375" customWidth="1"/>
    <col min="4859" max="4859" width="8.7109375" customWidth="1"/>
    <col min="4860" max="4866" width="13.85546875" customWidth="1"/>
    <col min="4867" max="4869" width="12" customWidth="1"/>
    <col min="4870" max="4871" width="9.85546875" customWidth="1"/>
    <col min="4873" max="4878" width="14" customWidth="1"/>
    <col min="4879" max="4879" width="15.28515625" customWidth="1"/>
    <col min="4880" max="4880" width="14.7109375" customWidth="1"/>
    <col min="5115" max="5115" width="8.7109375" customWidth="1"/>
    <col min="5116" max="5122" width="13.85546875" customWidth="1"/>
    <col min="5123" max="5125" width="12" customWidth="1"/>
    <col min="5126" max="5127" width="9.85546875" customWidth="1"/>
    <col min="5129" max="5134" width="14" customWidth="1"/>
    <col min="5135" max="5135" width="15.28515625" customWidth="1"/>
    <col min="5136" max="5136" width="14.7109375" customWidth="1"/>
    <col min="5371" max="5371" width="8.7109375" customWidth="1"/>
    <col min="5372" max="5378" width="13.85546875" customWidth="1"/>
    <col min="5379" max="5381" width="12" customWidth="1"/>
    <col min="5382" max="5383" width="9.85546875" customWidth="1"/>
    <col min="5385" max="5390" width="14" customWidth="1"/>
    <col min="5391" max="5391" width="15.28515625" customWidth="1"/>
    <col min="5392" max="5392" width="14.7109375" customWidth="1"/>
    <col min="5627" max="5627" width="8.7109375" customWidth="1"/>
    <col min="5628" max="5634" width="13.85546875" customWidth="1"/>
    <col min="5635" max="5637" width="12" customWidth="1"/>
    <col min="5638" max="5639" width="9.85546875" customWidth="1"/>
    <col min="5641" max="5646" width="14" customWidth="1"/>
    <col min="5647" max="5647" width="15.28515625" customWidth="1"/>
    <col min="5648" max="5648" width="14.7109375" customWidth="1"/>
    <col min="5883" max="5883" width="8.7109375" customWidth="1"/>
    <col min="5884" max="5890" width="13.85546875" customWidth="1"/>
    <col min="5891" max="5893" width="12" customWidth="1"/>
    <col min="5894" max="5895" width="9.85546875" customWidth="1"/>
    <col min="5897" max="5902" width="14" customWidth="1"/>
    <col min="5903" max="5903" width="15.28515625" customWidth="1"/>
    <col min="5904" max="5904" width="14.7109375" customWidth="1"/>
    <col min="6139" max="6139" width="8.7109375" customWidth="1"/>
    <col min="6140" max="6146" width="13.85546875" customWidth="1"/>
    <col min="6147" max="6149" width="12" customWidth="1"/>
    <col min="6150" max="6151" width="9.85546875" customWidth="1"/>
    <col min="6153" max="6158" width="14" customWidth="1"/>
    <col min="6159" max="6159" width="15.28515625" customWidth="1"/>
    <col min="6160" max="6160" width="14.7109375" customWidth="1"/>
    <col min="6395" max="6395" width="8.7109375" customWidth="1"/>
    <col min="6396" max="6402" width="13.85546875" customWidth="1"/>
    <col min="6403" max="6405" width="12" customWidth="1"/>
    <col min="6406" max="6407" width="9.85546875" customWidth="1"/>
    <col min="6409" max="6414" width="14" customWidth="1"/>
    <col min="6415" max="6415" width="15.28515625" customWidth="1"/>
    <col min="6416" max="6416" width="14.7109375" customWidth="1"/>
    <col min="6651" max="6651" width="8.7109375" customWidth="1"/>
    <col min="6652" max="6658" width="13.85546875" customWidth="1"/>
    <col min="6659" max="6661" width="12" customWidth="1"/>
    <col min="6662" max="6663" width="9.85546875" customWidth="1"/>
    <col min="6665" max="6670" width="14" customWidth="1"/>
    <col min="6671" max="6671" width="15.28515625" customWidth="1"/>
    <col min="6672" max="6672" width="14.7109375" customWidth="1"/>
    <col min="6907" max="6907" width="8.7109375" customWidth="1"/>
    <col min="6908" max="6914" width="13.85546875" customWidth="1"/>
    <col min="6915" max="6917" width="12" customWidth="1"/>
    <col min="6918" max="6919" width="9.85546875" customWidth="1"/>
    <col min="6921" max="6926" width="14" customWidth="1"/>
    <col min="6927" max="6927" width="15.28515625" customWidth="1"/>
    <col min="6928" max="6928" width="14.7109375" customWidth="1"/>
    <col min="7163" max="7163" width="8.7109375" customWidth="1"/>
    <col min="7164" max="7170" width="13.85546875" customWidth="1"/>
    <col min="7171" max="7173" width="12" customWidth="1"/>
    <col min="7174" max="7175" width="9.85546875" customWidth="1"/>
    <col min="7177" max="7182" width="14" customWidth="1"/>
    <col min="7183" max="7183" width="15.28515625" customWidth="1"/>
    <col min="7184" max="7184" width="14.7109375" customWidth="1"/>
    <col min="7419" max="7419" width="8.7109375" customWidth="1"/>
    <col min="7420" max="7426" width="13.85546875" customWidth="1"/>
    <col min="7427" max="7429" width="12" customWidth="1"/>
    <col min="7430" max="7431" width="9.85546875" customWidth="1"/>
    <col min="7433" max="7438" width="14" customWidth="1"/>
    <col min="7439" max="7439" width="15.28515625" customWidth="1"/>
    <col min="7440" max="7440" width="14.7109375" customWidth="1"/>
    <col min="7675" max="7675" width="8.7109375" customWidth="1"/>
    <col min="7676" max="7682" width="13.85546875" customWidth="1"/>
    <col min="7683" max="7685" width="12" customWidth="1"/>
    <col min="7686" max="7687" width="9.85546875" customWidth="1"/>
    <col min="7689" max="7694" width="14" customWidth="1"/>
    <col min="7695" max="7695" width="15.28515625" customWidth="1"/>
    <col min="7696" max="7696" width="14.7109375" customWidth="1"/>
    <col min="7931" max="7931" width="8.7109375" customWidth="1"/>
    <col min="7932" max="7938" width="13.85546875" customWidth="1"/>
    <col min="7939" max="7941" width="12" customWidth="1"/>
    <col min="7942" max="7943" width="9.85546875" customWidth="1"/>
    <col min="7945" max="7950" width="14" customWidth="1"/>
    <col min="7951" max="7951" width="15.28515625" customWidth="1"/>
    <col min="7952" max="7952" width="14.7109375" customWidth="1"/>
    <col min="8187" max="8187" width="8.7109375" customWidth="1"/>
    <col min="8188" max="8194" width="13.85546875" customWidth="1"/>
    <col min="8195" max="8197" width="12" customWidth="1"/>
    <col min="8198" max="8199" width="9.85546875" customWidth="1"/>
    <col min="8201" max="8206" width="14" customWidth="1"/>
    <col min="8207" max="8207" width="15.28515625" customWidth="1"/>
    <col min="8208" max="8208" width="14.7109375" customWidth="1"/>
    <col min="8443" max="8443" width="8.7109375" customWidth="1"/>
    <col min="8444" max="8450" width="13.85546875" customWidth="1"/>
    <col min="8451" max="8453" width="12" customWidth="1"/>
    <col min="8454" max="8455" width="9.85546875" customWidth="1"/>
    <col min="8457" max="8462" width="14" customWidth="1"/>
    <col min="8463" max="8463" width="15.28515625" customWidth="1"/>
    <col min="8464" max="8464" width="14.7109375" customWidth="1"/>
    <col min="8699" max="8699" width="8.7109375" customWidth="1"/>
    <col min="8700" max="8706" width="13.85546875" customWidth="1"/>
    <col min="8707" max="8709" width="12" customWidth="1"/>
    <col min="8710" max="8711" width="9.85546875" customWidth="1"/>
    <col min="8713" max="8718" width="14" customWidth="1"/>
    <col min="8719" max="8719" width="15.28515625" customWidth="1"/>
    <col min="8720" max="8720" width="14.7109375" customWidth="1"/>
    <col min="8955" max="8955" width="8.7109375" customWidth="1"/>
    <col min="8956" max="8962" width="13.85546875" customWidth="1"/>
    <col min="8963" max="8965" width="12" customWidth="1"/>
    <col min="8966" max="8967" width="9.85546875" customWidth="1"/>
    <col min="8969" max="8974" width="14" customWidth="1"/>
    <col min="8975" max="8975" width="15.28515625" customWidth="1"/>
    <col min="8976" max="8976" width="14.7109375" customWidth="1"/>
    <col min="9211" max="9211" width="8.7109375" customWidth="1"/>
    <col min="9212" max="9218" width="13.85546875" customWidth="1"/>
    <col min="9219" max="9221" width="12" customWidth="1"/>
    <col min="9222" max="9223" width="9.85546875" customWidth="1"/>
    <col min="9225" max="9230" width="14" customWidth="1"/>
    <col min="9231" max="9231" width="15.28515625" customWidth="1"/>
    <col min="9232" max="9232" width="14.7109375" customWidth="1"/>
    <col min="9467" max="9467" width="8.7109375" customWidth="1"/>
    <col min="9468" max="9474" width="13.85546875" customWidth="1"/>
    <col min="9475" max="9477" width="12" customWidth="1"/>
    <col min="9478" max="9479" width="9.85546875" customWidth="1"/>
    <col min="9481" max="9486" width="14" customWidth="1"/>
    <col min="9487" max="9487" width="15.28515625" customWidth="1"/>
    <col min="9488" max="9488" width="14.7109375" customWidth="1"/>
    <col min="9723" max="9723" width="8.7109375" customWidth="1"/>
    <col min="9724" max="9730" width="13.85546875" customWidth="1"/>
    <col min="9731" max="9733" width="12" customWidth="1"/>
    <col min="9734" max="9735" width="9.85546875" customWidth="1"/>
    <col min="9737" max="9742" width="14" customWidth="1"/>
    <col min="9743" max="9743" width="15.28515625" customWidth="1"/>
    <col min="9744" max="9744" width="14.7109375" customWidth="1"/>
    <col min="9979" max="9979" width="8.7109375" customWidth="1"/>
    <col min="9980" max="9986" width="13.85546875" customWidth="1"/>
    <col min="9987" max="9989" width="12" customWidth="1"/>
    <col min="9990" max="9991" width="9.85546875" customWidth="1"/>
    <col min="9993" max="9998" width="14" customWidth="1"/>
    <col min="9999" max="9999" width="15.28515625" customWidth="1"/>
    <col min="10000" max="10000" width="14.7109375" customWidth="1"/>
    <col min="10235" max="10235" width="8.7109375" customWidth="1"/>
    <col min="10236" max="10242" width="13.85546875" customWidth="1"/>
    <col min="10243" max="10245" width="12" customWidth="1"/>
    <col min="10246" max="10247" width="9.85546875" customWidth="1"/>
    <col min="10249" max="10254" width="14" customWidth="1"/>
    <col min="10255" max="10255" width="15.28515625" customWidth="1"/>
    <col min="10256" max="10256" width="14.7109375" customWidth="1"/>
    <col min="10491" max="10491" width="8.7109375" customWidth="1"/>
    <col min="10492" max="10498" width="13.85546875" customWidth="1"/>
    <col min="10499" max="10501" width="12" customWidth="1"/>
    <col min="10502" max="10503" width="9.85546875" customWidth="1"/>
    <col min="10505" max="10510" width="14" customWidth="1"/>
    <col min="10511" max="10511" width="15.28515625" customWidth="1"/>
    <col min="10512" max="10512" width="14.7109375" customWidth="1"/>
    <col min="10747" max="10747" width="8.7109375" customWidth="1"/>
    <col min="10748" max="10754" width="13.85546875" customWidth="1"/>
    <col min="10755" max="10757" width="12" customWidth="1"/>
    <col min="10758" max="10759" width="9.85546875" customWidth="1"/>
    <col min="10761" max="10766" width="14" customWidth="1"/>
    <col min="10767" max="10767" width="15.28515625" customWidth="1"/>
    <col min="10768" max="10768" width="14.7109375" customWidth="1"/>
    <col min="11003" max="11003" width="8.7109375" customWidth="1"/>
    <col min="11004" max="11010" width="13.85546875" customWidth="1"/>
    <col min="11011" max="11013" width="12" customWidth="1"/>
    <col min="11014" max="11015" width="9.85546875" customWidth="1"/>
    <col min="11017" max="11022" width="14" customWidth="1"/>
    <col min="11023" max="11023" width="15.28515625" customWidth="1"/>
    <col min="11024" max="11024" width="14.7109375" customWidth="1"/>
    <col min="11259" max="11259" width="8.7109375" customWidth="1"/>
    <col min="11260" max="11266" width="13.85546875" customWidth="1"/>
    <col min="11267" max="11269" width="12" customWidth="1"/>
    <col min="11270" max="11271" width="9.85546875" customWidth="1"/>
    <col min="11273" max="11278" width="14" customWidth="1"/>
    <col min="11279" max="11279" width="15.28515625" customWidth="1"/>
    <col min="11280" max="11280" width="14.7109375" customWidth="1"/>
    <col min="11515" max="11515" width="8.7109375" customWidth="1"/>
    <col min="11516" max="11522" width="13.85546875" customWidth="1"/>
    <col min="11523" max="11525" width="12" customWidth="1"/>
    <col min="11526" max="11527" width="9.85546875" customWidth="1"/>
    <col min="11529" max="11534" width="14" customWidth="1"/>
    <col min="11535" max="11535" width="15.28515625" customWidth="1"/>
    <col min="11536" max="11536" width="14.7109375" customWidth="1"/>
    <col min="11771" max="11771" width="8.7109375" customWidth="1"/>
    <col min="11772" max="11778" width="13.85546875" customWidth="1"/>
    <col min="11779" max="11781" width="12" customWidth="1"/>
    <col min="11782" max="11783" width="9.85546875" customWidth="1"/>
    <col min="11785" max="11790" width="14" customWidth="1"/>
    <col min="11791" max="11791" width="15.28515625" customWidth="1"/>
    <col min="11792" max="11792" width="14.7109375" customWidth="1"/>
    <col min="12027" max="12027" width="8.7109375" customWidth="1"/>
    <col min="12028" max="12034" width="13.85546875" customWidth="1"/>
    <col min="12035" max="12037" width="12" customWidth="1"/>
    <col min="12038" max="12039" width="9.85546875" customWidth="1"/>
    <col min="12041" max="12046" width="14" customWidth="1"/>
    <col min="12047" max="12047" width="15.28515625" customWidth="1"/>
    <col min="12048" max="12048" width="14.7109375" customWidth="1"/>
    <col min="12283" max="12283" width="8.7109375" customWidth="1"/>
    <col min="12284" max="12290" width="13.85546875" customWidth="1"/>
    <col min="12291" max="12293" width="12" customWidth="1"/>
    <col min="12294" max="12295" width="9.85546875" customWidth="1"/>
    <col min="12297" max="12302" width="14" customWidth="1"/>
    <col min="12303" max="12303" width="15.28515625" customWidth="1"/>
    <col min="12304" max="12304" width="14.7109375" customWidth="1"/>
    <col min="12539" max="12539" width="8.7109375" customWidth="1"/>
    <col min="12540" max="12546" width="13.85546875" customWidth="1"/>
    <col min="12547" max="12549" width="12" customWidth="1"/>
    <col min="12550" max="12551" width="9.85546875" customWidth="1"/>
    <col min="12553" max="12558" width="14" customWidth="1"/>
    <col min="12559" max="12559" width="15.28515625" customWidth="1"/>
    <col min="12560" max="12560" width="14.7109375" customWidth="1"/>
    <col min="12795" max="12795" width="8.7109375" customWidth="1"/>
    <col min="12796" max="12802" width="13.85546875" customWidth="1"/>
    <col min="12803" max="12805" width="12" customWidth="1"/>
    <col min="12806" max="12807" width="9.85546875" customWidth="1"/>
    <col min="12809" max="12814" width="14" customWidth="1"/>
    <col min="12815" max="12815" width="15.28515625" customWidth="1"/>
    <col min="12816" max="12816" width="14.7109375" customWidth="1"/>
    <col min="13051" max="13051" width="8.7109375" customWidth="1"/>
    <col min="13052" max="13058" width="13.85546875" customWidth="1"/>
    <col min="13059" max="13061" width="12" customWidth="1"/>
    <col min="13062" max="13063" width="9.85546875" customWidth="1"/>
    <col min="13065" max="13070" width="14" customWidth="1"/>
    <col min="13071" max="13071" width="15.28515625" customWidth="1"/>
    <col min="13072" max="13072" width="14.7109375" customWidth="1"/>
    <col min="13307" max="13307" width="8.7109375" customWidth="1"/>
    <col min="13308" max="13314" width="13.85546875" customWidth="1"/>
    <col min="13315" max="13317" width="12" customWidth="1"/>
    <col min="13318" max="13319" width="9.85546875" customWidth="1"/>
    <col min="13321" max="13326" width="14" customWidth="1"/>
    <col min="13327" max="13327" width="15.28515625" customWidth="1"/>
    <col min="13328" max="13328" width="14.7109375" customWidth="1"/>
    <col min="13563" max="13563" width="8.7109375" customWidth="1"/>
    <col min="13564" max="13570" width="13.85546875" customWidth="1"/>
    <col min="13571" max="13573" width="12" customWidth="1"/>
    <col min="13574" max="13575" width="9.85546875" customWidth="1"/>
    <col min="13577" max="13582" width="14" customWidth="1"/>
    <col min="13583" max="13583" width="15.28515625" customWidth="1"/>
    <col min="13584" max="13584" width="14.7109375" customWidth="1"/>
    <col min="13819" max="13819" width="8.7109375" customWidth="1"/>
    <col min="13820" max="13826" width="13.85546875" customWidth="1"/>
    <col min="13827" max="13829" width="12" customWidth="1"/>
    <col min="13830" max="13831" width="9.85546875" customWidth="1"/>
    <col min="13833" max="13838" width="14" customWidth="1"/>
    <col min="13839" max="13839" width="15.28515625" customWidth="1"/>
    <col min="13840" max="13840" width="14.7109375" customWidth="1"/>
    <col min="14075" max="14075" width="8.7109375" customWidth="1"/>
    <col min="14076" max="14082" width="13.85546875" customWidth="1"/>
    <col min="14083" max="14085" width="12" customWidth="1"/>
    <col min="14086" max="14087" width="9.85546875" customWidth="1"/>
    <col min="14089" max="14094" width="14" customWidth="1"/>
    <col min="14095" max="14095" width="15.28515625" customWidth="1"/>
    <col min="14096" max="14096" width="14.7109375" customWidth="1"/>
    <col min="14331" max="14331" width="8.7109375" customWidth="1"/>
    <col min="14332" max="14338" width="13.85546875" customWidth="1"/>
    <col min="14339" max="14341" width="12" customWidth="1"/>
    <col min="14342" max="14343" width="9.85546875" customWidth="1"/>
    <col min="14345" max="14350" width="14" customWidth="1"/>
    <col min="14351" max="14351" width="15.28515625" customWidth="1"/>
    <col min="14352" max="14352" width="14.7109375" customWidth="1"/>
    <col min="14587" max="14587" width="8.7109375" customWidth="1"/>
    <col min="14588" max="14594" width="13.85546875" customWidth="1"/>
    <col min="14595" max="14597" width="12" customWidth="1"/>
    <col min="14598" max="14599" width="9.85546875" customWidth="1"/>
    <col min="14601" max="14606" width="14" customWidth="1"/>
    <col min="14607" max="14607" width="15.28515625" customWidth="1"/>
    <col min="14608" max="14608" width="14.7109375" customWidth="1"/>
    <col min="14843" max="14843" width="8.7109375" customWidth="1"/>
    <col min="14844" max="14850" width="13.85546875" customWidth="1"/>
    <col min="14851" max="14853" width="12" customWidth="1"/>
    <col min="14854" max="14855" width="9.85546875" customWidth="1"/>
    <col min="14857" max="14862" width="14" customWidth="1"/>
    <col min="14863" max="14863" width="15.28515625" customWidth="1"/>
    <col min="14864" max="14864" width="14.7109375" customWidth="1"/>
    <col min="15099" max="15099" width="8.7109375" customWidth="1"/>
    <col min="15100" max="15106" width="13.85546875" customWidth="1"/>
    <col min="15107" max="15109" width="12" customWidth="1"/>
    <col min="15110" max="15111" width="9.85546875" customWidth="1"/>
    <col min="15113" max="15118" width="14" customWidth="1"/>
    <col min="15119" max="15119" width="15.28515625" customWidth="1"/>
    <col min="15120" max="15120" width="14.7109375" customWidth="1"/>
    <col min="15355" max="15355" width="8.7109375" customWidth="1"/>
    <col min="15356" max="15362" width="13.85546875" customWidth="1"/>
    <col min="15363" max="15365" width="12" customWidth="1"/>
    <col min="15366" max="15367" width="9.85546875" customWidth="1"/>
    <col min="15369" max="15374" width="14" customWidth="1"/>
    <col min="15375" max="15375" width="15.28515625" customWidth="1"/>
    <col min="15376" max="15376" width="14.7109375" customWidth="1"/>
    <col min="15611" max="15611" width="8.7109375" customWidth="1"/>
    <col min="15612" max="15618" width="13.85546875" customWidth="1"/>
    <col min="15619" max="15621" width="12" customWidth="1"/>
    <col min="15622" max="15623" width="9.85546875" customWidth="1"/>
    <col min="15625" max="15630" width="14" customWidth="1"/>
    <col min="15631" max="15631" width="15.28515625" customWidth="1"/>
    <col min="15632" max="15632" width="14.7109375" customWidth="1"/>
    <col min="15867" max="15867" width="8.7109375" customWidth="1"/>
    <col min="15868" max="15874" width="13.85546875" customWidth="1"/>
    <col min="15875" max="15877" width="12" customWidth="1"/>
    <col min="15878" max="15879" width="9.85546875" customWidth="1"/>
    <col min="15881" max="15886" width="14" customWidth="1"/>
    <col min="15887" max="15887" width="15.28515625" customWidth="1"/>
    <col min="15888" max="15888" width="14.7109375" customWidth="1"/>
    <col min="16123" max="16123" width="8.7109375" customWidth="1"/>
    <col min="16124" max="16130" width="13.85546875" customWidth="1"/>
    <col min="16131" max="16133" width="12" customWidth="1"/>
    <col min="16134" max="16135" width="9.85546875" customWidth="1"/>
    <col min="16137" max="16142" width="14" customWidth="1"/>
    <col min="16143" max="16143" width="15.28515625" customWidth="1"/>
    <col min="16144" max="16144" width="14.7109375" customWidth="1"/>
  </cols>
  <sheetData>
    <row r="1" spans="1:20" x14ac:dyDescent="0.25">
      <c r="A1" s="27" t="s">
        <v>32</v>
      </c>
      <c r="C1" s="1"/>
    </row>
    <row r="2" spans="1:20" x14ac:dyDescent="0.25">
      <c r="A2" s="27"/>
      <c r="C2" s="1"/>
      <c r="M2" s="21"/>
    </row>
    <row r="3" spans="1:20" x14ac:dyDescent="0.25">
      <c r="A3" s="179" t="s">
        <v>99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2">
        <v>45291</v>
      </c>
      <c r="M3" s="21"/>
    </row>
    <row r="4" spans="1:20" x14ac:dyDescent="0.25">
      <c r="A4" s="45"/>
      <c r="B4" s="45"/>
      <c r="C4" s="182" t="s">
        <v>0</v>
      </c>
      <c r="D4" s="182"/>
      <c r="E4" s="182" t="s">
        <v>1</v>
      </c>
      <c r="F4" s="182"/>
      <c r="G4" s="182" t="s">
        <v>2</v>
      </c>
      <c r="H4" s="182"/>
      <c r="I4" s="45"/>
      <c r="J4" s="187" t="s">
        <v>3</v>
      </c>
      <c r="K4" s="187"/>
      <c r="M4" s="3" t="s">
        <v>4</v>
      </c>
      <c r="O4" s="182" t="s">
        <v>0</v>
      </c>
      <c r="P4" s="182"/>
      <c r="Q4" s="182" t="s">
        <v>1</v>
      </c>
      <c r="R4" s="182"/>
      <c r="S4" s="182" t="s">
        <v>2</v>
      </c>
      <c r="T4" s="182"/>
    </row>
    <row r="5" spans="1:20" x14ac:dyDescent="0.25">
      <c r="A5" s="4" t="s">
        <v>5</v>
      </c>
      <c r="B5" s="4" t="s">
        <v>6</v>
      </c>
      <c r="C5" s="5" t="s">
        <v>7</v>
      </c>
      <c r="D5" s="6" t="s">
        <v>8</v>
      </c>
      <c r="E5" s="5" t="s">
        <v>7</v>
      </c>
      <c r="F5" s="6" t="s">
        <v>8</v>
      </c>
      <c r="G5" s="5" t="s">
        <v>7</v>
      </c>
      <c r="H5" s="6" t="s">
        <v>8</v>
      </c>
      <c r="I5" s="4" t="s">
        <v>9</v>
      </c>
      <c r="J5" s="7" t="s">
        <v>10</v>
      </c>
      <c r="K5" s="7" t="s">
        <v>11</v>
      </c>
      <c r="L5" s="4" t="s">
        <v>12</v>
      </c>
      <c r="M5" s="4" t="s">
        <v>13</v>
      </c>
      <c r="N5" s="4" t="s">
        <v>101</v>
      </c>
      <c r="O5" s="5" t="s">
        <v>7</v>
      </c>
      <c r="P5" s="6" t="s">
        <v>8</v>
      </c>
      <c r="Q5" s="5" t="s">
        <v>7</v>
      </c>
      <c r="R5" s="6" t="s">
        <v>8</v>
      </c>
      <c r="S5" s="5" t="s">
        <v>7</v>
      </c>
      <c r="T5" s="6" t="s">
        <v>8</v>
      </c>
    </row>
    <row r="6" spans="1:20" x14ac:dyDescent="0.25">
      <c r="A6" s="8">
        <v>2</v>
      </c>
      <c r="B6" s="8" t="s">
        <v>33</v>
      </c>
      <c r="C6" s="9">
        <f>+'Jan &amp; Feb Cycle Billing - Water'!B7</f>
        <v>260096.92</v>
      </c>
      <c r="D6" s="10">
        <f>+'Jan &amp; Feb Cycle Billing - Water'!C7</f>
        <v>52780866</v>
      </c>
      <c r="E6" s="9">
        <f>+'Jan &amp; Feb Cycle Billing - Sewer'!B7</f>
        <v>157382.65000000002</v>
      </c>
      <c r="F6" s="10">
        <f>+'Jan &amp; Feb Cycle Billing - Sewer'!C7</f>
        <v>37910085</v>
      </c>
      <c r="G6" s="9">
        <f>+C6+E6</f>
        <v>417479.57000000007</v>
      </c>
      <c r="H6" s="10">
        <f>+D6+F6</f>
        <v>90690951</v>
      </c>
      <c r="I6" s="11">
        <f>+'Jan &amp; Feb Cycle Billing - Water'!D7</f>
        <v>45294</v>
      </c>
      <c r="J6" s="11">
        <f>+'Jan &amp; Feb Cycle Billing - Water'!E7</f>
        <v>45251</v>
      </c>
      <c r="K6" s="11">
        <f>+'Jan &amp; Feb Cycle Billing - Water'!F7</f>
        <v>45280</v>
      </c>
      <c r="L6" s="31">
        <f t="shared" ref="L6:L13" si="0">IF(K6&lt;$L$3,K6-J6,$L$3-J6)</f>
        <v>29</v>
      </c>
      <c r="M6" s="13">
        <f>+K6-J6</f>
        <v>29</v>
      </c>
      <c r="N6" s="14">
        <f>+L6/M6</f>
        <v>1</v>
      </c>
      <c r="O6" s="1">
        <f>+C6*N6</f>
        <v>260096.92</v>
      </c>
      <c r="P6" s="12">
        <f t="shared" ref="P6:P13" si="1">+D6*N6</f>
        <v>52780866</v>
      </c>
      <c r="Q6" s="1">
        <f>+E6</f>
        <v>157382.65000000002</v>
      </c>
      <c r="R6" s="12">
        <f>+F6</f>
        <v>37910085</v>
      </c>
      <c r="S6" s="9">
        <f>+O6+Q6</f>
        <v>417479.57000000007</v>
      </c>
      <c r="T6" s="10">
        <f>+P6+R6</f>
        <v>90690951</v>
      </c>
    </row>
    <row r="7" spans="1:20" x14ac:dyDescent="0.25">
      <c r="A7" s="8">
        <v>4</v>
      </c>
      <c r="B7" s="8" t="s">
        <v>33</v>
      </c>
      <c r="C7" s="9">
        <f>+'Jan &amp; Feb Cycle Billing - Water'!B8</f>
        <v>70061.810000000012</v>
      </c>
      <c r="D7" s="10">
        <f>+'Jan &amp; Feb Cycle Billing - Water'!C8</f>
        <v>10785293</v>
      </c>
      <c r="E7" s="9">
        <f>+'Jan &amp; Feb Cycle Billing - Sewer'!B8</f>
        <v>18972.63</v>
      </c>
      <c r="F7" s="10">
        <f>+'Jan &amp; Feb Cycle Billing - Sewer'!C8</f>
        <v>2445288</v>
      </c>
      <c r="G7" s="9">
        <f t="shared" ref="G7:H13" si="2">+C7+E7</f>
        <v>89034.440000000017</v>
      </c>
      <c r="H7" s="10">
        <f t="shared" si="2"/>
        <v>13230581</v>
      </c>
      <c r="I7" s="11">
        <f>+'Jan &amp; Feb Cycle Billing - Water'!D8</f>
        <v>45296</v>
      </c>
      <c r="J7" s="11">
        <f>+'Jan &amp; Feb Cycle Billing - Water'!E8</f>
        <v>45257</v>
      </c>
      <c r="K7" s="11">
        <f>+'Jan &amp; Feb Cycle Billing - Water'!F8</f>
        <v>45287</v>
      </c>
      <c r="L7" s="31">
        <f t="shared" si="0"/>
        <v>30</v>
      </c>
      <c r="M7" s="13">
        <f>+K7-J7</f>
        <v>30</v>
      </c>
      <c r="N7" s="14">
        <f>+L7/M7</f>
        <v>1</v>
      </c>
      <c r="O7" s="1">
        <f t="shared" ref="O7:O13" si="3">+C7*N7</f>
        <v>70061.810000000012</v>
      </c>
      <c r="P7" s="12">
        <f t="shared" si="1"/>
        <v>10785293</v>
      </c>
      <c r="Q7" s="1">
        <f t="shared" ref="Q7:R8" si="4">+E7</f>
        <v>18972.63</v>
      </c>
      <c r="R7" s="12">
        <f t="shared" si="4"/>
        <v>2445288</v>
      </c>
      <c r="S7" s="9">
        <f t="shared" ref="S7:T13" si="5">+O7+Q7</f>
        <v>89034.440000000017</v>
      </c>
      <c r="T7" s="10">
        <f t="shared" si="5"/>
        <v>13230581</v>
      </c>
    </row>
    <row r="8" spans="1:20" x14ac:dyDescent="0.25">
      <c r="A8" s="8">
        <v>6</v>
      </c>
      <c r="B8" s="8" t="s">
        <v>33</v>
      </c>
      <c r="C8" s="9">
        <f>+'Jan &amp; Feb Cycle Billing - Water'!B9</f>
        <v>57948.31</v>
      </c>
      <c r="D8" s="10">
        <f>+'Jan &amp; Feb Cycle Billing - Water'!C9</f>
        <v>10267763</v>
      </c>
      <c r="E8" s="9">
        <f>+'Jan &amp; Feb Cycle Billing - Sewer'!B9</f>
        <v>226.35</v>
      </c>
      <c r="F8" s="10">
        <f>+'Jan &amp; Feb Cycle Billing - Sewer'!C9</f>
        <v>43649</v>
      </c>
      <c r="G8" s="9">
        <f t="shared" si="2"/>
        <v>58174.659999999996</v>
      </c>
      <c r="H8" s="10">
        <f t="shared" si="2"/>
        <v>10311412</v>
      </c>
      <c r="I8" s="11">
        <f>+'Jan &amp; Feb Cycle Billing - Water'!D9</f>
        <v>45299</v>
      </c>
      <c r="J8" s="11">
        <f>+'Jan &amp; Feb Cycle Billing - Water'!E9</f>
        <v>45258</v>
      </c>
      <c r="K8" s="11">
        <f>+'Jan &amp; Feb Cycle Billing - Water'!F9</f>
        <v>45289</v>
      </c>
      <c r="L8" s="31">
        <f t="shared" si="0"/>
        <v>31</v>
      </c>
      <c r="M8" s="13">
        <f>+K8-J8</f>
        <v>31</v>
      </c>
      <c r="N8" s="14">
        <f>+L8/M8</f>
        <v>1</v>
      </c>
      <c r="O8" s="1">
        <f t="shared" si="3"/>
        <v>57948.31</v>
      </c>
      <c r="P8" s="12">
        <f t="shared" si="1"/>
        <v>10267763</v>
      </c>
      <c r="Q8" s="1">
        <f t="shared" si="4"/>
        <v>226.35</v>
      </c>
      <c r="R8" s="12">
        <f t="shared" si="4"/>
        <v>43649</v>
      </c>
      <c r="S8" s="9">
        <f t="shared" si="5"/>
        <v>58174.659999999996</v>
      </c>
      <c r="T8" s="10">
        <f t="shared" si="5"/>
        <v>10311412</v>
      </c>
    </row>
    <row r="9" spans="1:20" x14ac:dyDescent="0.25">
      <c r="A9" s="8">
        <v>8</v>
      </c>
      <c r="B9" s="8" t="s">
        <v>33</v>
      </c>
      <c r="C9" s="9">
        <f>+'Jan &amp; Feb Cycle Billing - Water'!B10</f>
        <v>189403.50000000003</v>
      </c>
      <c r="D9" s="10">
        <f>+'Jan &amp; Feb Cycle Billing - Water'!C10</f>
        <v>29689747</v>
      </c>
      <c r="E9" s="9">
        <f>+'Jan &amp; Feb Cycle Billing - Sewer'!B10</f>
        <v>15556.2</v>
      </c>
      <c r="F9" s="10">
        <f>+'Jan &amp; Feb Cycle Billing - Sewer'!C10</f>
        <v>2814097</v>
      </c>
      <c r="G9" s="9">
        <f t="shared" si="2"/>
        <v>204959.70000000004</v>
      </c>
      <c r="H9" s="10">
        <f t="shared" si="2"/>
        <v>32503844</v>
      </c>
      <c r="I9" s="11">
        <f>+'Jan &amp; Feb Cycle Billing - Water'!D10</f>
        <v>45301</v>
      </c>
      <c r="J9" s="11">
        <f>+'Jan &amp; Feb Cycle Billing - Water'!E10</f>
        <v>45264</v>
      </c>
      <c r="K9" s="11">
        <f>+'Jan &amp; Feb Cycle Billing - Water'!F10</f>
        <v>45295</v>
      </c>
      <c r="L9" s="31">
        <f t="shared" si="0"/>
        <v>27</v>
      </c>
      <c r="M9" s="13">
        <f t="shared" ref="M9:M17" si="6">+K9-J9</f>
        <v>31</v>
      </c>
      <c r="N9" s="14">
        <f>+L9/M9</f>
        <v>0.87096774193548387</v>
      </c>
      <c r="O9" s="1">
        <f t="shared" si="3"/>
        <v>164964.33870967745</v>
      </c>
      <c r="P9" s="12">
        <f t="shared" si="1"/>
        <v>25858811.903225806</v>
      </c>
      <c r="Q9" s="1">
        <f>+E9*N9</f>
        <v>13548.948387096774</v>
      </c>
      <c r="R9" s="12">
        <f>+F9*N9</f>
        <v>2450987.7096774192</v>
      </c>
      <c r="S9" s="9">
        <f t="shared" si="5"/>
        <v>178513.28709677423</v>
      </c>
      <c r="T9" s="10">
        <f t="shared" si="5"/>
        <v>28309799.612903226</v>
      </c>
    </row>
    <row r="10" spans="1:20" x14ac:dyDescent="0.25">
      <c r="A10" s="8">
        <v>10</v>
      </c>
      <c r="B10" s="8" t="s">
        <v>33</v>
      </c>
      <c r="C10" s="9">
        <f>+'Jan &amp; Feb Cycle Billing - Water'!B11</f>
        <v>107857.31</v>
      </c>
      <c r="D10" s="10">
        <f>+'Jan &amp; Feb Cycle Billing - Water'!C11</f>
        <v>17773071</v>
      </c>
      <c r="E10" s="9">
        <f>+'Jan &amp; Feb Cycle Billing - Sewer'!B11</f>
        <v>27311.58</v>
      </c>
      <c r="F10" s="10">
        <f>+'Jan &amp; Feb Cycle Billing - Sewer'!C11</f>
        <v>4676910</v>
      </c>
      <c r="G10" s="9">
        <f t="shared" si="2"/>
        <v>135168.89000000001</v>
      </c>
      <c r="H10" s="10">
        <f t="shared" si="2"/>
        <v>22449981</v>
      </c>
      <c r="I10" s="11">
        <f>+'Jan &amp; Feb Cycle Billing - Water'!D11</f>
        <v>45308</v>
      </c>
      <c r="J10" s="11">
        <f>+'Jan &amp; Feb Cycle Billing - Water'!E11</f>
        <v>45267</v>
      </c>
      <c r="K10" s="11">
        <f>+'Jan &amp; Feb Cycle Billing - Water'!F11</f>
        <v>45299</v>
      </c>
      <c r="L10" s="31">
        <f t="shared" si="0"/>
        <v>24</v>
      </c>
      <c r="M10" s="13">
        <f t="shared" si="6"/>
        <v>32</v>
      </c>
      <c r="N10" s="14">
        <f t="shared" ref="N10:N17" si="7">+L10/M10</f>
        <v>0.75</v>
      </c>
      <c r="O10" s="1">
        <f t="shared" si="3"/>
        <v>80892.982499999998</v>
      </c>
      <c r="P10" s="12">
        <f t="shared" si="1"/>
        <v>13329803.25</v>
      </c>
      <c r="Q10" s="1">
        <f t="shared" ref="Q10:Q13" si="8">+E10*N10</f>
        <v>20483.685000000001</v>
      </c>
      <c r="R10" s="12">
        <f t="shared" ref="R10:R13" si="9">+F10*N10</f>
        <v>3507682.5</v>
      </c>
      <c r="S10" s="9">
        <f t="shared" si="5"/>
        <v>101376.6675</v>
      </c>
      <c r="T10" s="10">
        <f t="shared" si="5"/>
        <v>16837485.75</v>
      </c>
    </row>
    <row r="11" spans="1:20" x14ac:dyDescent="0.25">
      <c r="A11" s="8">
        <v>12</v>
      </c>
      <c r="B11" s="8" t="s">
        <v>33</v>
      </c>
      <c r="C11" s="9">
        <f>+'Jan &amp; Feb Cycle Billing - Water'!B12</f>
        <v>331923.17</v>
      </c>
      <c r="D11" s="10">
        <f>+'Jan &amp; Feb Cycle Billing - Water'!C12</f>
        <v>65628930</v>
      </c>
      <c r="E11" s="9">
        <f>+'Jan &amp; Feb Cycle Billing - Sewer'!B12</f>
        <v>222517.07</v>
      </c>
      <c r="F11" s="10">
        <f>+'Jan &amp; Feb Cycle Billing - Sewer'!C12</f>
        <v>51653999</v>
      </c>
      <c r="G11" s="9">
        <f t="shared" si="2"/>
        <v>554440.24</v>
      </c>
      <c r="H11" s="10">
        <f t="shared" si="2"/>
        <v>117282929</v>
      </c>
      <c r="I11" s="11">
        <f>+'Jan &amp; Feb Cycle Billing - Water'!D12</f>
        <v>45313</v>
      </c>
      <c r="J11" s="11">
        <f>+'Jan &amp; Feb Cycle Billing - Water'!E12</f>
        <v>45273</v>
      </c>
      <c r="K11" s="11">
        <f>+'Jan &amp; Feb Cycle Billing - Water'!F12</f>
        <v>45303</v>
      </c>
      <c r="L11" s="31">
        <f t="shared" si="0"/>
        <v>18</v>
      </c>
      <c r="M11" s="13">
        <f t="shared" si="6"/>
        <v>30</v>
      </c>
      <c r="N11" s="14">
        <f t="shared" si="7"/>
        <v>0.6</v>
      </c>
      <c r="O11" s="1">
        <f t="shared" si="3"/>
        <v>199153.90199999997</v>
      </c>
      <c r="P11" s="12">
        <f t="shared" si="1"/>
        <v>39377358</v>
      </c>
      <c r="Q11" s="1">
        <f t="shared" si="8"/>
        <v>133510.242</v>
      </c>
      <c r="R11" s="12">
        <f t="shared" si="9"/>
        <v>30992399.399999999</v>
      </c>
      <c r="S11" s="9">
        <f t="shared" si="5"/>
        <v>332664.14399999997</v>
      </c>
      <c r="T11" s="10">
        <f t="shared" si="5"/>
        <v>70369757.400000006</v>
      </c>
    </row>
    <row r="12" spans="1:20" x14ac:dyDescent="0.25">
      <c r="A12" s="8">
        <v>14</v>
      </c>
      <c r="B12" s="8" t="s">
        <v>33</v>
      </c>
      <c r="C12" s="9">
        <f>+'Jan &amp; Feb Cycle Billing - Water'!B13</f>
        <v>80205.63</v>
      </c>
      <c r="D12" s="10">
        <f>+'Jan &amp; Feb Cycle Billing - Water'!C13</f>
        <v>12999932</v>
      </c>
      <c r="E12" s="9">
        <f>+'Jan &amp; Feb Cycle Billing - Sewer'!B13</f>
        <v>18895.64</v>
      </c>
      <c r="F12" s="10">
        <f>+'Jan &amp; Feb Cycle Billing - Sewer'!C13</f>
        <v>2976037</v>
      </c>
      <c r="G12" s="9">
        <f t="shared" si="2"/>
        <v>99101.27</v>
      </c>
      <c r="H12" s="10">
        <f t="shared" si="2"/>
        <v>15975969</v>
      </c>
      <c r="I12" s="11">
        <f>+'Jan &amp; Feb Cycle Billing - Water'!D13</f>
        <v>45315</v>
      </c>
      <c r="J12" s="11">
        <f>+'Jan &amp; Feb Cycle Billing - Water'!E13</f>
        <v>45275</v>
      </c>
      <c r="K12" s="11">
        <f>+'Jan &amp; Feb Cycle Billing - Water'!F13</f>
        <v>45306</v>
      </c>
      <c r="L12" s="31">
        <f t="shared" si="0"/>
        <v>16</v>
      </c>
      <c r="M12" s="13">
        <f t="shared" si="6"/>
        <v>31</v>
      </c>
      <c r="N12" s="14">
        <f t="shared" si="7"/>
        <v>0.5161290322580645</v>
      </c>
      <c r="O12" s="1">
        <f t="shared" si="3"/>
        <v>41396.454193548387</v>
      </c>
      <c r="P12" s="12">
        <f t="shared" si="1"/>
        <v>6709642.3225806449</v>
      </c>
      <c r="Q12" s="1">
        <f t="shared" si="8"/>
        <v>9752.5883870967737</v>
      </c>
      <c r="R12" s="12">
        <f t="shared" si="9"/>
        <v>1536019.0967741935</v>
      </c>
      <c r="S12" s="9">
        <f t="shared" si="5"/>
        <v>51149.04258064516</v>
      </c>
      <c r="T12" s="10">
        <f t="shared" si="5"/>
        <v>8245661.4193548383</v>
      </c>
    </row>
    <row r="13" spans="1:20" x14ac:dyDescent="0.25">
      <c r="A13" s="8">
        <v>16</v>
      </c>
      <c r="B13" s="8" t="s">
        <v>33</v>
      </c>
      <c r="C13" s="9">
        <f>+'Jan &amp; Feb Cycle Billing - Water'!B14</f>
        <v>99813.27</v>
      </c>
      <c r="D13" s="10">
        <f>+'Jan &amp; Feb Cycle Billing - Water'!C14</f>
        <v>17162076</v>
      </c>
      <c r="E13" s="9">
        <f>+'Jan &amp; Feb Cycle Billing - Sewer'!B14</f>
        <v>482.59000000000003</v>
      </c>
      <c r="F13" s="10">
        <f>+'Jan &amp; Feb Cycle Billing - Sewer'!C14</f>
        <v>77434</v>
      </c>
      <c r="G13" s="9">
        <f t="shared" si="2"/>
        <v>100295.86</v>
      </c>
      <c r="H13" s="10">
        <f t="shared" si="2"/>
        <v>17239510</v>
      </c>
      <c r="I13" s="11">
        <f>+'Jan &amp; Feb Cycle Billing - Water'!D14</f>
        <v>45320</v>
      </c>
      <c r="J13" s="11">
        <f>+'Jan &amp; Feb Cycle Billing - Water'!E14</f>
        <v>45278</v>
      </c>
      <c r="K13" s="11">
        <f>+'Jan &amp; Feb Cycle Billing - Water'!F14</f>
        <v>45308</v>
      </c>
      <c r="L13" s="31">
        <f t="shared" si="0"/>
        <v>13</v>
      </c>
      <c r="M13" s="13">
        <f t="shared" si="6"/>
        <v>30</v>
      </c>
      <c r="N13" s="14">
        <f t="shared" si="7"/>
        <v>0.43333333333333335</v>
      </c>
      <c r="O13" s="1">
        <f t="shared" si="3"/>
        <v>43252.417000000001</v>
      </c>
      <c r="P13" s="12">
        <f t="shared" si="1"/>
        <v>7436899.6000000006</v>
      </c>
      <c r="Q13" s="1">
        <f t="shared" si="8"/>
        <v>209.12233333333336</v>
      </c>
      <c r="R13" s="12">
        <f t="shared" si="9"/>
        <v>33554.733333333337</v>
      </c>
      <c r="S13" s="9">
        <f t="shared" si="5"/>
        <v>43461.539333333334</v>
      </c>
      <c r="T13" s="10">
        <f t="shared" si="5"/>
        <v>7470454.333333334</v>
      </c>
    </row>
    <row r="14" spans="1:20" x14ac:dyDescent="0.25">
      <c r="A14" s="179" t="s">
        <v>100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31"/>
      <c r="M14" s="13"/>
      <c r="N14" s="14"/>
      <c r="O14" s="1"/>
      <c r="P14" s="12"/>
      <c r="Q14" s="1"/>
      <c r="R14" s="12"/>
      <c r="S14" s="9"/>
      <c r="T14" s="10"/>
    </row>
    <row r="15" spans="1:20" x14ac:dyDescent="0.25">
      <c r="A15" s="8">
        <v>2</v>
      </c>
      <c r="B15" s="8" t="s">
        <v>33</v>
      </c>
      <c r="C15" s="9">
        <f>+'Jan &amp; Feb Cycle Billing - Water'!B26</f>
        <v>268873.06</v>
      </c>
      <c r="D15" s="167">
        <f>+'Jan &amp; Feb Cycle Billing - Water'!C26</f>
        <v>54445249</v>
      </c>
      <c r="E15" s="9">
        <f>+'Jan &amp; Feb Cycle Billing - Sewer'!B26</f>
        <v>163981.88</v>
      </c>
      <c r="F15" s="167">
        <f>+'Jan &amp; Feb Cycle Billing - Sewer'!C26</f>
        <v>39398957</v>
      </c>
      <c r="G15" s="9">
        <f>+C15+E15</f>
        <v>432854.94</v>
      </c>
      <c r="H15" s="10">
        <f>+D15+F15</f>
        <v>93844206</v>
      </c>
      <c r="I15" s="64">
        <f>+'Jan &amp; Feb Cycle Billing - Water'!D26</f>
        <v>45324</v>
      </c>
      <c r="J15" s="64">
        <f>+'Jan &amp; Feb Cycle Billing - Water'!E26</f>
        <v>45280</v>
      </c>
      <c r="K15" s="64">
        <f>+'Jan &amp; Feb Cycle Billing - Water'!F26</f>
        <v>45313</v>
      </c>
      <c r="L15" s="31">
        <f>IF(K15&lt;$L$3,K15-J15,$L$3-J15)</f>
        <v>11</v>
      </c>
      <c r="M15" s="13">
        <f t="shared" si="6"/>
        <v>33</v>
      </c>
      <c r="N15" s="14">
        <f t="shared" si="7"/>
        <v>0.33333333333333331</v>
      </c>
      <c r="O15" s="1">
        <f t="shared" ref="O15:O17" si="10">+C15*N15</f>
        <v>89624.353333333333</v>
      </c>
      <c r="P15" s="12">
        <f t="shared" ref="P15:P17" si="11">+D15*N15</f>
        <v>18148416.333333332</v>
      </c>
      <c r="Q15" s="1">
        <f>+E15*N15</f>
        <v>54660.626666666663</v>
      </c>
      <c r="R15" s="12">
        <f t="shared" ref="R15:R17" si="12">+F15*N15</f>
        <v>13132985.666666666</v>
      </c>
      <c r="S15" s="9">
        <f t="shared" ref="S15:S17" si="13">+O15+Q15</f>
        <v>144284.97999999998</v>
      </c>
      <c r="T15" s="10">
        <f t="shared" ref="T15:T17" si="14">+P15+R15</f>
        <v>31281402</v>
      </c>
    </row>
    <row r="16" spans="1:20" x14ac:dyDescent="0.25">
      <c r="A16" s="8">
        <v>4</v>
      </c>
      <c r="B16" s="8" t="s">
        <v>33</v>
      </c>
      <c r="C16" s="9">
        <f>+'Jan &amp; Feb Cycle Billing - Water'!B27</f>
        <v>76150.140000000014</v>
      </c>
      <c r="D16" s="167">
        <f>+'Jan &amp; Feb Cycle Billing - Water'!C27</f>
        <v>12271042</v>
      </c>
      <c r="E16" s="9">
        <f>+'Jan &amp; Feb Cycle Billing - Sewer'!B27</f>
        <v>20362.3</v>
      </c>
      <c r="F16" s="167">
        <f>+'Jan &amp; Feb Cycle Billing - Sewer'!C27</f>
        <v>2749139</v>
      </c>
      <c r="G16" s="9">
        <f t="shared" ref="G16:G17" si="15">+C16+E16</f>
        <v>96512.440000000017</v>
      </c>
      <c r="H16" s="10">
        <f t="shared" ref="H16:H17" si="16">+D16+F16</f>
        <v>15020181</v>
      </c>
      <c r="I16" s="64">
        <f>+'Jan &amp; Feb Cycle Billing - Water'!D27</f>
        <v>45327</v>
      </c>
      <c r="J16" s="64">
        <f>+'Jan &amp; Feb Cycle Billing - Water'!E27</f>
        <v>45287</v>
      </c>
      <c r="K16" s="64">
        <f>+'Jan &amp; Feb Cycle Billing - Water'!F27</f>
        <v>45316</v>
      </c>
      <c r="L16" s="31">
        <f>IF(K16&lt;$L$3,K16-J16,$L$3-J16)</f>
        <v>4</v>
      </c>
      <c r="M16" s="13">
        <f t="shared" si="6"/>
        <v>29</v>
      </c>
      <c r="N16" s="14">
        <f t="shared" si="7"/>
        <v>0.13793103448275862</v>
      </c>
      <c r="O16" s="1">
        <f t="shared" si="10"/>
        <v>10503.467586206898</v>
      </c>
      <c r="P16" s="12">
        <f t="shared" si="11"/>
        <v>1692557.5172413792</v>
      </c>
      <c r="Q16" s="1">
        <f t="shared" ref="Q16:Q17" si="17">+E16*N16</f>
        <v>2808.5931034482755</v>
      </c>
      <c r="R16" s="12">
        <f t="shared" si="12"/>
        <v>379191.58620689652</v>
      </c>
      <c r="S16" s="9">
        <f t="shared" si="13"/>
        <v>13312.060689655173</v>
      </c>
      <c r="T16" s="10">
        <f t="shared" si="14"/>
        <v>2071749.1034482757</v>
      </c>
    </row>
    <row r="17" spans="1:20" x14ac:dyDescent="0.25">
      <c r="A17" s="8">
        <v>6</v>
      </c>
      <c r="B17" s="8" t="s">
        <v>33</v>
      </c>
      <c r="C17" s="9">
        <f>+'Jan &amp; Feb Cycle Billing - Water'!B28</f>
        <v>61487.31</v>
      </c>
      <c r="D17" s="167">
        <f>+'Jan &amp; Feb Cycle Billing - Water'!C28</f>
        <v>11104528</v>
      </c>
      <c r="E17" s="9">
        <f>+'Jan &amp; Feb Cycle Billing - Sewer'!B28</f>
        <v>181.51</v>
      </c>
      <c r="F17" s="167">
        <f>+'Jan &amp; Feb Cycle Billing - Sewer'!C28</f>
        <v>33108</v>
      </c>
      <c r="G17" s="9">
        <f t="shared" si="15"/>
        <v>61668.82</v>
      </c>
      <c r="H17" s="10">
        <f t="shared" si="16"/>
        <v>11137636</v>
      </c>
      <c r="I17" s="64">
        <f>+'Jan &amp; Feb Cycle Billing - Water'!D28</f>
        <v>45329</v>
      </c>
      <c r="J17" s="64">
        <f>+'Jan &amp; Feb Cycle Billing - Water'!E28</f>
        <v>45289</v>
      </c>
      <c r="K17" s="64">
        <f>+'Jan &amp; Feb Cycle Billing - Water'!F28</f>
        <v>45320</v>
      </c>
      <c r="L17" s="31">
        <f t="shared" ref="L17" si="18">+$L$3-J17</f>
        <v>2</v>
      </c>
      <c r="M17" s="13">
        <f t="shared" si="6"/>
        <v>31</v>
      </c>
      <c r="N17" s="14">
        <f t="shared" si="7"/>
        <v>6.4516129032258063E-2</v>
      </c>
      <c r="O17" s="1">
        <f t="shared" si="10"/>
        <v>3966.9232258064512</v>
      </c>
      <c r="P17" s="12">
        <f t="shared" si="11"/>
        <v>716421.16129032255</v>
      </c>
      <c r="Q17" s="1">
        <f t="shared" si="17"/>
        <v>11.71032258064516</v>
      </c>
      <c r="R17" s="12">
        <f t="shared" si="12"/>
        <v>2136</v>
      </c>
      <c r="S17" s="9">
        <f t="shared" si="13"/>
        <v>3978.6335483870962</v>
      </c>
      <c r="T17" s="10">
        <f t="shared" si="14"/>
        <v>718557.16129032255</v>
      </c>
    </row>
    <row r="18" spans="1:20" x14ac:dyDescent="0.25">
      <c r="A18" s="8"/>
      <c r="B18" s="8"/>
      <c r="C18" s="9"/>
      <c r="D18" s="167"/>
      <c r="E18" s="9"/>
      <c r="F18" s="167"/>
      <c r="G18" s="9"/>
      <c r="H18" s="10"/>
      <c r="I18" s="64"/>
      <c r="J18" s="64"/>
      <c r="K18" s="64"/>
      <c r="L18" s="31"/>
      <c r="M18" s="13"/>
      <c r="N18" s="14"/>
      <c r="O18" s="1"/>
      <c r="P18" s="12"/>
      <c r="Q18" s="1"/>
      <c r="R18" s="12"/>
      <c r="S18" s="9"/>
      <c r="T18" s="10"/>
    </row>
    <row r="19" spans="1:20" ht="15.75" thickBot="1" x14ac:dyDescent="0.3">
      <c r="A19" s="8" t="s">
        <v>14</v>
      </c>
      <c r="B19" s="8"/>
      <c r="C19" s="15">
        <f t="shared" ref="C19:H19" si="19">SUM(C6:C18)</f>
        <v>1603820.4300000002</v>
      </c>
      <c r="D19" s="16">
        <f t="shared" si="19"/>
        <v>294908497</v>
      </c>
      <c r="E19" s="15">
        <f t="shared" si="19"/>
        <v>645870.40000000014</v>
      </c>
      <c r="F19" s="16">
        <f t="shared" si="19"/>
        <v>144778703</v>
      </c>
      <c r="G19" s="15">
        <f t="shared" si="19"/>
        <v>2249690.83</v>
      </c>
      <c r="H19" s="16">
        <f t="shared" si="19"/>
        <v>439687200</v>
      </c>
      <c r="O19" s="146">
        <f t="shared" ref="O19:T19" si="20">SUM(O6:O18)</f>
        <v>1021861.8785485725</v>
      </c>
      <c r="P19" s="147">
        <f t="shared" si="20"/>
        <v>187103832.08767149</v>
      </c>
      <c r="Q19" s="146">
        <f t="shared" si="20"/>
        <v>411567.14620022249</v>
      </c>
      <c r="R19" s="147">
        <f t="shared" si="20"/>
        <v>92433978.692658514</v>
      </c>
      <c r="S19" s="15">
        <f t="shared" si="20"/>
        <v>1433429.0247487947</v>
      </c>
      <c r="T19" s="16">
        <f t="shared" si="20"/>
        <v>279537810.78033</v>
      </c>
    </row>
    <row r="20" spans="1:20" ht="16.5" thickTop="1" thickBot="1" x14ac:dyDescent="0.3">
      <c r="A20" s="8"/>
      <c r="B20" s="8"/>
      <c r="C20" s="169">
        <f>+C19-'Jan &amp; Feb Cycle Billing - Water'!B38</f>
        <v>0</v>
      </c>
      <c r="D20" s="169">
        <f>+D19-'Jan &amp; Feb Cycle Billing - Water'!C38</f>
        <v>0</v>
      </c>
      <c r="E20" s="169">
        <f>+E19-'Jan &amp; Feb Cycle Billing - Sewer'!B38</f>
        <v>0</v>
      </c>
      <c r="F20" s="170">
        <f>+F19-'Jan &amp; Feb Cycle Billing - Sewer'!C38</f>
        <v>0</v>
      </c>
      <c r="G20" s="169">
        <f>+G19-'Jan &amp; Feb Cycle Billing - Water'!B38-'Jan &amp; Feb Cycle Billing - Sewer'!B38</f>
        <v>0</v>
      </c>
      <c r="H20" s="170">
        <f>+H19-'Jan &amp; Feb Cycle Billing - Water'!C38-'Jan &amp; Feb Cycle Billing - Sewer'!C38</f>
        <v>0</v>
      </c>
      <c r="O20" s="1"/>
      <c r="S20" s="142"/>
      <c r="T20" s="10"/>
    </row>
    <row r="21" spans="1:20" ht="15.75" thickBot="1" x14ac:dyDescent="0.3">
      <c r="A21" s="8"/>
      <c r="B21" s="8"/>
      <c r="C21" s="142"/>
      <c r="D21" s="142"/>
      <c r="E21" s="142"/>
      <c r="F21" s="10"/>
      <c r="G21" s="142"/>
      <c r="H21" s="10"/>
      <c r="K21" s="183"/>
      <c r="L21" s="184"/>
      <c r="M21" s="184"/>
      <c r="N21" s="184"/>
      <c r="O21" s="184"/>
      <c r="P21" s="184"/>
      <c r="Q21" s="184"/>
      <c r="R21" s="185"/>
      <c r="S21" s="142"/>
      <c r="T21" s="10"/>
    </row>
    <row r="22" spans="1:20" x14ac:dyDescent="0.25">
      <c r="C22" s="1"/>
      <c r="K22" s="148" t="s">
        <v>80</v>
      </c>
      <c r="L22" s="149"/>
      <c r="M22" s="150" t="s">
        <v>81</v>
      </c>
      <c r="N22" s="150" t="s">
        <v>82</v>
      </c>
      <c r="O22" s="151"/>
      <c r="P22" s="152"/>
      <c r="Q22" s="151"/>
      <c r="R22" s="153"/>
    </row>
    <row r="23" spans="1:20" x14ac:dyDescent="0.25">
      <c r="K23" s="154" t="s">
        <v>50</v>
      </c>
      <c r="M23" s="171">
        <f>+M43</f>
        <v>0.62948693149326729</v>
      </c>
      <c r="N23" s="155"/>
      <c r="O23" s="1">
        <f>+O19*M23</f>
        <v>643248.69833748671</v>
      </c>
      <c r="P23" s="99">
        <f>+P19*N23</f>
        <v>0</v>
      </c>
      <c r="R23" s="156"/>
    </row>
    <row r="24" spans="1:20" x14ac:dyDescent="0.25">
      <c r="E24" s="1"/>
      <c r="F24" s="21"/>
      <c r="K24" s="154" t="s">
        <v>51</v>
      </c>
      <c r="M24" s="171">
        <f>1-M23</f>
        <v>0.37051306850673271</v>
      </c>
      <c r="N24" s="155"/>
      <c r="O24" s="1">
        <f>+O19-O23</f>
        <v>378613.18021108583</v>
      </c>
      <c r="P24" s="99">
        <f>+P19-P23</f>
        <v>187103832.08767149</v>
      </c>
      <c r="R24" s="156"/>
    </row>
    <row r="25" spans="1:20" x14ac:dyDescent="0.25">
      <c r="K25" s="154"/>
      <c r="M25" s="155"/>
      <c r="N25" s="155"/>
      <c r="O25" s="1"/>
      <c r="P25" s="99"/>
      <c r="R25" s="156"/>
    </row>
    <row r="26" spans="1:20" x14ac:dyDescent="0.25">
      <c r="K26" s="157" t="s">
        <v>83</v>
      </c>
      <c r="L26" s="27"/>
      <c r="M26" s="158" t="s">
        <v>81</v>
      </c>
      <c r="N26" s="158" t="s">
        <v>82</v>
      </c>
      <c r="R26" s="156"/>
    </row>
    <row r="27" spans="1:20" x14ac:dyDescent="0.25">
      <c r="K27" s="154" t="s">
        <v>50</v>
      </c>
      <c r="M27" s="171">
        <f>+M55</f>
        <v>0.42416198782946274</v>
      </c>
      <c r="N27" s="155"/>
      <c r="O27" s="1"/>
      <c r="P27" s="99"/>
      <c r="Q27" s="1">
        <f>+Q19*M27</f>
        <v>174571.13885758549</v>
      </c>
      <c r="R27" s="159">
        <f>+R19*N27</f>
        <v>0</v>
      </c>
    </row>
    <row r="28" spans="1:20" x14ac:dyDescent="0.25">
      <c r="K28" s="154" t="s">
        <v>51</v>
      </c>
      <c r="M28" s="171">
        <f>1-M27</f>
        <v>0.57583801217053732</v>
      </c>
      <c r="N28" s="155"/>
      <c r="O28" s="1"/>
      <c r="P28" s="99"/>
      <c r="Q28" s="1">
        <f>+Q19-Q27</f>
        <v>236996.00734263699</v>
      </c>
      <c r="R28" s="159">
        <f>+R19-R27</f>
        <v>92433978.692658514</v>
      </c>
    </row>
    <row r="29" spans="1:20" x14ac:dyDescent="0.25">
      <c r="K29" s="154"/>
      <c r="M29" s="155"/>
      <c r="N29" s="155"/>
      <c r="O29" s="1"/>
      <c r="P29" s="99"/>
      <c r="Q29" s="1"/>
      <c r="R29" s="159"/>
    </row>
    <row r="30" spans="1:20" ht="15.75" thickBot="1" x14ac:dyDescent="0.3">
      <c r="K30" s="154" t="s">
        <v>2</v>
      </c>
      <c r="O30" s="143">
        <f>SUM(O23:O28)</f>
        <v>1021861.8785485725</v>
      </c>
      <c r="P30" s="144">
        <f>SUM(P23:P28)</f>
        <v>187103832.08767149</v>
      </c>
      <c r="Q30" s="143">
        <f>SUM(Q23:Q28)</f>
        <v>411567.14620022249</v>
      </c>
      <c r="R30" s="160">
        <f>SUM(R23:R28)</f>
        <v>92433978.692658514</v>
      </c>
    </row>
    <row r="31" spans="1:20" ht="16.5" thickTop="1" thickBot="1" x14ac:dyDescent="0.3">
      <c r="K31" s="161"/>
      <c r="L31" s="162"/>
      <c r="M31" s="162"/>
      <c r="N31" s="162"/>
      <c r="O31" s="162"/>
      <c r="P31" s="162"/>
      <c r="Q31" s="162"/>
      <c r="R31" s="163"/>
    </row>
    <row r="33" spans="11:15" x14ac:dyDescent="0.25">
      <c r="K33" s="29" t="s">
        <v>97</v>
      </c>
      <c r="L33" s="22" t="s">
        <v>96</v>
      </c>
      <c r="M33" s="22" t="s">
        <v>94</v>
      </c>
      <c r="N33" s="22" t="s">
        <v>95</v>
      </c>
      <c r="O33" s="22" t="s">
        <v>2</v>
      </c>
    </row>
    <row r="34" spans="11:15" x14ac:dyDescent="0.25">
      <c r="K34" t="s">
        <v>86</v>
      </c>
      <c r="L34" s="19">
        <v>10121995</v>
      </c>
      <c r="M34" s="17">
        <f>+L34</f>
        <v>10121995</v>
      </c>
      <c r="O34" s="17">
        <f t="shared" ref="O34:O42" si="21">SUM(M34:N34)</f>
        <v>10121995</v>
      </c>
    </row>
    <row r="35" spans="11:15" x14ac:dyDescent="0.25">
      <c r="K35" t="s">
        <v>87</v>
      </c>
      <c r="L35" s="19">
        <v>2805185</v>
      </c>
      <c r="N35" s="17">
        <f>+L35</f>
        <v>2805185</v>
      </c>
      <c r="O35" s="17">
        <f t="shared" si="21"/>
        <v>2805185</v>
      </c>
    </row>
    <row r="36" spans="11:15" x14ac:dyDescent="0.25">
      <c r="K36" t="s">
        <v>88</v>
      </c>
      <c r="L36" s="19">
        <v>2971463</v>
      </c>
      <c r="N36" s="17">
        <f>+L36</f>
        <v>2971463</v>
      </c>
      <c r="O36" s="17">
        <f t="shared" si="21"/>
        <v>2971463</v>
      </c>
    </row>
    <row r="37" spans="11:15" x14ac:dyDescent="0.25">
      <c r="K37" t="s">
        <v>89</v>
      </c>
      <c r="L37" s="19">
        <v>20811</v>
      </c>
      <c r="N37" s="17">
        <f>+L37</f>
        <v>20811</v>
      </c>
      <c r="O37" s="17">
        <f t="shared" si="21"/>
        <v>20811</v>
      </c>
    </row>
    <row r="38" spans="11:15" x14ac:dyDescent="0.25">
      <c r="K38" t="s">
        <v>90</v>
      </c>
      <c r="L38" s="19">
        <v>0</v>
      </c>
      <c r="O38" s="17">
        <f t="shared" si="21"/>
        <v>0</v>
      </c>
    </row>
    <row r="39" spans="11:15" x14ac:dyDescent="0.25">
      <c r="K39" t="s">
        <v>91</v>
      </c>
      <c r="L39" s="19">
        <v>0</v>
      </c>
      <c r="O39" s="17">
        <f t="shared" si="21"/>
        <v>0</v>
      </c>
    </row>
    <row r="40" spans="11:15" x14ac:dyDescent="0.25">
      <c r="K40" t="s">
        <v>92</v>
      </c>
      <c r="L40" s="19">
        <v>161466</v>
      </c>
      <c r="N40" s="17">
        <f>+L40</f>
        <v>161466</v>
      </c>
      <c r="O40" s="17">
        <f t="shared" si="21"/>
        <v>161466</v>
      </c>
    </row>
    <row r="41" spans="11:15" x14ac:dyDescent="0.25">
      <c r="K41" t="s">
        <v>93</v>
      </c>
      <c r="L41" s="19">
        <v>1981</v>
      </c>
      <c r="M41" s="17">
        <f>+L41</f>
        <v>1981</v>
      </c>
      <c r="O41" s="17">
        <f t="shared" si="21"/>
        <v>1981</v>
      </c>
    </row>
    <row r="42" spans="11:15" ht="15.75" thickBot="1" x14ac:dyDescent="0.3">
      <c r="L42" s="144">
        <f>SUM(L34:L41)</f>
        <v>16082901</v>
      </c>
      <c r="M42" s="173">
        <f>SUM(M34:M41)</f>
        <v>10123976</v>
      </c>
      <c r="N42" s="173">
        <f>SUM(N34:N41)</f>
        <v>5958925</v>
      </c>
      <c r="O42" s="173">
        <f t="shared" si="21"/>
        <v>16082901</v>
      </c>
    </row>
    <row r="43" spans="11:15" ht="15.75" thickTop="1" x14ac:dyDescent="0.25">
      <c r="M43" s="172">
        <f>+M42/O42</f>
        <v>0.62948693149326729</v>
      </c>
      <c r="N43" s="172">
        <f>+N42/O42</f>
        <v>0.37051306850673271</v>
      </c>
      <c r="O43" s="17">
        <f>+O42-M42-N42</f>
        <v>0</v>
      </c>
    </row>
    <row r="45" spans="11:15" x14ac:dyDescent="0.25">
      <c r="K45" s="29" t="s">
        <v>98</v>
      </c>
      <c r="L45" s="22" t="s">
        <v>96</v>
      </c>
      <c r="M45" s="22" t="s">
        <v>94</v>
      </c>
      <c r="N45" s="22" t="s">
        <v>95</v>
      </c>
      <c r="O45" s="22" t="s">
        <v>2</v>
      </c>
    </row>
    <row r="46" spans="11:15" x14ac:dyDescent="0.25">
      <c r="K46" t="s">
        <v>86</v>
      </c>
      <c r="L46" s="19">
        <v>2606268</v>
      </c>
      <c r="M46" s="17">
        <f>+L46</f>
        <v>2606268</v>
      </c>
      <c r="O46" s="17">
        <f t="shared" ref="O46:O54" si="22">SUM(M46:N46)</f>
        <v>2606268</v>
      </c>
    </row>
    <row r="47" spans="11:15" x14ac:dyDescent="0.25">
      <c r="K47" t="s">
        <v>87</v>
      </c>
      <c r="L47" s="19">
        <v>847443</v>
      </c>
      <c r="N47" s="17">
        <f>+L47</f>
        <v>847443</v>
      </c>
      <c r="O47" s="17">
        <f t="shared" si="22"/>
        <v>847443</v>
      </c>
    </row>
    <row r="48" spans="11:15" x14ac:dyDescent="0.25">
      <c r="K48" t="s">
        <v>88</v>
      </c>
      <c r="L48" s="19">
        <v>2690800</v>
      </c>
      <c r="N48" s="17">
        <f>+L48</f>
        <v>2690800</v>
      </c>
      <c r="O48" s="17">
        <f t="shared" si="22"/>
        <v>2690800</v>
      </c>
    </row>
    <row r="49" spans="11:15" x14ac:dyDescent="0.25">
      <c r="K49" t="s">
        <v>89</v>
      </c>
      <c r="L49" s="19">
        <v>0</v>
      </c>
      <c r="N49" s="17">
        <f>+L49</f>
        <v>0</v>
      </c>
      <c r="O49" s="17">
        <f t="shared" si="22"/>
        <v>0</v>
      </c>
    </row>
    <row r="50" spans="11:15" x14ac:dyDescent="0.25">
      <c r="K50" t="s">
        <v>90</v>
      </c>
      <c r="L50" s="19">
        <v>0</v>
      </c>
      <c r="O50" s="17">
        <f t="shared" si="22"/>
        <v>0</v>
      </c>
    </row>
    <row r="51" spans="11:15" x14ac:dyDescent="0.25">
      <c r="K51" t="s">
        <v>91</v>
      </c>
      <c r="L51" s="19">
        <v>0</v>
      </c>
      <c r="O51" s="17">
        <f t="shared" si="22"/>
        <v>0</v>
      </c>
    </row>
    <row r="52" spans="11:15" x14ac:dyDescent="0.25">
      <c r="K52" t="s">
        <v>92</v>
      </c>
      <c r="L52" s="19">
        <v>0</v>
      </c>
      <c r="N52" s="17">
        <f>+L52</f>
        <v>0</v>
      </c>
      <c r="O52" s="17">
        <f t="shared" si="22"/>
        <v>0</v>
      </c>
    </row>
    <row r="53" spans="11:15" x14ac:dyDescent="0.25">
      <c r="K53" t="s">
        <v>93</v>
      </c>
      <c r="L53" s="19">
        <v>0</v>
      </c>
      <c r="M53" s="17">
        <f>+L53</f>
        <v>0</v>
      </c>
      <c r="O53" s="17">
        <f t="shared" si="22"/>
        <v>0</v>
      </c>
    </row>
    <row r="54" spans="11:15" ht="15.75" thickBot="1" x14ac:dyDescent="0.3">
      <c r="L54" s="144">
        <f>SUM(L46:L53)</f>
        <v>6144511</v>
      </c>
      <c r="M54" s="173">
        <f>SUM(M46:M53)</f>
        <v>2606268</v>
      </c>
      <c r="N54" s="173">
        <f>SUM(N46:N53)</f>
        <v>3538243</v>
      </c>
      <c r="O54" s="173">
        <f t="shared" si="22"/>
        <v>6144511</v>
      </c>
    </row>
    <row r="55" spans="11:15" ht="15.75" thickTop="1" x14ac:dyDescent="0.25">
      <c r="M55" s="172">
        <f>+M54/O54</f>
        <v>0.42416198782946274</v>
      </c>
      <c r="N55" s="172">
        <f>+N54/O54</f>
        <v>0.57583801217053721</v>
      </c>
      <c r="O55" s="17">
        <f>+O54-M54-N54</f>
        <v>0</v>
      </c>
    </row>
  </sheetData>
  <mergeCells count="10">
    <mergeCell ref="A3:K3"/>
    <mergeCell ref="C4:D4"/>
    <mergeCell ref="E4:F4"/>
    <mergeCell ref="G4:H4"/>
    <mergeCell ref="J4:K4"/>
    <mergeCell ref="Q4:R4"/>
    <mergeCell ref="S4:T4"/>
    <mergeCell ref="K21:R21"/>
    <mergeCell ref="O4:P4"/>
    <mergeCell ref="A14:K14"/>
  </mergeCells>
  <pageMargins left="0.45" right="0.45" top="0.75" bottom="0.75" header="0.3" footer="0.3"/>
  <pageSetup paperSize="5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9"/>
  <sheetViews>
    <sheetView zoomScale="85" workbookViewId="0">
      <selection activeCell="A27" sqref="A27:N27"/>
    </sheetView>
  </sheetViews>
  <sheetFormatPr defaultRowHeight="15" x14ac:dyDescent="0.25"/>
  <cols>
    <col min="1" max="1" width="12.140625" customWidth="1"/>
    <col min="3" max="3" width="11.140625" customWidth="1"/>
    <col min="4" max="4" width="16.28515625" customWidth="1"/>
    <col min="5" max="5" width="17" customWidth="1"/>
    <col min="6" max="6" width="15" customWidth="1"/>
    <col min="8" max="8" width="14.5703125" customWidth="1"/>
    <col min="9" max="9" width="16.7109375" customWidth="1"/>
    <col min="10" max="10" width="13" customWidth="1"/>
    <col min="12" max="12" width="9.5703125" bestFit="1" customWidth="1"/>
    <col min="16" max="16" width="11.7109375" bestFit="1" customWidth="1"/>
  </cols>
  <sheetData>
    <row r="1" spans="1:14" ht="15.75" thickBot="1" x14ac:dyDescent="0.3">
      <c r="D1" s="19"/>
      <c r="E1" s="19"/>
      <c r="H1" s="19"/>
      <c r="I1" s="19"/>
    </row>
    <row r="2" spans="1:14" x14ac:dyDescent="0.25">
      <c r="A2" s="115"/>
      <c r="B2" s="116"/>
      <c r="C2" s="116"/>
      <c r="D2" s="117"/>
      <c r="E2" s="117"/>
      <c r="F2" s="116"/>
      <c r="G2" s="116"/>
      <c r="H2" s="117"/>
      <c r="I2" s="117"/>
      <c r="J2" s="116"/>
      <c r="K2" s="116"/>
      <c r="L2" s="116"/>
      <c r="M2" s="116"/>
      <c r="N2" s="118"/>
    </row>
    <row r="3" spans="1:14" x14ac:dyDescent="0.25">
      <c r="A3" s="188" t="s">
        <v>69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1:14" x14ac:dyDescent="0.25">
      <c r="A4" s="188" t="s">
        <v>70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1:14" x14ac:dyDescent="0.25">
      <c r="A5" s="188" t="s">
        <v>102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90"/>
    </row>
    <row r="6" spans="1:14" x14ac:dyDescent="0.25">
      <c r="A6" s="119"/>
      <c r="B6" s="18"/>
      <c r="C6" s="18"/>
      <c r="D6" s="120"/>
      <c r="E6" s="120"/>
      <c r="F6" s="18"/>
      <c r="G6" s="18"/>
      <c r="H6" s="120"/>
      <c r="I6" s="120"/>
      <c r="J6" s="18"/>
      <c r="K6" s="18"/>
      <c r="L6" s="18"/>
      <c r="M6" s="18"/>
      <c r="N6" s="121"/>
    </row>
    <row r="7" spans="1:14" ht="17.25" x14ac:dyDescent="0.4">
      <c r="A7" s="122" t="s">
        <v>9</v>
      </c>
      <c r="B7" s="191" t="s">
        <v>71</v>
      </c>
      <c r="C7" s="191"/>
      <c r="D7" s="192" t="s">
        <v>8</v>
      </c>
      <c r="E7" s="192"/>
      <c r="F7" s="192"/>
      <c r="G7" s="18"/>
      <c r="H7" s="192" t="s">
        <v>72</v>
      </c>
      <c r="I7" s="192"/>
      <c r="J7" s="192"/>
      <c r="K7" s="123"/>
      <c r="L7" s="18"/>
      <c r="M7" s="18"/>
      <c r="N7" s="121"/>
    </row>
    <row r="8" spans="1:14" ht="17.25" x14ac:dyDescent="0.4">
      <c r="A8" s="124" t="s">
        <v>73</v>
      </c>
      <c r="B8" s="125" t="s">
        <v>18</v>
      </c>
      <c r="C8" s="125" t="s">
        <v>19</v>
      </c>
      <c r="D8" s="123" t="s">
        <v>74</v>
      </c>
      <c r="E8" s="123" t="s">
        <v>75</v>
      </c>
      <c r="F8" s="126" t="s">
        <v>76</v>
      </c>
      <c r="G8" s="18"/>
      <c r="H8" s="123" t="s">
        <v>74</v>
      </c>
      <c r="I8" s="123" t="s">
        <v>75</v>
      </c>
      <c r="J8" s="126" t="s">
        <v>76</v>
      </c>
      <c r="K8" s="126"/>
      <c r="L8" s="18"/>
      <c r="M8" s="18"/>
      <c r="N8" s="121"/>
    </row>
    <row r="9" spans="1:14" x14ac:dyDescent="0.25">
      <c r="A9" s="127">
        <v>44927</v>
      </c>
      <c r="B9" s="128">
        <v>44895</v>
      </c>
      <c r="C9" s="128">
        <v>44925</v>
      </c>
      <c r="D9" s="120">
        <v>0</v>
      </c>
      <c r="E9" s="120">
        <v>272922000</v>
      </c>
      <c r="F9" s="129">
        <f>+D9-E9</f>
        <v>-272922000</v>
      </c>
      <c r="G9" s="18"/>
      <c r="H9" s="130">
        <v>0</v>
      </c>
      <c r="I9" s="130">
        <v>638976</v>
      </c>
      <c r="J9" s="130">
        <f>+H9-I9</f>
        <v>-638976</v>
      </c>
      <c r="K9" s="131" t="s">
        <v>77</v>
      </c>
      <c r="L9" s="132">
        <f>+I9/E9*1000</f>
        <v>2.3412403543869678</v>
      </c>
      <c r="M9" s="18" t="s">
        <v>78</v>
      </c>
      <c r="N9" s="121"/>
    </row>
    <row r="10" spans="1:14" x14ac:dyDescent="0.25">
      <c r="A10" s="127">
        <v>44958</v>
      </c>
      <c r="B10" s="128">
        <f>C9</f>
        <v>44925</v>
      </c>
      <c r="C10" s="128">
        <v>44957</v>
      </c>
      <c r="D10" s="120">
        <v>277398000</v>
      </c>
      <c r="E10" s="120">
        <f>+D10</f>
        <v>277398000</v>
      </c>
      <c r="F10" s="129">
        <f t="shared" ref="F10:F21" si="0">+D10-E10</f>
        <v>0</v>
      </c>
      <c r="G10" s="18"/>
      <c r="H10" s="120">
        <v>649267.68000000005</v>
      </c>
      <c r="I10" s="120">
        <f>+H10</f>
        <v>649267.68000000005</v>
      </c>
      <c r="J10" s="120">
        <f t="shared" ref="J10:J21" si="1">+H10-I10</f>
        <v>0</v>
      </c>
      <c r="K10" s="120"/>
      <c r="L10" s="132">
        <f t="shared" ref="L10:L20" si="2">+I10/E10*1000</f>
        <v>2.3405636666450373</v>
      </c>
      <c r="M10" s="18"/>
      <c r="N10" s="121"/>
    </row>
    <row r="11" spans="1:14" x14ac:dyDescent="0.25">
      <c r="A11" s="127">
        <v>44986</v>
      </c>
      <c r="B11" s="128">
        <f t="shared" ref="B11:B21" si="3">C10</f>
        <v>44957</v>
      </c>
      <c r="C11" s="128">
        <v>44985</v>
      </c>
      <c r="D11" s="120">
        <v>235514000</v>
      </c>
      <c r="E11" s="120">
        <f t="shared" ref="E11:E20" si="4">+D11</f>
        <v>235514000</v>
      </c>
      <c r="F11" s="129">
        <f t="shared" si="0"/>
        <v>0</v>
      </c>
      <c r="G11" s="18"/>
      <c r="H11" s="120">
        <v>551050.05000000005</v>
      </c>
      <c r="I11" s="120">
        <f t="shared" ref="I11:I20" si="5">+H11</f>
        <v>551050.05000000005</v>
      </c>
      <c r="J11" s="120">
        <f t="shared" si="1"/>
        <v>0</v>
      </c>
      <c r="K11" s="120"/>
      <c r="L11" s="132">
        <f t="shared" si="2"/>
        <v>2.3397761916489044</v>
      </c>
      <c r="M11" s="18"/>
      <c r="N11" s="121"/>
    </row>
    <row r="12" spans="1:14" x14ac:dyDescent="0.25">
      <c r="A12" s="127">
        <v>45017</v>
      </c>
      <c r="B12" s="128">
        <f t="shared" si="3"/>
        <v>44985</v>
      </c>
      <c r="C12" s="128">
        <v>45016</v>
      </c>
      <c r="D12" s="120">
        <v>260140000</v>
      </c>
      <c r="E12" s="120">
        <f t="shared" si="4"/>
        <v>260140000</v>
      </c>
      <c r="F12" s="129">
        <f t="shared" si="0"/>
        <v>0</v>
      </c>
      <c r="G12" s="18"/>
      <c r="H12" s="120">
        <v>608804.25</v>
      </c>
      <c r="I12" s="120">
        <f t="shared" si="5"/>
        <v>608804.25</v>
      </c>
      <c r="J12" s="120">
        <f t="shared" si="1"/>
        <v>0</v>
      </c>
      <c r="K12" s="120"/>
      <c r="L12" s="132">
        <f t="shared" si="2"/>
        <v>2.3402946490351346</v>
      </c>
      <c r="M12" s="18"/>
      <c r="N12" s="121"/>
    </row>
    <row r="13" spans="1:14" x14ac:dyDescent="0.25">
      <c r="A13" s="127">
        <v>45047</v>
      </c>
      <c r="B13" s="128">
        <f>C12</f>
        <v>45016</v>
      </c>
      <c r="C13" s="128">
        <v>45044</v>
      </c>
      <c r="D13" s="120">
        <v>241883000</v>
      </c>
      <c r="E13" s="120">
        <f t="shared" si="4"/>
        <v>241883000</v>
      </c>
      <c r="F13" s="129">
        <f t="shared" si="0"/>
        <v>0</v>
      </c>
      <c r="G13" s="18"/>
      <c r="H13" s="120">
        <v>565991.89</v>
      </c>
      <c r="I13" s="120">
        <f t="shared" si="5"/>
        <v>565991.89</v>
      </c>
      <c r="J13" s="120">
        <f t="shared" si="1"/>
        <v>0</v>
      </c>
      <c r="K13" s="120"/>
      <c r="L13" s="132">
        <f t="shared" si="2"/>
        <v>2.3399407564814396</v>
      </c>
      <c r="M13" s="18"/>
      <c r="N13" s="121"/>
    </row>
    <row r="14" spans="1:14" x14ac:dyDescent="0.25">
      <c r="A14" s="127">
        <v>45078</v>
      </c>
      <c r="B14" s="128">
        <f t="shared" si="3"/>
        <v>45044</v>
      </c>
      <c r="C14" s="128">
        <v>45077</v>
      </c>
      <c r="D14" s="120">
        <v>317898000</v>
      </c>
      <c r="E14" s="120">
        <f t="shared" si="4"/>
        <v>317898000</v>
      </c>
      <c r="F14" s="129">
        <f t="shared" si="0"/>
        <v>0</v>
      </c>
      <c r="G14" s="18"/>
      <c r="H14" s="120">
        <v>743617.97</v>
      </c>
      <c r="I14" s="120">
        <f t="shared" si="5"/>
        <v>743617.97</v>
      </c>
      <c r="J14" s="120">
        <f t="shared" si="1"/>
        <v>0</v>
      </c>
      <c r="K14" s="120"/>
      <c r="L14" s="132">
        <f t="shared" si="2"/>
        <v>2.3391715896293781</v>
      </c>
      <c r="M14" s="18"/>
      <c r="N14" s="121"/>
    </row>
    <row r="15" spans="1:14" x14ac:dyDescent="0.25">
      <c r="A15" s="127">
        <v>45108</v>
      </c>
      <c r="B15" s="128">
        <f t="shared" si="3"/>
        <v>45077</v>
      </c>
      <c r="C15" s="128">
        <v>45107</v>
      </c>
      <c r="D15" s="120">
        <v>338561000</v>
      </c>
      <c r="E15" s="120">
        <f t="shared" si="4"/>
        <v>338561000</v>
      </c>
      <c r="F15" s="129">
        <f t="shared" si="0"/>
        <v>0</v>
      </c>
      <c r="G15" s="18"/>
      <c r="H15" s="120">
        <v>791217.4</v>
      </c>
      <c r="I15" s="120">
        <f t="shared" si="5"/>
        <v>791217.4</v>
      </c>
      <c r="J15" s="120">
        <f t="shared" si="1"/>
        <v>0</v>
      </c>
      <c r="K15" s="120"/>
      <c r="L15" s="132">
        <f t="shared" si="2"/>
        <v>2.3370010131113745</v>
      </c>
      <c r="M15" s="18"/>
      <c r="N15" s="121"/>
    </row>
    <row r="16" spans="1:14" x14ac:dyDescent="0.25">
      <c r="A16" s="127">
        <v>45139</v>
      </c>
      <c r="B16" s="128">
        <f t="shared" si="3"/>
        <v>45107</v>
      </c>
      <c r="C16" s="128">
        <v>45138</v>
      </c>
      <c r="D16" s="120">
        <v>321949000</v>
      </c>
      <c r="E16" s="120">
        <f t="shared" si="4"/>
        <v>321949000</v>
      </c>
      <c r="F16" s="129">
        <f t="shared" si="0"/>
        <v>0</v>
      </c>
      <c r="G16" s="18"/>
      <c r="H16" s="120">
        <v>752776.25</v>
      </c>
      <c r="I16" s="120">
        <f t="shared" si="5"/>
        <v>752776.25</v>
      </c>
      <c r="J16" s="120">
        <f t="shared" si="1"/>
        <v>0</v>
      </c>
      <c r="K16" s="120"/>
      <c r="L16" s="132">
        <f t="shared" si="2"/>
        <v>2.3381847746071585</v>
      </c>
      <c r="M16" s="18"/>
      <c r="N16" s="121"/>
    </row>
    <row r="17" spans="1:16" x14ac:dyDescent="0.25">
      <c r="A17" s="127">
        <v>45170</v>
      </c>
      <c r="B17" s="128">
        <f t="shared" si="3"/>
        <v>45138</v>
      </c>
      <c r="C17" s="128">
        <v>45169</v>
      </c>
      <c r="D17" s="120">
        <v>330434000</v>
      </c>
      <c r="E17" s="120">
        <f t="shared" si="4"/>
        <v>330434000</v>
      </c>
      <c r="F17" s="129">
        <f t="shared" si="0"/>
        <v>0</v>
      </c>
      <c r="G17" s="18"/>
      <c r="H17" s="120">
        <v>772512.67</v>
      </c>
      <c r="I17" s="120">
        <f t="shared" si="5"/>
        <v>772512.67</v>
      </c>
      <c r="J17" s="120">
        <f t="shared" si="1"/>
        <v>0</v>
      </c>
      <c r="K17" s="120"/>
      <c r="L17" s="132">
        <f t="shared" si="2"/>
        <v>2.3378728278566978</v>
      </c>
      <c r="M17" s="18"/>
      <c r="N17" s="121"/>
    </row>
    <row r="18" spans="1:16" x14ac:dyDescent="0.25">
      <c r="A18" s="127">
        <v>45200</v>
      </c>
      <c r="B18" s="128">
        <f t="shared" si="3"/>
        <v>45169</v>
      </c>
      <c r="C18" s="128">
        <v>45198</v>
      </c>
      <c r="D18" s="120">
        <v>314903000</v>
      </c>
      <c r="E18" s="120">
        <f t="shared" si="4"/>
        <v>314903000</v>
      </c>
      <c r="F18" s="129">
        <f t="shared" si="0"/>
        <v>0</v>
      </c>
      <c r="G18" s="18"/>
      <c r="H18" s="120">
        <v>736180.45</v>
      </c>
      <c r="I18" s="120">
        <f t="shared" si="5"/>
        <v>736180.45</v>
      </c>
      <c r="J18" s="120">
        <f t="shared" si="1"/>
        <v>0</v>
      </c>
      <c r="K18" s="120"/>
      <c r="L18" s="132">
        <f t="shared" si="2"/>
        <v>2.3378006878308559</v>
      </c>
      <c r="M18" s="18"/>
      <c r="N18" s="121"/>
    </row>
    <row r="19" spans="1:16" x14ac:dyDescent="0.25">
      <c r="A19" s="127">
        <v>45231</v>
      </c>
      <c r="B19" s="128">
        <f t="shared" si="3"/>
        <v>45198</v>
      </c>
      <c r="C19" s="128">
        <v>45230</v>
      </c>
      <c r="D19" s="120">
        <v>305740000</v>
      </c>
      <c r="E19" s="120">
        <f t="shared" si="4"/>
        <v>305740000</v>
      </c>
      <c r="F19" s="129">
        <f t="shared" si="0"/>
        <v>0</v>
      </c>
      <c r="G19" s="129"/>
      <c r="H19" s="120">
        <v>715095.33</v>
      </c>
      <c r="I19" s="120">
        <f t="shared" si="5"/>
        <v>715095.33</v>
      </c>
      <c r="J19" s="120">
        <f t="shared" si="1"/>
        <v>0</v>
      </c>
      <c r="K19" s="120"/>
      <c r="L19" s="132">
        <f t="shared" si="2"/>
        <v>2.3389001439131283</v>
      </c>
      <c r="M19" s="18"/>
      <c r="N19" s="121"/>
    </row>
    <row r="20" spans="1:16" x14ac:dyDescent="0.25">
      <c r="A20" s="127">
        <v>45261</v>
      </c>
      <c r="B20" s="128">
        <f t="shared" si="3"/>
        <v>45230</v>
      </c>
      <c r="C20" s="128">
        <v>45260</v>
      </c>
      <c r="D20" s="120">
        <v>260105000</v>
      </c>
      <c r="E20" s="120">
        <f t="shared" si="4"/>
        <v>260105000</v>
      </c>
      <c r="F20" s="129">
        <f t="shared" si="0"/>
        <v>0</v>
      </c>
      <c r="G20" s="129"/>
      <c r="H20" s="120">
        <v>608805.89</v>
      </c>
      <c r="I20" s="120">
        <f t="shared" si="5"/>
        <v>608805.89</v>
      </c>
      <c r="J20" s="120">
        <f t="shared" si="1"/>
        <v>0</v>
      </c>
      <c r="K20" s="120"/>
      <c r="L20" s="132">
        <f t="shared" si="2"/>
        <v>2.3406158666692298</v>
      </c>
      <c r="M20" s="18"/>
      <c r="N20" s="121"/>
    </row>
    <row r="21" spans="1:16" x14ac:dyDescent="0.25">
      <c r="A21" s="127">
        <v>45292</v>
      </c>
      <c r="B21" s="128">
        <f t="shared" si="3"/>
        <v>45260</v>
      </c>
      <c r="C21" s="128">
        <v>45289</v>
      </c>
      <c r="D21" s="133">
        <v>242185000</v>
      </c>
      <c r="E21" s="133">
        <v>0</v>
      </c>
      <c r="F21" s="134">
        <f t="shared" si="0"/>
        <v>242185000</v>
      </c>
      <c r="G21" s="129"/>
      <c r="H21" s="133">
        <v>566942.96</v>
      </c>
      <c r="I21" s="133">
        <v>0</v>
      </c>
      <c r="J21" s="133">
        <f t="shared" si="1"/>
        <v>566942.96</v>
      </c>
      <c r="K21" s="131"/>
      <c r="L21" s="132">
        <f>+J21/F21*1000</f>
        <v>2.3409499349670706</v>
      </c>
      <c r="M21" s="18"/>
      <c r="N21" s="121"/>
    </row>
    <row r="22" spans="1:16" x14ac:dyDescent="0.25">
      <c r="A22" s="135"/>
      <c r="B22" s="136"/>
      <c r="C22" s="136"/>
      <c r="D22" s="120">
        <f>SUM(D9:D21)</f>
        <v>3446710000</v>
      </c>
      <c r="E22" s="120">
        <f>SUM(E9:E21)</f>
        <v>3477447000</v>
      </c>
      <c r="F22" s="120">
        <f>SUM(F9:F21)</f>
        <v>-30737000</v>
      </c>
      <c r="G22" s="129"/>
      <c r="H22" s="130">
        <f>SUM(H9:H21)</f>
        <v>8062262.79</v>
      </c>
      <c r="I22" s="130">
        <f>SUM(I9:I21)</f>
        <v>8134295.830000001</v>
      </c>
      <c r="J22" s="130">
        <f>SUM(J9:J21)</f>
        <v>-72033.040000000037</v>
      </c>
      <c r="K22" s="129"/>
      <c r="L22" s="18"/>
      <c r="M22" s="18"/>
      <c r="N22" s="121"/>
      <c r="P22" s="20"/>
    </row>
    <row r="23" spans="1:16" ht="15.75" thickBot="1" x14ac:dyDescent="0.3">
      <c r="A23" s="137"/>
      <c r="B23" s="138"/>
      <c r="C23" s="138"/>
      <c r="D23" s="139"/>
      <c r="E23" s="139"/>
      <c r="F23" s="140"/>
      <c r="G23" s="140"/>
      <c r="H23" s="139"/>
      <c r="I23" s="139"/>
      <c r="J23" s="138"/>
      <c r="K23" s="138"/>
      <c r="L23" s="138"/>
      <c r="M23" s="138"/>
      <c r="N23" s="141"/>
    </row>
    <row r="24" spans="1:16" x14ac:dyDescent="0.25">
      <c r="D24" s="17"/>
      <c r="E24" s="17">
        <f>+E22-'[1]Purchased Water Spreadsheet'!AA27</f>
        <v>154139000</v>
      </c>
      <c r="I24" s="145">
        <f>+I22-'[1]Purchased Water Spreadsheet'!AB27</f>
        <v>1837957.3600000022</v>
      </c>
    </row>
    <row r="25" spans="1:16" ht="15.75" thickBot="1" x14ac:dyDescent="0.3"/>
    <row r="26" spans="1:16" x14ac:dyDescent="0.25">
      <c r="A26" s="115"/>
      <c r="B26" s="116"/>
      <c r="C26" s="116"/>
      <c r="D26" s="117"/>
      <c r="E26" s="117"/>
      <c r="F26" s="116"/>
      <c r="G26" s="116"/>
      <c r="H26" s="117"/>
      <c r="I26" s="117"/>
      <c r="J26" s="116"/>
      <c r="K26" s="116"/>
      <c r="L26" s="116"/>
      <c r="M26" s="116"/>
      <c r="N26" s="118"/>
    </row>
    <row r="27" spans="1:16" x14ac:dyDescent="0.25">
      <c r="A27" s="188" t="s">
        <v>79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90"/>
    </row>
    <row r="28" spans="1:16" x14ac:dyDescent="0.25">
      <c r="A28" s="188" t="s">
        <v>70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90"/>
    </row>
    <row r="29" spans="1:16" x14ac:dyDescent="0.25">
      <c r="A29" s="188" t="s">
        <v>102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90"/>
    </row>
    <row r="30" spans="1:16" x14ac:dyDescent="0.25">
      <c r="A30" s="119"/>
      <c r="B30" s="18"/>
      <c r="C30" s="18"/>
      <c r="D30" s="120"/>
      <c r="E30" s="120"/>
      <c r="F30" s="18"/>
      <c r="G30" s="18"/>
      <c r="H30" s="120"/>
      <c r="I30" s="120"/>
      <c r="J30" s="18"/>
      <c r="K30" s="18"/>
      <c r="L30" s="18"/>
      <c r="M30" s="18"/>
      <c r="N30" s="121"/>
    </row>
    <row r="31" spans="1:16" ht="17.25" x14ac:dyDescent="0.4">
      <c r="A31" s="122" t="s">
        <v>9</v>
      </c>
      <c r="B31" s="191" t="s">
        <v>71</v>
      </c>
      <c r="C31" s="191"/>
      <c r="D31" s="192" t="s">
        <v>8</v>
      </c>
      <c r="E31" s="192"/>
      <c r="F31" s="192"/>
      <c r="G31" s="18"/>
      <c r="H31" s="192" t="s">
        <v>72</v>
      </c>
      <c r="I31" s="192"/>
      <c r="J31" s="192"/>
      <c r="K31" s="123"/>
      <c r="L31" s="18"/>
      <c r="M31" s="18"/>
      <c r="N31" s="121"/>
    </row>
    <row r="32" spans="1:16" ht="17.25" x14ac:dyDescent="0.4">
      <c r="A32" s="124" t="s">
        <v>73</v>
      </c>
      <c r="B32" s="125" t="s">
        <v>18</v>
      </c>
      <c r="C32" s="125" t="s">
        <v>19</v>
      </c>
      <c r="D32" s="123" t="s">
        <v>74</v>
      </c>
      <c r="E32" s="123" t="s">
        <v>75</v>
      </c>
      <c r="F32" s="126" t="s">
        <v>76</v>
      </c>
      <c r="G32" s="18"/>
      <c r="H32" s="123" t="s">
        <v>74</v>
      </c>
      <c r="I32" s="123" t="s">
        <v>75</v>
      </c>
      <c r="J32" s="126" t="s">
        <v>76</v>
      </c>
      <c r="K32" s="126"/>
      <c r="L32" s="18"/>
      <c r="M32" s="18"/>
      <c r="N32" s="121"/>
    </row>
    <row r="33" spans="1:14" x14ac:dyDescent="0.25">
      <c r="A33" s="127">
        <f>+A9</f>
        <v>44927</v>
      </c>
      <c r="B33" s="128">
        <f>+B9</f>
        <v>44895</v>
      </c>
      <c r="C33" s="128">
        <f>+C9</f>
        <v>44925</v>
      </c>
      <c r="D33" s="120">
        <v>0</v>
      </c>
      <c r="E33" s="120">
        <v>83164000</v>
      </c>
      <c r="F33" s="129">
        <f>+D33-E33</f>
        <v>-83164000</v>
      </c>
      <c r="G33" s="18"/>
      <c r="H33" s="130">
        <v>0</v>
      </c>
      <c r="I33" s="130">
        <v>260179</v>
      </c>
      <c r="J33" s="130">
        <f>+H33-I33</f>
        <v>-260179</v>
      </c>
      <c r="K33" s="131"/>
      <c r="L33" s="132">
        <f t="shared" ref="L33:L44" si="6">+I33/E33*1000</f>
        <v>3.1285051224087344</v>
      </c>
      <c r="M33" s="18" t="s">
        <v>78</v>
      </c>
      <c r="N33" s="121"/>
    </row>
    <row r="34" spans="1:14" x14ac:dyDescent="0.25">
      <c r="A34" s="127">
        <f t="shared" ref="A34:C45" si="7">+A10</f>
        <v>44958</v>
      </c>
      <c r="B34" s="128">
        <f t="shared" si="7"/>
        <v>44925</v>
      </c>
      <c r="C34" s="128">
        <f t="shared" si="7"/>
        <v>44957</v>
      </c>
      <c r="D34" s="120">
        <v>91152000</v>
      </c>
      <c r="E34" s="120">
        <f>+D34</f>
        <v>91152000</v>
      </c>
      <c r="F34" s="129">
        <f>+D34-E34</f>
        <v>0</v>
      </c>
      <c r="G34" s="18"/>
      <c r="H34" s="120">
        <v>285169</v>
      </c>
      <c r="I34" s="120">
        <f>+H34</f>
        <v>285169</v>
      </c>
      <c r="J34" s="120">
        <f>+H34-I34</f>
        <v>0</v>
      </c>
      <c r="K34" s="120"/>
      <c r="L34" s="132">
        <f t="shared" si="6"/>
        <v>3.1284996489380377</v>
      </c>
      <c r="M34" s="18"/>
      <c r="N34" s="121"/>
    </row>
    <row r="35" spans="1:14" x14ac:dyDescent="0.25">
      <c r="A35" s="127">
        <f t="shared" si="7"/>
        <v>44986</v>
      </c>
      <c r="B35" s="128">
        <f t="shared" si="7"/>
        <v>44957</v>
      </c>
      <c r="C35" s="128">
        <f t="shared" si="7"/>
        <v>44985</v>
      </c>
      <c r="D35" s="120">
        <v>80159000</v>
      </c>
      <c r="E35" s="120">
        <f t="shared" ref="E35:E44" si="8">+D35</f>
        <v>80159000</v>
      </c>
      <c r="F35" s="129">
        <f t="shared" ref="F35:F45" si="9">+D35-E35</f>
        <v>0</v>
      </c>
      <c r="G35" s="18"/>
      <c r="H35" s="120">
        <v>250777</v>
      </c>
      <c r="I35" s="120">
        <f t="shared" ref="I35:I44" si="10">+H35</f>
        <v>250777</v>
      </c>
      <c r="J35" s="120">
        <f t="shared" ref="J35:J45" si="11">+H35-I35</f>
        <v>0</v>
      </c>
      <c r="K35" s="120"/>
      <c r="L35" s="132">
        <f t="shared" si="6"/>
        <v>3.1284946169488146</v>
      </c>
      <c r="M35" s="18"/>
      <c r="N35" s="121"/>
    </row>
    <row r="36" spans="1:14" x14ac:dyDescent="0.25">
      <c r="A36" s="127">
        <f t="shared" si="7"/>
        <v>45017</v>
      </c>
      <c r="B36" s="128">
        <f t="shared" si="7"/>
        <v>44985</v>
      </c>
      <c r="C36" s="128">
        <f t="shared" si="7"/>
        <v>45016</v>
      </c>
      <c r="D36" s="120">
        <v>93441000</v>
      </c>
      <c r="E36" s="120">
        <f t="shared" si="8"/>
        <v>93441000</v>
      </c>
      <c r="F36" s="129">
        <f t="shared" si="9"/>
        <v>0</v>
      </c>
      <c r="G36" s="18"/>
      <c r="H36" s="120">
        <v>292330</v>
      </c>
      <c r="I36" s="120">
        <f t="shared" si="10"/>
        <v>292330</v>
      </c>
      <c r="J36" s="120">
        <f t="shared" si="11"/>
        <v>0</v>
      </c>
      <c r="K36" s="120"/>
      <c r="L36" s="132">
        <f t="shared" si="6"/>
        <v>3.1284981967230658</v>
      </c>
      <c r="M36" s="18"/>
      <c r="N36" s="121"/>
    </row>
    <row r="37" spans="1:14" x14ac:dyDescent="0.25">
      <c r="A37" s="127">
        <f t="shared" si="7"/>
        <v>45047</v>
      </c>
      <c r="B37" s="128">
        <f t="shared" si="7"/>
        <v>45016</v>
      </c>
      <c r="C37" s="128">
        <f t="shared" si="7"/>
        <v>45044</v>
      </c>
      <c r="D37" s="120">
        <v>83278000</v>
      </c>
      <c r="E37" s="120">
        <f t="shared" si="8"/>
        <v>83278000</v>
      </c>
      <c r="F37" s="129">
        <f t="shared" si="9"/>
        <v>0</v>
      </c>
      <c r="G37" s="18"/>
      <c r="H37" s="120">
        <v>260535</v>
      </c>
      <c r="I37" s="120">
        <f t="shared" si="10"/>
        <v>260535</v>
      </c>
      <c r="J37" s="120">
        <f t="shared" si="11"/>
        <v>0</v>
      </c>
      <c r="K37" s="120"/>
      <c r="L37" s="132">
        <f t="shared" si="6"/>
        <v>3.1284973222219552</v>
      </c>
      <c r="M37" s="18"/>
      <c r="N37" s="121"/>
    </row>
    <row r="38" spans="1:14" x14ac:dyDescent="0.25">
      <c r="A38" s="127">
        <f t="shared" si="7"/>
        <v>45078</v>
      </c>
      <c r="B38" s="128">
        <f t="shared" si="7"/>
        <v>45044</v>
      </c>
      <c r="C38" s="128">
        <f t="shared" si="7"/>
        <v>45077</v>
      </c>
      <c r="D38" s="120">
        <v>99171000</v>
      </c>
      <c r="E38" s="120">
        <f t="shared" si="8"/>
        <v>99171000</v>
      </c>
      <c r="F38" s="129">
        <f t="shared" si="9"/>
        <v>0</v>
      </c>
      <c r="G38" s="18"/>
      <c r="H38" s="120">
        <v>310256</v>
      </c>
      <c r="I38" s="120">
        <f t="shared" si="10"/>
        <v>310256</v>
      </c>
      <c r="J38" s="120">
        <f t="shared" si="11"/>
        <v>0</v>
      </c>
      <c r="K38" s="120"/>
      <c r="L38" s="132">
        <f t="shared" si="6"/>
        <v>3.128495225418721</v>
      </c>
      <c r="M38" s="18"/>
      <c r="N38" s="121"/>
    </row>
    <row r="39" spans="1:14" x14ac:dyDescent="0.25">
      <c r="A39" s="127">
        <f t="shared" si="7"/>
        <v>45108</v>
      </c>
      <c r="B39" s="128">
        <f t="shared" si="7"/>
        <v>45077</v>
      </c>
      <c r="C39" s="128">
        <f t="shared" si="7"/>
        <v>45107</v>
      </c>
      <c r="D39" s="120">
        <v>86707000</v>
      </c>
      <c r="E39" s="120">
        <f t="shared" si="8"/>
        <v>86707000</v>
      </c>
      <c r="F39" s="129">
        <f t="shared" si="9"/>
        <v>0</v>
      </c>
      <c r="G39" s="18"/>
      <c r="H39" s="120">
        <v>271263</v>
      </c>
      <c r="I39" s="120">
        <f t="shared" si="10"/>
        <v>271263</v>
      </c>
      <c r="J39" s="120">
        <f t="shared" si="11"/>
        <v>0</v>
      </c>
      <c r="K39" s="120"/>
      <c r="L39" s="132">
        <f t="shared" si="6"/>
        <v>3.128501735730679</v>
      </c>
      <c r="M39" s="18"/>
      <c r="N39" s="121"/>
    </row>
    <row r="40" spans="1:14" x14ac:dyDescent="0.25">
      <c r="A40" s="127">
        <f t="shared" si="7"/>
        <v>45139</v>
      </c>
      <c r="B40" s="128">
        <f t="shared" si="7"/>
        <v>45107</v>
      </c>
      <c r="C40" s="128">
        <f t="shared" si="7"/>
        <v>45138</v>
      </c>
      <c r="D40" s="120">
        <v>88116000</v>
      </c>
      <c r="E40" s="120">
        <f t="shared" si="8"/>
        <v>88116000</v>
      </c>
      <c r="F40" s="129">
        <f t="shared" si="9"/>
        <v>0</v>
      </c>
      <c r="G40" s="18"/>
      <c r="H40" s="120">
        <v>275671</v>
      </c>
      <c r="I40" s="120">
        <f t="shared" si="10"/>
        <v>275671</v>
      </c>
      <c r="J40" s="120">
        <f t="shared" si="11"/>
        <v>0</v>
      </c>
      <c r="K40" s="120"/>
      <c r="L40" s="132">
        <f t="shared" si="6"/>
        <v>3.1285010667756139</v>
      </c>
      <c r="M40" s="18"/>
      <c r="N40" s="121"/>
    </row>
    <row r="41" spans="1:14" x14ac:dyDescent="0.25">
      <c r="A41" s="127">
        <f t="shared" si="7"/>
        <v>45170</v>
      </c>
      <c r="B41" s="128">
        <f t="shared" si="7"/>
        <v>45138</v>
      </c>
      <c r="C41" s="128">
        <f t="shared" si="7"/>
        <v>45169</v>
      </c>
      <c r="D41" s="120">
        <v>92646000</v>
      </c>
      <c r="E41" s="120">
        <f t="shared" si="8"/>
        <v>92646000</v>
      </c>
      <c r="F41" s="129">
        <f t="shared" si="9"/>
        <v>0</v>
      </c>
      <c r="G41" s="18"/>
      <c r="H41" s="120">
        <v>289843</v>
      </c>
      <c r="I41" s="120">
        <f t="shared" si="10"/>
        <v>289843</v>
      </c>
      <c r="J41" s="120">
        <f t="shared" si="11"/>
        <v>0</v>
      </c>
      <c r="K41" s="120"/>
      <c r="L41" s="132">
        <f t="shared" si="6"/>
        <v>3.1284998812684841</v>
      </c>
      <c r="M41" s="18"/>
      <c r="N41" s="121"/>
    </row>
    <row r="42" spans="1:14" x14ac:dyDescent="0.25">
      <c r="A42" s="127">
        <f t="shared" si="7"/>
        <v>45200</v>
      </c>
      <c r="B42" s="128">
        <f t="shared" si="7"/>
        <v>45169</v>
      </c>
      <c r="C42" s="128">
        <f t="shared" si="7"/>
        <v>45198</v>
      </c>
      <c r="D42" s="120">
        <v>86583000</v>
      </c>
      <c r="E42" s="120">
        <f t="shared" si="8"/>
        <v>86583000</v>
      </c>
      <c r="F42" s="129">
        <f t="shared" si="9"/>
        <v>0</v>
      </c>
      <c r="G42" s="18"/>
      <c r="H42" s="120">
        <v>270875</v>
      </c>
      <c r="I42" s="120">
        <f t="shared" si="10"/>
        <v>270875</v>
      </c>
      <c r="J42" s="120">
        <f t="shared" si="11"/>
        <v>0</v>
      </c>
      <c r="K42" s="120"/>
      <c r="L42" s="132">
        <f t="shared" si="6"/>
        <v>3.1285009759421598</v>
      </c>
      <c r="M42" s="18"/>
      <c r="N42" s="121"/>
    </row>
    <row r="43" spans="1:14" x14ac:dyDescent="0.25">
      <c r="A43" s="127">
        <f t="shared" si="7"/>
        <v>45231</v>
      </c>
      <c r="B43" s="128">
        <f t="shared" si="7"/>
        <v>45198</v>
      </c>
      <c r="C43" s="128">
        <f t="shared" si="7"/>
        <v>45230</v>
      </c>
      <c r="D43" s="120">
        <v>94989000</v>
      </c>
      <c r="E43" s="120">
        <f t="shared" si="8"/>
        <v>94989000</v>
      </c>
      <c r="F43" s="129">
        <f t="shared" si="9"/>
        <v>0</v>
      </c>
      <c r="G43" s="129"/>
      <c r="H43" s="120">
        <v>297173</v>
      </c>
      <c r="I43" s="120">
        <f t="shared" si="10"/>
        <v>297173</v>
      </c>
      <c r="J43" s="120">
        <f t="shared" si="11"/>
        <v>0</v>
      </c>
      <c r="K43" s="120"/>
      <c r="L43" s="132">
        <f t="shared" si="6"/>
        <v>3.1284990893682427</v>
      </c>
      <c r="M43" s="18"/>
      <c r="N43" s="121"/>
    </row>
    <row r="44" spans="1:14" x14ac:dyDescent="0.25">
      <c r="A44" s="127">
        <f t="shared" si="7"/>
        <v>45261</v>
      </c>
      <c r="B44" s="128">
        <f t="shared" si="7"/>
        <v>45230</v>
      </c>
      <c r="C44" s="128">
        <f t="shared" si="7"/>
        <v>45260</v>
      </c>
      <c r="D44" s="120">
        <v>87819000</v>
      </c>
      <c r="E44" s="120">
        <f t="shared" si="8"/>
        <v>87819000</v>
      </c>
      <c r="F44" s="129">
        <f t="shared" si="9"/>
        <v>0</v>
      </c>
      <c r="G44" s="129"/>
      <c r="H44" s="120">
        <v>274742</v>
      </c>
      <c r="I44" s="120">
        <f t="shared" si="10"/>
        <v>274742</v>
      </c>
      <c r="J44" s="120">
        <f t="shared" si="11"/>
        <v>0</v>
      </c>
      <c r="K44" s="120"/>
      <c r="L44" s="132">
        <f t="shared" si="6"/>
        <v>3.1285029435543561</v>
      </c>
      <c r="M44" s="18"/>
      <c r="N44" s="121"/>
    </row>
    <row r="45" spans="1:14" x14ac:dyDescent="0.25">
      <c r="A45" s="127">
        <f t="shared" si="7"/>
        <v>45292</v>
      </c>
      <c r="B45" s="128">
        <f t="shared" si="7"/>
        <v>45260</v>
      </c>
      <c r="C45" s="128">
        <f t="shared" si="7"/>
        <v>45289</v>
      </c>
      <c r="D45" s="133">
        <v>82187000</v>
      </c>
      <c r="E45" s="133">
        <v>0</v>
      </c>
      <c r="F45" s="134">
        <f t="shared" si="9"/>
        <v>82187000</v>
      </c>
      <c r="G45" s="129"/>
      <c r="H45" s="133">
        <v>257122</v>
      </c>
      <c r="I45" s="133">
        <v>0</v>
      </c>
      <c r="J45" s="133">
        <f t="shared" si="11"/>
        <v>257122</v>
      </c>
      <c r="K45" s="131"/>
      <c r="L45" s="132">
        <f>+J45/F45*1000</f>
        <v>3.1284996410624553</v>
      </c>
      <c r="M45" s="18"/>
      <c r="N45" s="121"/>
    </row>
    <row r="46" spans="1:14" x14ac:dyDescent="0.25">
      <c r="A46" s="135"/>
      <c r="B46" s="136"/>
      <c r="C46" s="136"/>
      <c r="D46" s="120">
        <f>SUM(D33:D45)</f>
        <v>1066248000</v>
      </c>
      <c r="E46" s="120">
        <f>SUM(E33:E45)</f>
        <v>1067225000</v>
      </c>
      <c r="F46" s="120">
        <f>SUM(F33:F45)</f>
        <v>-977000</v>
      </c>
      <c r="G46" s="129"/>
      <c r="H46" s="130">
        <f>SUM(H33:H45)</f>
        <v>3335756</v>
      </c>
      <c r="I46" s="130">
        <f>SUM(I33:I45)</f>
        <v>3338813</v>
      </c>
      <c r="J46" s="130">
        <f>SUM(J33:J45)</f>
        <v>-3057</v>
      </c>
      <c r="K46" s="129"/>
      <c r="L46" s="18"/>
      <c r="M46" s="18"/>
      <c r="N46" s="121"/>
    </row>
    <row r="47" spans="1:14" ht="15.75" thickBot="1" x14ac:dyDescent="0.3">
      <c r="A47" s="137"/>
      <c r="B47" s="138"/>
      <c r="C47" s="138"/>
      <c r="D47" s="139"/>
      <c r="E47" s="139"/>
      <c r="F47" s="140"/>
      <c r="G47" s="140"/>
      <c r="H47" s="139"/>
      <c r="I47" s="139"/>
      <c r="J47" s="138"/>
      <c r="K47" s="138"/>
      <c r="L47" s="138"/>
      <c r="M47" s="138"/>
      <c r="N47" s="141"/>
    </row>
    <row r="48" spans="1:14" x14ac:dyDescent="0.25">
      <c r="E48" s="17">
        <f>+E46-'[1]Dispoal Cost Spreadsheet'!AA23</f>
        <v>66976000</v>
      </c>
      <c r="I48" s="145">
        <f>+I46-'[1]Dispoal Cost Spreadsheet'!AB23</f>
        <v>408512.18999999994</v>
      </c>
    </row>
    <row r="49" spans="8:8" x14ac:dyDescent="0.25">
      <c r="H49" s="17"/>
    </row>
  </sheetData>
  <mergeCells count="12">
    <mergeCell ref="A27:N27"/>
    <mergeCell ref="A28:N28"/>
    <mergeCell ref="A29:N29"/>
    <mergeCell ref="B31:C31"/>
    <mergeCell ref="D31:F31"/>
    <mergeCell ref="H31:J31"/>
    <mergeCell ref="A3:N3"/>
    <mergeCell ref="A4:N4"/>
    <mergeCell ref="A5:N5"/>
    <mergeCell ref="B7:C7"/>
    <mergeCell ref="D7:F7"/>
    <mergeCell ref="H7:J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9"/>
  <sheetViews>
    <sheetView tabSelected="1" workbookViewId="0">
      <selection activeCell="I10" sqref="I10"/>
    </sheetView>
  </sheetViews>
  <sheetFormatPr defaultRowHeight="15" x14ac:dyDescent="0.25"/>
  <cols>
    <col min="1" max="1" width="36.28515625" customWidth="1"/>
    <col min="2" max="2" width="13.7109375" customWidth="1"/>
    <col min="3" max="3" width="5.140625" customWidth="1"/>
    <col min="4" max="4" width="13.7109375" customWidth="1"/>
    <col min="5" max="5" width="7.140625" customWidth="1"/>
    <col min="6" max="7" width="14.85546875" customWidth="1"/>
    <col min="8" max="8" width="13.140625" customWidth="1"/>
    <col min="9" max="9" width="13" customWidth="1"/>
    <col min="10" max="10" width="12.5703125" bestFit="1" customWidth="1"/>
    <col min="11" max="11" width="10.140625" bestFit="1" customWidth="1"/>
    <col min="14" max="15" width="10.28515625" customWidth="1"/>
    <col min="16" max="16" width="11.85546875" customWidth="1"/>
  </cols>
  <sheetData>
    <row r="1" spans="1:16" x14ac:dyDescent="0.25">
      <c r="A1" s="174" t="s">
        <v>34</v>
      </c>
    </row>
    <row r="2" spans="1:16" x14ac:dyDescent="0.25">
      <c r="A2" s="174" t="s">
        <v>102</v>
      </c>
    </row>
    <row r="3" spans="1:16" x14ac:dyDescent="0.25">
      <c r="A3" s="27" t="s">
        <v>32</v>
      </c>
      <c r="B3" s="8" t="s">
        <v>26</v>
      </c>
      <c r="D3" s="8" t="s">
        <v>26</v>
      </c>
      <c r="F3" s="27" t="s">
        <v>31</v>
      </c>
      <c r="I3" s="193" t="s">
        <v>103</v>
      </c>
      <c r="J3" s="193"/>
    </row>
    <row r="4" spans="1:16" x14ac:dyDescent="0.25">
      <c r="A4" s="29" t="s">
        <v>28</v>
      </c>
      <c r="B4" s="30">
        <v>44926</v>
      </c>
      <c r="C4" s="29"/>
      <c r="D4" s="30">
        <v>45291</v>
      </c>
      <c r="F4" s="29" t="s">
        <v>28</v>
      </c>
      <c r="G4" s="22"/>
      <c r="I4" s="22" t="s">
        <v>24</v>
      </c>
      <c r="J4" s="22" t="s">
        <v>25</v>
      </c>
    </row>
    <row r="5" spans="1:16" x14ac:dyDescent="0.25">
      <c r="A5" t="s">
        <v>15</v>
      </c>
      <c r="B5" s="24">
        <v>747306.78593650041</v>
      </c>
      <c r="D5" s="24">
        <f>+'UNBILLED Revenue'!O23</f>
        <v>643248.69833748671</v>
      </c>
      <c r="F5" s="8" t="s">
        <v>52</v>
      </c>
      <c r="G5" s="194" t="s">
        <v>15</v>
      </c>
      <c r="H5" s="194"/>
      <c r="I5" s="195">
        <f>IF(D5-B5&lt;0,(D5-B5)*-1,0)</f>
        <v>104058.0875990137</v>
      </c>
      <c r="J5" s="21">
        <f>IF(D5-B5&gt;0,(D5-B5)*1,0)</f>
        <v>0</v>
      </c>
      <c r="K5" s="20"/>
      <c r="P5" s="20"/>
    </row>
    <row r="6" spans="1:16" x14ac:dyDescent="0.25">
      <c r="A6" t="s">
        <v>16</v>
      </c>
      <c r="B6" s="24">
        <v>431663.13032941031</v>
      </c>
      <c r="D6" s="24">
        <f>+'UNBILLED Revenue'!O24</f>
        <v>378613.18021108583</v>
      </c>
      <c r="F6" s="8" t="s">
        <v>53</v>
      </c>
      <c r="G6" s="194" t="s">
        <v>16</v>
      </c>
      <c r="H6" s="194"/>
      <c r="I6" s="195">
        <f>IF(D6-B6&lt;0,(D6-B6)*-1,0)</f>
        <v>53049.950118324487</v>
      </c>
      <c r="J6" s="21">
        <f>IF(D6-B6&gt;0,(D6-B6)*1,0)</f>
        <v>0</v>
      </c>
      <c r="P6" s="20"/>
    </row>
    <row r="7" spans="1:16" x14ac:dyDescent="0.25">
      <c r="A7" s="174" t="s">
        <v>20</v>
      </c>
      <c r="B7" s="175">
        <v>1178969.9162659107</v>
      </c>
      <c r="C7" s="174"/>
      <c r="D7" s="175">
        <f>+D5+D6</f>
        <v>1021861.8785485725</v>
      </c>
      <c r="F7" s="8" t="s">
        <v>54</v>
      </c>
      <c r="G7" t="s">
        <v>20</v>
      </c>
      <c r="I7" s="21">
        <f>IF(D7-B7&gt;0,(D7-B7)*1,0)</f>
        <v>0</v>
      </c>
      <c r="J7" s="21">
        <f>IF(D7-B7&lt;0,(D7-B7)*-1,0)</f>
        <v>157108.03771733819</v>
      </c>
      <c r="K7" s="20"/>
      <c r="P7" s="20"/>
    </row>
    <row r="8" spans="1:16" x14ac:dyDescent="0.25">
      <c r="A8" t="s">
        <v>21</v>
      </c>
      <c r="B8" s="24">
        <v>638976.43000000005</v>
      </c>
      <c r="D8" s="24">
        <f>+'UNBILLED Water &amp; Disposal Costs'!J21</f>
        <v>566942.96</v>
      </c>
      <c r="F8" s="8" t="s">
        <v>55</v>
      </c>
      <c r="G8" t="s">
        <v>21</v>
      </c>
      <c r="I8" s="21">
        <f>IF(D8-B8&gt;0,(D8-B8)*1,0)</f>
        <v>0</v>
      </c>
      <c r="J8" s="21">
        <f>IF(D8-B8&lt;0,(D8-B8)*-1,0)</f>
        <v>72033.470000000088</v>
      </c>
      <c r="K8" s="20"/>
    </row>
    <row r="9" spans="1:16" x14ac:dyDescent="0.25">
      <c r="A9" s="174" t="s">
        <v>22</v>
      </c>
      <c r="B9" s="175">
        <v>638976.43000000005</v>
      </c>
      <c r="D9" s="175">
        <f>+D8</f>
        <v>566942.96</v>
      </c>
      <c r="F9" s="8" t="s">
        <v>56</v>
      </c>
      <c r="G9" t="s">
        <v>22</v>
      </c>
      <c r="I9" s="21">
        <f>IF(D9-B9&lt;0,(D9-B9)*-1,0)</f>
        <v>72033.470000000088</v>
      </c>
      <c r="J9" s="21">
        <f>IF(D9-B9&gt;0,(D9-B9)*1,0)</f>
        <v>0</v>
      </c>
      <c r="K9" s="20"/>
    </row>
    <row r="10" spans="1:16" ht="15.75" thickBot="1" x14ac:dyDescent="0.3">
      <c r="B10" s="25"/>
      <c r="D10" s="25"/>
      <c r="G10" t="s">
        <v>27</v>
      </c>
      <c r="I10" s="23">
        <f>SUM(I5:I9)</f>
        <v>229141.50771733827</v>
      </c>
      <c r="J10" s="23">
        <f>SUM(J5:J9)</f>
        <v>229141.50771733827</v>
      </c>
    </row>
    <row r="11" spans="1:16" ht="15.75" thickTop="1" x14ac:dyDescent="0.25">
      <c r="B11" s="25"/>
      <c r="D11" s="25"/>
      <c r="I11" s="28"/>
      <c r="J11" s="28">
        <f>+I10-J10</f>
        <v>0</v>
      </c>
    </row>
    <row r="12" spans="1:16" x14ac:dyDescent="0.25">
      <c r="A12" s="29" t="s">
        <v>29</v>
      </c>
      <c r="B12" s="25"/>
      <c r="D12" s="25"/>
      <c r="G12" s="29" t="s">
        <v>29</v>
      </c>
      <c r="I12" s="28"/>
      <c r="J12" s="28"/>
    </row>
    <row r="13" spans="1:16" x14ac:dyDescent="0.25">
      <c r="A13" t="s">
        <v>15</v>
      </c>
      <c r="B13" s="24">
        <v>192449.66644999594</v>
      </c>
      <c r="D13" s="24">
        <f>+'UNBILLED Revenue'!Q27</f>
        <v>174571.13885758549</v>
      </c>
      <c r="F13" s="8" t="s">
        <v>57</v>
      </c>
      <c r="G13" s="177" t="s">
        <v>15</v>
      </c>
      <c r="H13" s="177"/>
      <c r="I13" s="178">
        <f>IF(D13-B13&lt;0,(D13-B13)*-1,0)</f>
        <v>17878.52759241045</v>
      </c>
      <c r="J13" s="21">
        <f>IF(D13-B13&gt;0,(D13-B13)*1,0)</f>
        <v>0</v>
      </c>
      <c r="P13" s="20"/>
    </row>
    <row r="14" spans="1:16" x14ac:dyDescent="0.25">
      <c r="A14" t="s">
        <v>16</v>
      </c>
      <c r="B14" s="24">
        <v>265533.5281925645</v>
      </c>
      <c r="D14" s="24">
        <f>+'UNBILLED Revenue'!Q28</f>
        <v>236996.00734263699</v>
      </c>
      <c r="F14" s="8" t="s">
        <v>58</v>
      </c>
      <c r="G14" s="177" t="s">
        <v>16</v>
      </c>
      <c r="H14" s="177"/>
      <c r="I14" s="178">
        <f>IF(D14-B14&lt;0,(D14-B14)*-1,0)</f>
        <v>28537.520849927503</v>
      </c>
      <c r="J14" s="21">
        <f>IF(D14-B14&gt;0,(D14-B14)*1,0)</f>
        <v>0</v>
      </c>
      <c r="P14" s="20"/>
    </row>
    <row r="15" spans="1:16" x14ac:dyDescent="0.25">
      <c r="A15" s="174" t="s">
        <v>20</v>
      </c>
      <c r="B15" s="175">
        <v>457983.19464256044</v>
      </c>
      <c r="D15" s="175">
        <f>+D13+D14</f>
        <v>411567.14620022249</v>
      </c>
      <c r="F15" s="8" t="s">
        <v>59</v>
      </c>
      <c r="G15" t="s">
        <v>20</v>
      </c>
      <c r="I15" s="21">
        <f>IF(D15-B15&gt;0,(D15-B15)*1,0)</f>
        <v>0</v>
      </c>
      <c r="J15" s="21">
        <f>IF(D15-B15&lt;0,(D15-B15)*-1,0)</f>
        <v>46416.048442337953</v>
      </c>
      <c r="P15" s="20"/>
    </row>
    <row r="16" spans="1:16" x14ac:dyDescent="0.25">
      <c r="A16" t="s">
        <v>23</v>
      </c>
      <c r="B16" s="24">
        <v>260178.57</v>
      </c>
      <c r="D16" s="24">
        <f>+'UNBILLED Water &amp; Disposal Costs'!H45</f>
        <v>257122</v>
      </c>
      <c r="F16" s="8" t="s">
        <v>60</v>
      </c>
      <c r="G16" t="s">
        <v>23</v>
      </c>
      <c r="I16" s="21">
        <f>IF(D16-B16&gt;0,(D16-B16)*1,0)</f>
        <v>0</v>
      </c>
      <c r="J16" s="21">
        <f>IF(D16-B16&lt;0,(D16-B16)*-1,0)</f>
        <v>3056.570000000007</v>
      </c>
    </row>
    <row r="17" spans="1:10" x14ac:dyDescent="0.25">
      <c r="A17" s="174" t="s">
        <v>22</v>
      </c>
      <c r="B17" s="175">
        <v>260178.57</v>
      </c>
      <c r="D17" s="175">
        <f>+D16</f>
        <v>257122</v>
      </c>
      <c r="F17" s="8" t="s">
        <v>61</v>
      </c>
      <c r="G17" t="s">
        <v>22</v>
      </c>
      <c r="I17" s="21">
        <f>IF(D17-B17&lt;0,(D17-B17)*-1,0)</f>
        <v>3056.570000000007</v>
      </c>
      <c r="J17" s="21">
        <f>IF(D17-B17&gt;0,(D17-B17)*1,0)</f>
        <v>0</v>
      </c>
    </row>
    <row r="18" spans="1:10" ht="15.75" thickBot="1" x14ac:dyDescent="0.3">
      <c r="B18" s="26"/>
      <c r="D18" s="26"/>
      <c r="G18" t="s">
        <v>27</v>
      </c>
      <c r="I18" s="23">
        <f>SUM(I13:I17)</f>
        <v>49472.61844233796</v>
      </c>
      <c r="J18" s="23">
        <f>SUM(J13:J17)</f>
        <v>49472.61844233796</v>
      </c>
    </row>
    <row r="19" spans="1:10" ht="15.75" thickTop="1" x14ac:dyDescent="0.25">
      <c r="B19" s="26"/>
      <c r="D19" s="26"/>
      <c r="I19" s="28"/>
      <c r="J19" s="28">
        <f>+I18-J18</f>
        <v>0</v>
      </c>
    </row>
    <row r="20" spans="1:10" x14ac:dyDescent="0.25">
      <c r="A20" s="29" t="s">
        <v>30</v>
      </c>
      <c r="B20" s="25"/>
      <c r="D20" s="25"/>
      <c r="G20" s="29" t="s">
        <v>30</v>
      </c>
      <c r="J20" s="20"/>
    </row>
    <row r="21" spans="1:10" x14ac:dyDescent="0.25">
      <c r="A21" t="s">
        <v>15</v>
      </c>
      <c r="B21" s="26">
        <v>939756.45238649636</v>
      </c>
      <c r="D21" s="26">
        <f>+D5+D13</f>
        <v>817819.83719507221</v>
      </c>
      <c r="G21" t="s">
        <v>15</v>
      </c>
      <c r="I21" s="21">
        <f t="shared" ref="I21:J23" si="0">+I5+I13</f>
        <v>121936.61519142415</v>
      </c>
      <c r="J21" s="21">
        <f t="shared" si="0"/>
        <v>0</v>
      </c>
    </row>
    <row r="22" spans="1:10" x14ac:dyDescent="0.25">
      <c r="A22" t="s">
        <v>16</v>
      </c>
      <c r="B22" s="26">
        <v>697196.65852197481</v>
      </c>
      <c r="D22" s="26">
        <f>+D6+D14</f>
        <v>615609.18755372288</v>
      </c>
      <c r="G22" t="s">
        <v>16</v>
      </c>
      <c r="I22" s="21">
        <f t="shared" si="0"/>
        <v>81587.47096825199</v>
      </c>
      <c r="J22" s="21">
        <f t="shared" si="0"/>
        <v>0</v>
      </c>
    </row>
    <row r="23" spans="1:10" x14ac:dyDescent="0.25">
      <c r="A23" s="174" t="s">
        <v>20</v>
      </c>
      <c r="B23" s="176">
        <v>1636953.110908471</v>
      </c>
      <c r="D23" s="176">
        <f>+D7+D15</f>
        <v>1433429.024748795</v>
      </c>
      <c r="G23" t="s">
        <v>20</v>
      </c>
      <c r="I23" s="21">
        <f t="shared" si="0"/>
        <v>0</v>
      </c>
      <c r="J23" s="21">
        <f t="shared" si="0"/>
        <v>203524.08615967614</v>
      </c>
    </row>
    <row r="24" spans="1:10" x14ac:dyDescent="0.25">
      <c r="A24" t="s">
        <v>21</v>
      </c>
      <c r="B24" s="26">
        <v>638976.43000000005</v>
      </c>
      <c r="D24" s="26">
        <f>+D8</f>
        <v>566942.96</v>
      </c>
      <c r="G24" t="s">
        <v>21</v>
      </c>
      <c r="I24" s="21">
        <f>+I8</f>
        <v>0</v>
      </c>
      <c r="J24" s="21">
        <f>+J8</f>
        <v>72033.470000000088</v>
      </c>
    </row>
    <row r="25" spans="1:10" x14ac:dyDescent="0.25">
      <c r="A25" t="s">
        <v>23</v>
      </c>
      <c r="B25" s="26">
        <v>260178.57</v>
      </c>
      <c r="D25" s="26">
        <f>+D16</f>
        <v>257122</v>
      </c>
      <c r="G25" t="s">
        <v>23</v>
      </c>
      <c r="I25" s="20">
        <f>+I16</f>
        <v>0</v>
      </c>
      <c r="J25" s="20">
        <f>+J16</f>
        <v>3056.570000000007</v>
      </c>
    </row>
    <row r="26" spans="1:10" x14ac:dyDescent="0.25">
      <c r="A26" s="174" t="s">
        <v>22</v>
      </c>
      <c r="B26" s="176">
        <v>899155</v>
      </c>
      <c r="D26" s="176">
        <f>+D9+D17</f>
        <v>824064.96</v>
      </c>
      <c r="G26" t="s">
        <v>22</v>
      </c>
      <c r="I26" s="21">
        <f>+I9+I17</f>
        <v>75090.040000000095</v>
      </c>
      <c r="J26" s="21">
        <f>+J9+J17</f>
        <v>0</v>
      </c>
    </row>
    <row r="27" spans="1:10" ht="15.75" thickBot="1" x14ac:dyDescent="0.3">
      <c r="B27" s="20"/>
      <c r="D27" s="20"/>
      <c r="G27" t="s">
        <v>27</v>
      </c>
      <c r="I27" s="23">
        <f>SUM(I21:I26)</f>
        <v>278614.12615967623</v>
      </c>
      <c r="J27" s="23">
        <f>SUM(J21:J26)</f>
        <v>278614.12615967623</v>
      </c>
    </row>
    <row r="28" spans="1:10" ht="15.75" thickTop="1" x14ac:dyDescent="0.25">
      <c r="B28" s="20"/>
      <c r="D28" s="20"/>
      <c r="I28" s="28">
        <f>+I27-J27</f>
        <v>0</v>
      </c>
    </row>
    <row r="29" spans="1:10" x14ac:dyDescent="0.25">
      <c r="H29" s="20"/>
    </row>
  </sheetData>
  <mergeCells count="1">
    <mergeCell ref="I3:J3"/>
  </mergeCells>
  <pageMargins left="0.7" right="0.7" top="0.75" bottom="0.75" header="0.3" footer="0.3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Jan &amp; Feb Cycle Billing - Water</vt:lpstr>
      <vt:lpstr>Jan &amp; Feb Cycle Billing - Sewer</vt:lpstr>
      <vt:lpstr>UNBILLED Revenue</vt:lpstr>
      <vt:lpstr>UNBILLED Water &amp; Disposal Costs</vt:lpstr>
      <vt:lpstr>JOURNAL ENTRY</vt:lpstr>
      <vt:lpstr>'JOURNAL ENTRY'!Print_Area</vt:lpstr>
      <vt:lpstr>'UNBILLED Revenue'!Print_Area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Peeples, Jeff</dc:creator>
  <cp:lastModifiedBy>Jeff Peeples</cp:lastModifiedBy>
  <cp:lastPrinted>2024-02-17T14:50:59Z</cp:lastPrinted>
  <dcterms:created xsi:type="dcterms:W3CDTF">2021-03-20T15:38:34Z</dcterms:created>
  <dcterms:modified xsi:type="dcterms:W3CDTF">2024-09-10T21:52:08Z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sion">
    <vt:i4>20</vt:i4>
  </op:property>
  <op:property fmtid="{D5CDD505-2E9C-101B-9397-08002B2CF9AE}" pid="3" name="ndDocumentId">
    <vt:lpwstr>4885-0865-2003</vt:lpwstr>
  </op:property>
</op:Properties>
</file>